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omments2.xml" ContentType="application/vnd.openxmlformats-officedocument.spreadsheetml.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defaultThemeVersion="166925"/>
  <mc:AlternateContent xmlns:mc="http://schemas.openxmlformats.org/markup-compatibility/2006">
    <mc:Choice Requires="x15">
      <x15ac:absPath xmlns:x15ac="http://schemas.microsoft.com/office/spreadsheetml/2010/11/ac" url="C:\Farris Files\School\Side Projects\Electric Scooter\custom-escooter\Battery Charger and Motor Power Regulator PCB\"/>
    </mc:Choice>
  </mc:AlternateContent>
  <xr:revisionPtr revIDLastSave="0" documentId="13_ncr:1_{D42012E7-0C22-4385-BEA0-EA118ED506BA}" xr6:coauthVersionLast="47" xr6:coauthVersionMax="47" xr10:uidLastSave="{00000000-0000-0000-0000-000000000000}"/>
  <bookViews>
    <workbookView xWindow="-120" yWindow="-120" windowWidth="29040" windowHeight="15840" xr2:uid="{6E72E8D2-090D-40D8-BCD3-EF302D03C35C}"/>
  </bookViews>
  <sheets>
    <sheet name="BQ2575X Design Calculator" sheetId="1" r:id="rId1"/>
    <sheet name="Thermistor Qualification" sheetId="3" r:id="rId2"/>
    <sheet name="StdResVals" sheetId="2" state="hidden" r:id="rId3"/>
  </sheets>
  <externalReferences>
    <externalReference r:id="rId4"/>
  </externalReferences>
  <definedNames>
    <definedName name="ACOV_D">'BQ2575X Design Calculator'!$E$58</definedName>
    <definedName name="ACUV_D">'BQ2575X Design Calculator'!$E$59</definedName>
    <definedName name="Buck_Boost">'BQ2575X Design Calculator'!$H$88</definedName>
    <definedName name="Buck_Only">'BQ2575X Design Calculator'!$I$88</definedName>
    <definedName name="C_MOSFET_S_gFS_H_BO">'BQ2575X Design Calculator'!$N$184</definedName>
    <definedName name="C_MOSFET_S_gFS_H_BU">'BQ2575X Design Calculator'!$N$170</definedName>
    <definedName name="C_MOSFET_S_gFS_L_BO">'BQ2575X Design Calculator'!$O$184</definedName>
    <definedName name="C_MOSFET_S_gFS_L_BU">'BQ2575X Design Calculator'!$O$170</definedName>
    <definedName name="C_MOSFET_S_QG_H_BO">'BQ2575X Design Calculator'!$N$179</definedName>
    <definedName name="C_MOSFET_S_QG_H_BU">'BQ2575X Design Calculator'!$N$165</definedName>
    <definedName name="C_MOSFET_S_QG_L_BO">'BQ2575X Design Calculator'!$O$179</definedName>
    <definedName name="C_MOSFET_S_QG_L_BU">'BQ2575X Design Calculator'!$O$165</definedName>
    <definedName name="C_MOSFET_S_QGD_H_BO">'BQ2575X Design Calculator'!$N$180</definedName>
    <definedName name="C_MOSFET_S_QGD_H_BU">'BQ2575X Design Calculator'!$N$166</definedName>
    <definedName name="C_MOSFET_S_QGD_L_BO">'BQ2575X Design Calculator'!$O$180</definedName>
    <definedName name="C_MOSFET_S_QGD_L_BU">'BQ2575X Design Calculator'!$O$166</definedName>
    <definedName name="C_MOSFET_S_QGS_H_BO">'BQ2575X Design Calculator'!$N$181</definedName>
    <definedName name="C_MOSFET_S_QGS_H_BU">'BQ2575X Design Calculator'!$N$167</definedName>
    <definedName name="C_MOSFET_S_QGS_L_BO">'BQ2575X Design Calculator'!$O$181</definedName>
    <definedName name="C_MOSFET_S_QGS_L_BU">'BQ2575X Design Calculator'!$O$167</definedName>
    <definedName name="C_MOSFET_S_QOSS_H_BO">'BQ2575X Design Calculator'!$N$182</definedName>
    <definedName name="C_MOSFET_S_QOSS_H_BU">'BQ2575X Design Calculator'!$N$168</definedName>
    <definedName name="C_MOSFET_S_QOSS_L_BO">'BQ2575X Design Calculator'!$O$182</definedName>
    <definedName name="C_MOSFET_S_QOSS_L_BU">'BQ2575X Design Calculator'!$O$168</definedName>
    <definedName name="C_MOSFET_S_QRR_H_BO">'BQ2575X Design Calculator'!$N$187</definedName>
    <definedName name="C_MOSFET_S_QRR_L_BU">'BQ2575X Design Calculator'!$O$173</definedName>
    <definedName name="C_MOSFET_S_RDSON_H_BO">'BQ2575X Design Calculator'!$N$178</definedName>
    <definedName name="C_MOSFET_S_RDSON_H_BU">'BQ2575X Design Calculator'!$N$164</definedName>
    <definedName name="C_MOSFET_S_RDSON_L_BO">'BQ2575X Design Calculator'!$O$178</definedName>
    <definedName name="C_MOSFET_S_RDSON_L_BU">'BQ2575X Design Calculator'!$O$164</definedName>
    <definedName name="C_MOSFET_S_VSD_H_BO">'BQ2575X Design Calculator'!$N$186</definedName>
    <definedName name="C_MOSFET_S_VSD_H_BU">'BQ2575X Design Calculator'!$N$172</definedName>
    <definedName name="C_MOSFET_S_VSD_L_BO">'BQ2575X Design Calculator'!$O$186</definedName>
    <definedName name="C_MOSFET_S_VSD_L_BU">'BQ2575X Design Calculator'!$O$172</definedName>
    <definedName name="C_MOSFET_S_VTH_H_BO">'BQ2575X Design Calculator'!$N$185</definedName>
    <definedName name="C_MOSFET_S_VTH_H_BU">'BQ2575X Design Calculator'!$N$171</definedName>
    <definedName name="C_MOSFET_S_VTH_L_BO">'BQ2575X Design Calculator'!$O$185</definedName>
    <definedName name="C_MOSFET_S_VTH_L_BU">'BQ2575X Design Calculator'!$O$171</definedName>
    <definedName name="C_OUT">'BQ2575X Design Calculator'!$E$106</definedName>
    <definedName name="C_QG_10_H_BO">'BQ2575X Design Calculator'!$E$139</definedName>
    <definedName name="C_QG_10_H_BU">'BQ2575X Design Calculator'!$E$121</definedName>
    <definedName name="C_QG_10_L_BO">'BQ2575X Design Calculator'!$F$139</definedName>
    <definedName name="C_QG_10_L_BU">'BQ2575X Design Calculator'!$F$121</definedName>
    <definedName name="C_QG_4P5_H_BO">'BQ2575X Design Calculator'!$E$138</definedName>
    <definedName name="C_QG_4P5_H_BU">'BQ2575X Design Calculator'!$E$120</definedName>
    <definedName name="C_QG_4P5_L_BO">'BQ2575X Design Calculator'!$F$138</definedName>
    <definedName name="C_QG_4P5_L_BU">'BQ2575X Design Calculator'!$F$120</definedName>
    <definedName name="C_QG_C_H_BO">'BQ2575X Design Calculator'!$E$140</definedName>
    <definedName name="C_QG_C_H_BU">'BQ2575X Design Calculator'!$E$122</definedName>
    <definedName name="C_QG_C_L_BO">'BQ2575X Design Calculator'!$F$140</definedName>
    <definedName name="C_QG_C_L_BU">'BQ2575X Design Calculator'!$F$122</definedName>
    <definedName name="C_QGD_H_BO">'BQ2575X Design Calculator'!$E$141</definedName>
    <definedName name="C_QGD_H_BU">'BQ2575X Design Calculator'!$E$123</definedName>
    <definedName name="C_QGD_L_BO">'BQ2575X Design Calculator'!$F$141</definedName>
    <definedName name="C_QGD_L_BU">'BQ2575X Design Calculator'!$F$123</definedName>
    <definedName name="C_RDS_10_H_BO">'BQ2575X Design Calculator'!$E$136</definedName>
    <definedName name="C_RDS_10_H_BU">'BQ2575X Design Calculator'!$E$118</definedName>
    <definedName name="C_RDS_10_L_BO">'BQ2575X Design Calculator'!$F$136</definedName>
    <definedName name="C_RDS_10_L_BU">'BQ2575X Design Calculator'!$F$118</definedName>
    <definedName name="C_RDS_4P5_H_BO">'BQ2575X Design Calculator'!$E$135</definedName>
    <definedName name="C_RDS_4P5_H_BU">'BQ2575X Design Calculator'!$E$117</definedName>
    <definedName name="C_RDS_4P5_L_BO">'BQ2575X Design Calculator'!$F$135</definedName>
    <definedName name="C_RDS_4P5_L_BU">'BQ2575X Design Calculator'!$F$117</definedName>
    <definedName name="C_RDS_C_H_BO">'BQ2575X Design Calculator'!$E$137</definedName>
    <definedName name="C_RDS_C_H_BU">'BQ2575X Design Calculator'!$E$119</definedName>
    <definedName name="C_RDS_C_L_BO">'BQ2575X Design Calculator'!$F$137</definedName>
    <definedName name="C_RDS_C_L_BU">'BQ2575X Design Calculator'!$F$119</definedName>
    <definedName name="CLR_Save">'BQ2575X Design Calculator'!$J$159</definedName>
    <definedName name="Compare_MOSFET">'BQ2575X Design Calculator'!$K$157</definedName>
    <definedName name="COUT_ESR">'BQ2575X Design Calculator'!$E$107</definedName>
    <definedName name="Custom_MOSFET">'BQ2575X Design Calculator'!$J$157</definedName>
    <definedName name="Desired_Fsw">'BQ2575X Design Calculator'!$E$13</definedName>
    <definedName name="Desired_Operation">'BQ2575X Design Calculator'!$E$88</definedName>
    <definedName name="DITHER">'[1]Variable Management'!$O$10</definedName>
    <definedName name="Fsw">'BQ2575X Design Calculator'!$E$16</definedName>
    <definedName name="ILmax">'BQ2575X Design Calculator'!$E$23</definedName>
    <definedName name="Ioutmax">'BQ2575X Design Calculator'!$E$10</definedName>
    <definedName name="Ipkpk_VACnom">'BQ2575X Design Calculator'!$E$31</definedName>
    <definedName name="Isat">'BQ2575X Design Calculator'!$E$24</definedName>
    <definedName name="L">'BQ2575X Design Calculator'!$E$26</definedName>
    <definedName name="L_DRC">'BQ2575X Design Calculator'!$E$29</definedName>
    <definedName name="MOSFET_S">'BQ2575X Design Calculator'!$E$157</definedName>
    <definedName name="R_FB_BOT">'BQ2575X Design Calculator'!$E$75</definedName>
    <definedName name="R_FB_BOT_Ideal">'BQ2575X Design Calculator'!$H$72</definedName>
    <definedName name="R_FB_TOP">'BQ2575X Design Calculator'!$E$74</definedName>
    <definedName name="R_FBG">'BQ2575X Design Calculator'!$H$71</definedName>
    <definedName name="RAC_SNS">'BQ2575X Design Calculator'!$E$40</definedName>
    <definedName name="RAC1_R">'BQ2575X Design Calculator'!$E$60</definedName>
    <definedName name="RAC1_S">'BQ2575X Design Calculator'!$E$63</definedName>
    <definedName name="RAC2_R">'BQ2575X Design Calculator'!$E$61</definedName>
    <definedName name="RAC2_S">'BQ2575X Design Calculator'!$E$64</definedName>
    <definedName name="RAC3_R">'BQ2575X Design Calculator'!$E$62</definedName>
    <definedName name="RAC3_S">'BQ2575X Design Calculator'!$E$65</definedName>
    <definedName name="RBAT_SNS">'BQ2575X Design Calculator'!$E$49</definedName>
    <definedName name="RFB_BOT_R">'BQ2575X Design Calculator'!$E$72</definedName>
    <definedName name="RFB_TOP_R">'BQ2575X Design Calculator'!$E$71</definedName>
    <definedName name="RIIN">'BQ2575X Design Calculator'!$E$45</definedName>
    <definedName name="RIOUT">'BQ2575X Design Calculator'!$E$54</definedName>
    <definedName name="RT1_Ideal_TH">'Thermistor Qualification'!$E$12</definedName>
    <definedName name="RT1_R">'BQ2575X Design Calculator'!$E$84</definedName>
    <definedName name="RT1_TH_S">'Thermistor Qualification'!$F$16</definedName>
    <definedName name="RT1_TH_S_MAX">'Thermistor Qualification'!$G$16</definedName>
    <definedName name="RT1_TH_S_MIN">'Thermistor Qualification'!$E$16</definedName>
    <definedName name="RT2_Ideal_TH">'Thermistor Qualification'!$E$13</definedName>
    <definedName name="RT2_R">'BQ2575X Design Calculator'!$E$85</definedName>
    <definedName name="RT2_TH_MIN">'Thermistor Qualification'!$E$17</definedName>
    <definedName name="RT2_TH_S">'Thermistor Qualification'!$F$17</definedName>
    <definedName name="RT2_TH_S_MAX">'Thermistor Qualification'!$G$17</definedName>
    <definedName name="RTHCOLD">'BQ2575X Design Calculator'!$E$82</definedName>
    <definedName name="RTHCOLD_TH">'Thermistor Qualification'!$E$10</definedName>
    <definedName name="RTHHOT">'BQ2575X Design Calculator'!$E$83</definedName>
    <definedName name="RTHHOT_TH">'Thermistor Qualification'!$E$11</definedName>
    <definedName name="Save">'BQ2575X Design Calculator'!$I$159</definedName>
    <definedName name="Save_Sel">'BQ2575X Design Calculator'!$E$159</definedName>
    <definedName name="T_50_P">'BQ2575X Design Calculator'!$L$81</definedName>
    <definedName name="T_60">'BQ2575X Design Calculator'!$J$81</definedName>
    <definedName name="T_600">'BQ2575X Design Calculator'!$J$81</definedName>
    <definedName name="T_65">'BQ2575X Design Calculator'!$K$81</definedName>
    <definedName name="T1_0">'BQ2575X Design Calculator'!$J$80</definedName>
    <definedName name="T1_0_P">'BQ2575X Design Calculator'!$N$80</definedName>
    <definedName name="T1_0_PERCENT">'Thermistor Qualification'!$N$6</definedName>
    <definedName name="T1_0_TEMP">'Thermistor Qualification'!$J$6</definedName>
    <definedName name="T1_5">'BQ2575X Design Calculator'!$K$80</definedName>
    <definedName name="T1_5_P">'BQ2575X Design Calculator'!$O$80</definedName>
    <definedName name="T1_5_PERCENT">'Thermistor Qualification'!$O$6</definedName>
    <definedName name="T1_5_TEMP">'Thermistor Qualification'!$K$6</definedName>
    <definedName name="T1_N_TEMP">'Thermistor Qualification'!$I$6</definedName>
    <definedName name="T1_N10">'BQ2575X Design Calculator'!$H$80</definedName>
    <definedName name="T1_N10_P">'BQ2575X Design Calculator'!$L$80</definedName>
    <definedName name="T1_N10_PERCENT">'Thermistor Qualification'!$L$6</definedName>
    <definedName name="T1_N10_TEMP">'Thermistor Qualification'!$H$6</definedName>
    <definedName name="T1_N5">'BQ2575X Design Calculator'!$I$80</definedName>
    <definedName name="T1_N5_P">'BQ2575X Design Calculator'!$M$80</definedName>
    <definedName name="T1_N5_PERCENT">'Thermistor Qualification'!$M$6</definedName>
    <definedName name="T1_P_Select">'BQ2575X Design Calculator'!$P$80</definedName>
    <definedName name="T1_S">'Thermistor Qualification'!$E$6</definedName>
    <definedName name="T1_T_N10">'BQ2575X Design Calculator'!$H$80</definedName>
    <definedName name="T1_TE">'BQ2575X Design Calculator'!$H$80</definedName>
    <definedName name="T1_TEMP">'BQ2575X Design Calculator'!$H$80</definedName>
    <definedName name="T1_TEMP__10">'BQ2575X Design Calculator'!$H$80</definedName>
    <definedName name="T1_TEMP_0">'BQ2575X Design Calculator'!$I$80</definedName>
    <definedName name="T1_TEMP_N10">'BQ2575X Design Calculator'!$H$80</definedName>
    <definedName name="T1_TEMP_Neg_5">'BQ2575X Design Calculator'!$I$80</definedName>
    <definedName name="T2_10_PERCENT">'Thermistor Qualification'!$M$7</definedName>
    <definedName name="T2_10_TEMP">'Thermistor Qualification'!$I$7</definedName>
    <definedName name="T2_15_PERCENT">'Thermistor Qualification'!$N$7</definedName>
    <definedName name="T2_15_TEMP">'Thermistor Qualification'!$J$7</definedName>
    <definedName name="T2_20_PERCENT">'Thermistor Qualification'!$O$7</definedName>
    <definedName name="T2_20_TEMP">'Thermistor Qualification'!$K$7</definedName>
    <definedName name="T2_5_PERCENT">'Thermistor Qualification'!$L$7</definedName>
    <definedName name="T2_5_TEMP">'Thermistor Qualification'!$H$7</definedName>
    <definedName name="T2_S">'Thermistor Qualification'!$E$7</definedName>
    <definedName name="T3_40_PERCENT">'Thermistor Qualification'!$L$8</definedName>
    <definedName name="T3_40_TEMP">'Thermistor Qualification'!$H$8</definedName>
    <definedName name="T3_45_PERCENT">'Thermistor Qualification'!$M$8</definedName>
    <definedName name="T3_45_TEMP">'Thermistor Qualification'!$I$8</definedName>
    <definedName name="T3_50_PERCENT">'Thermistor Qualification'!$N$8</definedName>
    <definedName name="T3_50_TEMP">'Thermistor Qualification'!$J$8</definedName>
    <definedName name="T3_55_PERCENT">'Thermistor Qualification'!$O$8</definedName>
    <definedName name="T3_55_TEMP">'Thermistor Qualification'!$K$8</definedName>
    <definedName name="T3_S">'Thermistor Qualification'!$E$8</definedName>
    <definedName name="T5_50">'BQ2575X Design Calculator'!$H$81</definedName>
    <definedName name="T5_50_PERCENT">'Thermistor Qualification'!$L$9</definedName>
    <definedName name="T5_50_TEMP">'Thermistor Qualification'!$H$9</definedName>
    <definedName name="T5_55">'BQ2575X Design Calculator'!$I$81</definedName>
    <definedName name="T5_55_P">'BQ2575X Design Calculator'!$M$81</definedName>
    <definedName name="T5_55_PERCENT">'Thermistor Qualification'!$M$9</definedName>
    <definedName name="T5_55_TEMP">'Thermistor Qualification'!$I$9</definedName>
    <definedName name="T5_60">'BQ2575X Design Calculator'!$J$81</definedName>
    <definedName name="T5_60_P">'BQ2575X Design Calculator'!$N$81</definedName>
    <definedName name="T5_60_PERCENT">'Thermistor Qualification'!$N$9</definedName>
    <definedName name="T5_60_TEMP">'Thermistor Qualification'!$J$9</definedName>
    <definedName name="T5_65">'BQ2575X Design Calculator'!$K$81</definedName>
    <definedName name="T5_65_P">'BQ2575X Design Calculator'!$O$81</definedName>
    <definedName name="T5_65_PERCENT">'Thermistor Qualification'!$O$9</definedName>
    <definedName name="T5_65_TEMP">'Thermistor Qualification'!$K$9</definedName>
    <definedName name="T5_P_Select">'BQ2575X Design Calculator'!$P$81</definedName>
    <definedName name="T5_S">'Thermistor Qualification'!$E$9</definedName>
    <definedName name="TCOLD">'BQ2575X Design Calculator'!$E$80</definedName>
    <definedName name="THOT">'BQ2575X Design Calculator'!$E$81</definedName>
    <definedName name="TI_MOSFET">'BQ2575X Design Calculator'!$I$157</definedName>
    <definedName name="TI_MOSFET_S_gFS_H_BO">'BQ2575X Design Calculator'!$E$184</definedName>
    <definedName name="TI_MOSFET_S_gFS_H_BU">'BQ2575X Design Calculator'!$E$170</definedName>
    <definedName name="TI_MOSFET_S_gFS_L_BO">'BQ2575X Design Calculator'!$F$184</definedName>
    <definedName name="TI_MOSFET_S_gFS_L_BU">'BQ2575X Design Calculator'!$F$170</definedName>
    <definedName name="TI_MOSFET_S_QG_H_BO">'BQ2575X Design Calculator'!$E$179</definedName>
    <definedName name="TI_MOSFET_S_QG_H_BU">'BQ2575X Design Calculator'!$E$165</definedName>
    <definedName name="TI_MOSFET_S_QG_L_BO">'BQ2575X Design Calculator'!$F$179</definedName>
    <definedName name="TI_MOSFET_S_QG_L_BU">'BQ2575X Design Calculator'!$F$165</definedName>
    <definedName name="TI_MOSFET_S_QGD_H_BO">'BQ2575X Design Calculator'!$E$180</definedName>
    <definedName name="TI_MOSFET_S_QGD_H_BU">'BQ2575X Design Calculator'!$E$166</definedName>
    <definedName name="TI_MOSFET_S_QGD_L_BO">'BQ2575X Design Calculator'!$F$180</definedName>
    <definedName name="TI_MOSFET_S_QGD_L_BU">'BQ2575X Design Calculator'!$F$166</definedName>
    <definedName name="TI_MOSFET_S_QGS_H_BO">'BQ2575X Design Calculator'!$E$181</definedName>
    <definedName name="TI_MOSFET_S_QGS_H_BU">'BQ2575X Design Calculator'!$E$167</definedName>
    <definedName name="TI_MOSFET_S_QGS_L_BO">'BQ2575X Design Calculator'!$F$181</definedName>
    <definedName name="TI_MOSFET_S_QGS_L_BU">'BQ2575X Design Calculator'!$F$167</definedName>
    <definedName name="TI_MOSFET_S_QOSS_H_BO">'BQ2575X Design Calculator'!$E$182</definedName>
    <definedName name="TI_MOSFET_S_QOSS_H_BU">'BQ2575X Design Calculator'!$E$168</definedName>
    <definedName name="TI_MOSFET_S_QOSS_L_BO">'BQ2575X Design Calculator'!$F$182</definedName>
    <definedName name="TI_MOSFET_S_QOSS_L_BU">'BQ2575X Design Calculator'!$F$168</definedName>
    <definedName name="TI_MOSFET_S_QRR_H_BO">'BQ2575X Design Calculator'!$E$187</definedName>
    <definedName name="TI_MOSFET_S_QRR_L_BU">'BQ2575X Design Calculator'!$F$173</definedName>
    <definedName name="TI_MOSFET_S_RDSON_H_BO">'BQ2575X Design Calculator'!$E$178</definedName>
    <definedName name="TI_MOSFET_S_RDSON_H_BU">'BQ2575X Design Calculator'!$E$164</definedName>
    <definedName name="TI_MOSFET_S_RDSON_L_BO">'BQ2575X Design Calculator'!$F$178</definedName>
    <definedName name="TI_MOSFET_S_RDSON_L_BU">'BQ2575X Design Calculator'!$F$164</definedName>
    <definedName name="TI_MOSFET_S_VSD_H_BO">'BQ2575X Design Calculator'!$E$186</definedName>
    <definedName name="TI_MOSFET_S_VSD_H_BU">'BQ2575X Design Calculator'!$E$172</definedName>
    <definedName name="TI_MOSFET_S_VSD_L_BO">'BQ2575X Design Calculator'!$F$186</definedName>
    <definedName name="TI_MOSFET_S_VSD_L_BU">'BQ2575X Design Calculator'!$F$172</definedName>
    <definedName name="TI_MOSFET_S_VTH_H_BO">'BQ2575X Design Calculator'!$E$185</definedName>
    <definedName name="TI_MOSFET_S_VTH_H_BU">'BQ2575X Design Calculator'!$E$171</definedName>
    <definedName name="TI_MOSFET_S_VTH_L_BO">'BQ2575X Design Calculator'!$F$185</definedName>
    <definedName name="TI_MOSFET_S_VTH_L_BU">'BQ2575X Design Calculator'!$F$171</definedName>
    <definedName name="TI_QG_10_H_BO">'BQ2575X Design Calculator'!$N$139</definedName>
    <definedName name="TI_QG_10_H_BU">'BQ2575X Design Calculator'!$N$121</definedName>
    <definedName name="TI_QG_10_L_BO">'BQ2575X Design Calculator'!$O$139</definedName>
    <definedName name="TI_QG_10_L_BU">'BQ2575X Design Calculator'!$O$121</definedName>
    <definedName name="TI_QG_4P5_H_BO">'BQ2575X Design Calculator'!$N$138</definedName>
    <definedName name="TI_QG_4P5_H_BU">'BQ2575X Design Calculator'!$N$120</definedName>
    <definedName name="TI_QG_4P5_L_BO">'BQ2575X Design Calculator'!$O$138</definedName>
    <definedName name="TI_QG_4P5_L_BU">'BQ2575X Design Calculator'!$O$120</definedName>
    <definedName name="TI_QG_C_H_BO">'BQ2575X Design Calculator'!$N$140</definedName>
    <definedName name="TI_QG_C_H_BU">'BQ2575X Design Calculator'!$N$122</definedName>
    <definedName name="TI_QG_C_L_BO">'BQ2575X Design Calculator'!$O$140</definedName>
    <definedName name="TI_QG_C_L_BU">'BQ2575X Design Calculator'!$O$122</definedName>
    <definedName name="TI_QGD_H_BO">'BQ2575X Design Calculator'!$N$141</definedName>
    <definedName name="TI_QGD_H_BU">'BQ2575X Design Calculator'!$N$123</definedName>
    <definedName name="TI_QGD_L_BO">'BQ2575X Design Calculator'!$O$141</definedName>
    <definedName name="TI_QGD_L_BU">'BQ2575X Design Calculator'!$O$123</definedName>
    <definedName name="TI_RDS_10_H_BO">'BQ2575X Design Calculator'!$N$136</definedName>
    <definedName name="TI_RDS_10_H_BU">'BQ2575X Design Calculator'!$N$118</definedName>
    <definedName name="TI_RDS_10_L_BO">'BQ2575X Design Calculator'!$O$136</definedName>
    <definedName name="TI_RDS_10_L_BU">'BQ2575X Design Calculator'!$O$118</definedName>
    <definedName name="TI_RDS_4P5_H_BO">'BQ2575X Design Calculator'!$N$135</definedName>
    <definedName name="TI_RDS_4P5_H_BU">'BQ2575X Design Calculator'!$N$117</definedName>
    <definedName name="TI_RDS_4P5_L_BO">'BQ2575X Design Calculator'!$O$135</definedName>
    <definedName name="TI_RDS_4P5_L_BU">'BQ2575X Design Calculator'!$O$117</definedName>
    <definedName name="TI_RDS_C_H_BO">'BQ2575X Design Calculator'!$N$137</definedName>
    <definedName name="TI_RDS_C_H_BU">'BQ2575X Design Calculator'!$N$119</definedName>
    <definedName name="TI_RDS_C_L_BO">'BQ2575X Design Calculator'!$O$137</definedName>
    <definedName name="TI_RDS_C_L_BU">'BQ2575X Design Calculator'!$O$119</definedName>
    <definedName name="V_FB_CEILING">'BQ2575X Design Calculator'!$K$73</definedName>
    <definedName name="V_FB_FLOOR">'BQ2575X Design Calculator'!$J$73</definedName>
    <definedName name="V_FB_Ideal">'BQ2575X Design Calculator'!$H$73</definedName>
    <definedName name="V_FB_Step">'BQ2575X Design Calculator'!$I$73</definedName>
    <definedName name="VACmax">'BQ2575X Design Calculator'!$E$8</definedName>
    <definedName name="VACmin">'BQ2575X Design Calculator'!$E$6</definedName>
    <definedName name="VACnom">'BQ2575X Design Calculator'!$E$7</definedName>
    <definedName name="Vbat">'BQ2575X Design Calculator'!$E$9</definedName>
    <definedName name="VBATREG">'BQ2575X Design Calculator'!$E$77</definedName>
    <definedName name="VBATREG_CEILING">'BQ2575X Design Calculator'!$M$73</definedName>
    <definedName name="VBATREG_D">'BQ2575X Design Calculator'!$E$70</definedName>
    <definedName name="VBATREG_FLOOR">'BQ2575X Design Calculator'!$L$73</definedName>
    <definedName name="VFB_Default">'BQ2575X Design Calculator'!$I$71</definedName>
    <definedName name="VFB_S">'BQ2575X Design Calculator'!$E$76</definedName>
    <definedName name="Vgs_10">'BQ2575X Design Calculator'!$J$158</definedName>
    <definedName name="Vgs_4P5">'BQ2575X Design Calculator'!$I$158</definedName>
    <definedName name="Vgs_C">'BQ2575X Design Calculator'!$K$158</definedName>
    <definedName name="VGS_S">'BQ2575X Design Calculator'!$E$158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44" i="1" l="1"/>
  <c r="E55" i="1"/>
  <c r="E53" i="1"/>
  <c r="E51" i="1"/>
  <c r="E41" i="1"/>
  <c r="E50" i="1"/>
  <c r="E89" i="1"/>
  <c r="E90" i="1"/>
  <c r="E91" i="1"/>
  <c r="I16" i="1"/>
  <c r="H16" i="1"/>
  <c r="H100" i="1"/>
  <c r="H106" i="1"/>
  <c r="D22" i="3"/>
  <c r="D26" i="3"/>
  <c r="A161" i="1"/>
  <c r="BB13" i="3"/>
  <c r="AQ13" i="3" s="1"/>
  <c r="AZ13" i="3"/>
  <c r="AC13" i="3" s="1"/>
  <c r="BA13" i="3"/>
  <c r="AJ13" i="3" s="1"/>
  <c r="AZ14" i="3"/>
  <c r="AC14" i="3" s="1"/>
  <c r="BB14" i="3"/>
  <c r="AQ14" i="3" s="1"/>
  <c r="BA14" i="3"/>
  <c r="AJ14" i="3" s="1"/>
  <c r="BA11" i="3"/>
  <c r="AJ11" i="3" s="1"/>
  <c r="AZ11" i="3"/>
  <c r="AC11" i="3" s="1"/>
  <c r="BB11" i="3"/>
  <c r="AQ11" i="3" s="1"/>
  <c r="BB12" i="3"/>
  <c r="AQ12" i="3"/>
  <c r="AZ12" i="3"/>
  <c r="AC12" i="3" s="1"/>
  <c r="BA12" i="3"/>
  <c r="AJ12" i="3" s="1"/>
  <c r="AZ10" i="3"/>
  <c r="AC10" i="3" s="1"/>
  <c r="BB10" i="3"/>
  <c r="AQ10" i="3" s="1"/>
  <c r="BA10" i="3"/>
  <c r="AJ10" i="3" s="1"/>
  <c r="BA9" i="3"/>
  <c r="AJ9" i="3" s="1"/>
  <c r="AZ9" i="3"/>
  <c r="AC9" i="3" s="1"/>
  <c r="BB9" i="3"/>
  <c r="AQ9" i="3" s="1"/>
  <c r="BB8" i="3"/>
  <c r="AQ8" i="3" s="1"/>
  <c r="AZ8" i="3"/>
  <c r="AC8" i="3" s="1"/>
  <c r="BA8" i="3"/>
  <c r="AJ8" i="3" s="1"/>
  <c r="BB7" i="3"/>
  <c r="AQ7" i="3" s="1"/>
  <c r="AZ7" i="3"/>
  <c r="AC7" i="3" s="1"/>
  <c r="BA7" i="3"/>
  <c r="AJ7" i="3" s="1"/>
  <c r="BD9" i="3"/>
  <c r="D21" i="3"/>
  <c r="E11" i="3"/>
  <c r="R117" i="1"/>
  <c r="E10" i="3"/>
  <c r="Q9" i="3"/>
  <c r="Q6" i="3"/>
  <c r="AC20" i="3"/>
  <c r="AE20" i="3"/>
  <c r="AE21" i="3"/>
  <c r="AE22" i="3"/>
  <c r="AE23" i="3"/>
  <c r="AE24" i="3"/>
  <c r="AE25" i="3"/>
  <c r="AE26" i="3"/>
  <c r="AE27" i="3"/>
  <c r="AE28" i="3"/>
  <c r="AE29" i="3"/>
  <c r="AE30" i="3"/>
  <c r="AE31" i="3"/>
  <c r="AE32" i="3"/>
  <c r="AE33" i="3"/>
  <c r="AE34" i="3"/>
  <c r="AE35" i="3"/>
  <c r="AE36" i="3"/>
  <c r="AE37" i="3"/>
  <c r="AE38" i="3"/>
  <c r="AE39" i="3"/>
  <c r="AE40" i="3"/>
  <c r="AE41" i="3"/>
  <c r="AE42" i="3"/>
  <c r="AE43" i="3"/>
  <c r="AE44" i="3"/>
  <c r="AE45" i="3"/>
  <c r="AE46" i="3"/>
  <c r="AE47" i="3"/>
  <c r="AE48" i="3"/>
  <c r="AE49" i="3"/>
  <c r="AE50" i="3"/>
  <c r="AE51" i="3"/>
  <c r="AE52" i="3"/>
  <c r="AE53" i="3"/>
  <c r="AE54" i="3"/>
  <c r="AE55" i="3"/>
  <c r="AE56" i="3"/>
  <c r="AE57" i="3"/>
  <c r="AE58" i="3"/>
  <c r="AE59" i="3"/>
  <c r="AE60" i="3"/>
  <c r="AE61" i="3"/>
  <c r="AE62" i="3"/>
  <c r="AE63" i="3"/>
  <c r="AE64" i="3"/>
  <c r="AE65" i="3"/>
  <c r="AE66" i="3"/>
  <c r="AE67" i="3"/>
  <c r="AE68" i="3"/>
  <c r="AE69" i="3"/>
  <c r="AE70" i="3"/>
  <c r="AE71" i="3"/>
  <c r="AE72" i="3"/>
  <c r="AE73" i="3"/>
  <c r="AE74" i="3"/>
  <c r="AE75" i="3"/>
  <c r="AE76" i="3"/>
  <c r="AE77" i="3"/>
  <c r="AE78" i="3"/>
  <c r="AE79" i="3"/>
  <c r="AE80" i="3"/>
  <c r="AE81" i="3"/>
  <c r="AE82" i="3"/>
  <c r="AE83" i="3"/>
  <c r="AE84" i="3"/>
  <c r="AE85" i="3"/>
  <c r="AE86" i="3"/>
  <c r="AE87" i="3"/>
  <c r="AE88" i="3"/>
  <c r="AE89" i="3"/>
  <c r="AE90" i="3"/>
  <c r="AE91" i="3"/>
  <c r="AE92" i="3"/>
  <c r="AE93" i="3"/>
  <c r="AE94" i="3"/>
  <c r="AE95" i="3"/>
  <c r="AE96" i="3"/>
  <c r="AE97" i="3"/>
  <c r="AE98" i="3"/>
  <c r="AE99" i="3"/>
  <c r="AE100" i="3"/>
  <c r="AE101" i="3"/>
  <c r="AE102" i="3"/>
  <c r="AE103" i="3"/>
  <c r="AE104" i="3"/>
  <c r="AE105" i="3"/>
  <c r="AE106" i="3"/>
  <c r="AE107" i="3"/>
  <c r="AE108" i="3"/>
  <c r="AE109" i="3"/>
  <c r="AE110" i="3"/>
  <c r="AE111" i="3"/>
  <c r="AE112" i="3"/>
  <c r="AE113" i="3"/>
  <c r="AE114" i="3"/>
  <c r="AE115" i="3"/>
  <c r="AE116" i="3"/>
  <c r="AE117" i="3"/>
  <c r="AE118" i="3"/>
  <c r="AE119" i="3"/>
  <c r="AE120" i="3"/>
  <c r="AE121" i="3"/>
  <c r="AE122" i="3"/>
  <c r="AE123" i="3"/>
  <c r="AE124" i="3"/>
  <c r="AE125" i="3"/>
  <c r="AE126" i="3"/>
  <c r="AE127" i="3"/>
  <c r="AE128" i="3"/>
  <c r="AE129" i="3"/>
  <c r="AE130" i="3"/>
  <c r="AE131" i="3"/>
  <c r="AE132" i="3"/>
  <c r="AE133" i="3"/>
  <c r="AE134" i="3"/>
  <c r="AE135" i="3"/>
  <c r="AE136" i="3"/>
  <c r="AE137" i="3"/>
  <c r="AE138" i="3"/>
  <c r="AE139" i="3"/>
  <c r="AE140" i="3"/>
  <c r="AE141" i="3"/>
  <c r="AE142" i="3"/>
  <c r="AE143" i="3"/>
  <c r="AE144" i="3"/>
  <c r="AE145" i="3"/>
  <c r="AE146" i="3"/>
  <c r="AE147" i="3"/>
  <c r="AE148" i="3"/>
  <c r="AE149" i="3"/>
  <c r="AE150" i="3"/>
  <c r="AE151" i="3"/>
  <c r="AE152" i="3"/>
  <c r="AE153" i="3"/>
  <c r="AE154" i="3"/>
  <c r="AE155" i="3"/>
  <c r="AE156" i="3"/>
  <c r="AE157" i="3"/>
  <c r="AE158" i="3"/>
  <c r="AE159" i="3"/>
  <c r="AE160" i="3"/>
  <c r="AE161" i="3"/>
  <c r="AE162" i="3"/>
  <c r="AE163" i="3"/>
  <c r="AE164" i="3"/>
  <c r="AE165" i="3"/>
  <c r="AE166" i="3"/>
  <c r="AE167" i="3"/>
  <c r="AE168" i="3"/>
  <c r="AE169" i="3"/>
  <c r="AE170" i="3"/>
  <c r="AE171" i="3"/>
  <c r="AE172" i="3"/>
  <c r="AE173" i="3"/>
  <c r="AE174" i="3"/>
  <c r="AE175" i="3"/>
  <c r="AE176" i="3"/>
  <c r="AE177" i="3"/>
  <c r="AE178" i="3"/>
  <c r="AE179" i="3"/>
  <c r="AE180" i="3"/>
  <c r="AF20" i="3"/>
  <c r="AF105" i="3"/>
  <c r="AF180" i="3"/>
  <c r="AD105" i="3"/>
  <c r="AD180" i="3"/>
  <c r="AD20"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06" i="3"/>
  <c r="D23" i="3"/>
  <c r="D24" i="3"/>
  <c r="D25"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C20" i="3"/>
  <c r="A21" i="3"/>
  <c r="AC21" i="3"/>
  <c r="G10" i="3"/>
  <c r="C21" i="3"/>
  <c r="AF110" i="3"/>
  <c r="AF39" i="3"/>
  <c r="AD39" i="3"/>
  <c r="AD174" i="3"/>
  <c r="AF174" i="3"/>
  <c r="AD142" i="3"/>
  <c r="AF142" i="3"/>
  <c r="AD118" i="3"/>
  <c r="AF118" i="3"/>
  <c r="AD102" i="3"/>
  <c r="AF102" i="3"/>
  <c r="AD94" i="3"/>
  <c r="AF94" i="3"/>
  <c r="AD86" i="3"/>
  <c r="AF86" i="3"/>
  <c r="AF78" i="3"/>
  <c r="AD70" i="3"/>
  <c r="AF70" i="3"/>
  <c r="AD62" i="3"/>
  <c r="AF62" i="3"/>
  <c r="AD54" i="3"/>
  <c r="AF54" i="3"/>
  <c r="AD46" i="3"/>
  <c r="AF46" i="3"/>
  <c r="AD38" i="3"/>
  <c r="AF38" i="3"/>
  <c r="AD30" i="3"/>
  <c r="AF30" i="3"/>
  <c r="AD22" i="3"/>
  <c r="AF22" i="3"/>
  <c r="AD173" i="3"/>
  <c r="AF173" i="3"/>
  <c r="AD165" i="3"/>
  <c r="AF165" i="3"/>
  <c r="AD157" i="3"/>
  <c r="AF157" i="3"/>
  <c r="AD149" i="3"/>
  <c r="AF149" i="3"/>
  <c r="AD141" i="3"/>
  <c r="AF141" i="3"/>
  <c r="AD133" i="3"/>
  <c r="AF133" i="3"/>
  <c r="AD125" i="3"/>
  <c r="AF125" i="3"/>
  <c r="AD117" i="3"/>
  <c r="AF117" i="3"/>
  <c r="AD109" i="3"/>
  <c r="AF109" i="3"/>
  <c r="AD21" i="3"/>
  <c r="AF21" i="3"/>
  <c r="AD97" i="3"/>
  <c r="AF97" i="3"/>
  <c r="AD81" i="3"/>
  <c r="AF81" i="3"/>
  <c r="AD65" i="3"/>
  <c r="AF65" i="3"/>
  <c r="AD49" i="3"/>
  <c r="AF49" i="3"/>
  <c r="AD33" i="3"/>
  <c r="AF33" i="3"/>
  <c r="AD176" i="3"/>
  <c r="AF176" i="3"/>
  <c r="AD160" i="3"/>
  <c r="AF160" i="3"/>
  <c r="AD144" i="3"/>
  <c r="AF144" i="3"/>
  <c r="AD136" i="3"/>
  <c r="AF136" i="3"/>
  <c r="AD120" i="3"/>
  <c r="AF120" i="3"/>
  <c r="AD104" i="3"/>
  <c r="AF104" i="3"/>
  <c r="AD88" i="3"/>
  <c r="AF88" i="3"/>
  <c r="AD72" i="3"/>
  <c r="AF72" i="3"/>
  <c r="AD64" i="3"/>
  <c r="AF64" i="3"/>
  <c r="AD48" i="3"/>
  <c r="AF48" i="3"/>
  <c r="AD32" i="3"/>
  <c r="AF32" i="3"/>
  <c r="AF175" i="3"/>
  <c r="AD175" i="3"/>
  <c r="AF167" i="3"/>
  <c r="AD167" i="3"/>
  <c r="AD151" i="3"/>
  <c r="AF151" i="3"/>
  <c r="AF135" i="3"/>
  <c r="AD135" i="3"/>
  <c r="AF119" i="3"/>
  <c r="AD119" i="3"/>
  <c r="AF95" i="3"/>
  <c r="AF79" i="3"/>
  <c r="AD79" i="3"/>
  <c r="AD63" i="3"/>
  <c r="AF63" i="3"/>
  <c r="AF47" i="3"/>
  <c r="AD47" i="3"/>
  <c r="AF23" i="3"/>
  <c r="AD23" i="3"/>
  <c r="AD158" i="3"/>
  <c r="AF158" i="3"/>
  <c r="AD134" i="3"/>
  <c r="AF134" i="3"/>
  <c r="AD101" i="3"/>
  <c r="AF101" i="3"/>
  <c r="AD93" i="3"/>
  <c r="AF93" i="3"/>
  <c r="AD85" i="3"/>
  <c r="AF85" i="3"/>
  <c r="AD77" i="3"/>
  <c r="AF77" i="3"/>
  <c r="AD69" i="3"/>
  <c r="AF69" i="3"/>
  <c r="AD61" i="3"/>
  <c r="AF61" i="3"/>
  <c r="AD53" i="3"/>
  <c r="AF53" i="3"/>
  <c r="AD45" i="3"/>
  <c r="AF45" i="3"/>
  <c r="AD37" i="3"/>
  <c r="AF37" i="3"/>
  <c r="AD29" i="3"/>
  <c r="AF29" i="3"/>
  <c r="AD106" i="3"/>
  <c r="AF106" i="3"/>
  <c r="AD172" i="3"/>
  <c r="AF172" i="3"/>
  <c r="AD164" i="3"/>
  <c r="AF164" i="3"/>
  <c r="AD156" i="3"/>
  <c r="AF156" i="3"/>
  <c r="AD148" i="3"/>
  <c r="AF148" i="3"/>
  <c r="AD140" i="3"/>
  <c r="AF140" i="3"/>
  <c r="AD132" i="3"/>
  <c r="AF132" i="3"/>
  <c r="AD124" i="3"/>
  <c r="AF124" i="3"/>
  <c r="AD116" i="3"/>
  <c r="AF116" i="3"/>
  <c r="AD108" i="3"/>
  <c r="AF108" i="3"/>
  <c r="AD89" i="3"/>
  <c r="AF89" i="3"/>
  <c r="AD73" i="3"/>
  <c r="AF73" i="3"/>
  <c r="AD57" i="3"/>
  <c r="AF57" i="3"/>
  <c r="AD41" i="3"/>
  <c r="AF41" i="3"/>
  <c r="AD25" i="3"/>
  <c r="AF25" i="3"/>
  <c r="AD168" i="3"/>
  <c r="AF168" i="3"/>
  <c r="AD152" i="3"/>
  <c r="AF152" i="3"/>
  <c r="AD128" i="3"/>
  <c r="AF128" i="3"/>
  <c r="AD96" i="3"/>
  <c r="AF96" i="3"/>
  <c r="AD80" i="3"/>
  <c r="AF80" i="3"/>
  <c r="AD56" i="3"/>
  <c r="AF56" i="3"/>
  <c r="AD40" i="3"/>
  <c r="AF40" i="3"/>
  <c r="AD24" i="3"/>
  <c r="AF24" i="3"/>
  <c r="AF159" i="3"/>
  <c r="AF143" i="3"/>
  <c r="AD143" i="3"/>
  <c r="AF127" i="3"/>
  <c r="AD127" i="3"/>
  <c r="AF103" i="3"/>
  <c r="AD103" i="3"/>
  <c r="AD87" i="3"/>
  <c r="AF87" i="3"/>
  <c r="AF71" i="3"/>
  <c r="AD71" i="3"/>
  <c r="AF55" i="3"/>
  <c r="AD55" i="3"/>
  <c r="AD31" i="3"/>
  <c r="AF31" i="3"/>
  <c r="AD166" i="3"/>
  <c r="AF166" i="3"/>
  <c r="AD150" i="3"/>
  <c r="AF150" i="3"/>
  <c r="AD126" i="3"/>
  <c r="AF126" i="3"/>
  <c r="AD100" i="3"/>
  <c r="AF100" i="3"/>
  <c r="AD92" i="3"/>
  <c r="AF92" i="3"/>
  <c r="AD84" i="3"/>
  <c r="AF84" i="3"/>
  <c r="AD76" i="3"/>
  <c r="AF76" i="3"/>
  <c r="AD68" i="3"/>
  <c r="AF68" i="3"/>
  <c r="AD60" i="3"/>
  <c r="AF60" i="3"/>
  <c r="AD52" i="3"/>
  <c r="AF52" i="3"/>
  <c r="AD44" i="3"/>
  <c r="AF44" i="3"/>
  <c r="AD36" i="3"/>
  <c r="AF36" i="3"/>
  <c r="AD28" i="3"/>
  <c r="AF28" i="3"/>
  <c r="AD179" i="3"/>
  <c r="AF179" i="3"/>
  <c r="AF171" i="3"/>
  <c r="AD171" i="3"/>
  <c r="AF163" i="3"/>
  <c r="AD163" i="3"/>
  <c r="AF155" i="3"/>
  <c r="AD155" i="3"/>
  <c r="AF147" i="3"/>
  <c r="AD147" i="3"/>
  <c r="AF139" i="3"/>
  <c r="AD139" i="3"/>
  <c r="AD131" i="3"/>
  <c r="AF131" i="3"/>
  <c r="AF123" i="3"/>
  <c r="AD123" i="3"/>
  <c r="AF115" i="3"/>
  <c r="AD115" i="3"/>
  <c r="AD107" i="3"/>
  <c r="AD114" i="3"/>
  <c r="AF114" i="3"/>
  <c r="AF99" i="3"/>
  <c r="AD99" i="3"/>
  <c r="AF91" i="3"/>
  <c r="AD91" i="3"/>
  <c r="AF83" i="3"/>
  <c r="AD83" i="3"/>
  <c r="AF75" i="3"/>
  <c r="AD75" i="3"/>
  <c r="AF67" i="3"/>
  <c r="AD67" i="3"/>
  <c r="AF59" i="3"/>
  <c r="AD59" i="3"/>
  <c r="AF51" i="3"/>
  <c r="AD51" i="3"/>
  <c r="AF43" i="3"/>
  <c r="AD43" i="3"/>
  <c r="AF35" i="3"/>
  <c r="AD35" i="3"/>
  <c r="AF27" i="3"/>
  <c r="AD27" i="3"/>
  <c r="AD178" i="3"/>
  <c r="AF178" i="3"/>
  <c r="AD170" i="3"/>
  <c r="AF170" i="3"/>
  <c r="AD162" i="3"/>
  <c r="AF162" i="3"/>
  <c r="AD154" i="3"/>
  <c r="AF154" i="3"/>
  <c r="AD146" i="3"/>
  <c r="AF146" i="3"/>
  <c r="AD138" i="3"/>
  <c r="AF138" i="3"/>
  <c r="AD130" i="3"/>
  <c r="AF130" i="3"/>
  <c r="AD122" i="3"/>
  <c r="AF122" i="3"/>
  <c r="AD98" i="3"/>
  <c r="AF98" i="3"/>
  <c r="AD90" i="3"/>
  <c r="AF90" i="3"/>
  <c r="AD82" i="3"/>
  <c r="AF82" i="3"/>
  <c r="AD74" i="3"/>
  <c r="AF74" i="3"/>
  <c r="AD66" i="3"/>
  <c r="AF66" i="3"/>
  <c r="AD58" i="3"/>
  <c r="AF58" i="3"/>
  <c r="AD50" i="3"/>
  <c r="AF50" i="3"/>
  <c r="AD42" i="3"/>
  <c r="AF42" i="3"/>
  <c r="AD34" i="3"/>
  <c r="AF34" i="3"/>
  <c r="AD26" i="3"/>
  <c r="AF26" i="3"/>
  <c r="AD177" i="3"/>
  <c r="AF177" i="3"/>
  <c r="AD169" i="3"/>
  <c r="AF169" i="3"/>
  <c r="AD161" i="3"/>
  <c r="AF161" i="3"/>
  <c r="AD153" i="3"/>
  <c r="AF153" i="3"/>
  <c r="AD145" i="3"/>
  <c r="AF145" i="3"/>
  <c r="AD137" i="3"/>
  <c r="AF137" i="3"/>
  <c r="AD129" i="3"/>
  <c r="AF129" i="3"/>
  <c r="AD121" i="3"/>
  <c r="AF121" i="3"/>
  <c r="AD113" i="3"/>
  <c r="AF113" i="3"/>
  <c r="AD112" i="3"/>
  <c r="AF112" i="3"/>
  <c r="AF111" i="3"/>
  <c r="AD111" i="3"/>
  <c r="AF107" i="3"/>
  <c r="AD110" i="3"/>
  <c r="A22" i="3"/>
  <c r="AD159" i="3"/>
  <c r="AD95" i="3"/>
  <c r="AD78" i="3"/>
  <c r="A23" i="3"/>
  <c r="AC22" i="3"/>
  <c r="C22" i="3"/>
  <c r="C23" i="3"/>
  <c r="E102" i="1"/>
  <c r="E109" i="1"/>
  <c r="E108" i="1"/>
  <c r="G74" i="1"/>
  <c r="G75" i="1"/>
  <c r="G82" i="1"/>
  <c r="G83" i="1"/>
  <c r="G65" i="1"/>
  <c r="G64" i="1"/>
  <c r="G63" i="1"/>
  <c r="G54" i="1"/>
  <c r="G45" i="1"/>
  <c r="G15" i="1"/>
  <c r="G49" i="1"/>
  <c r="G40" i="1"/>
  <c r="H95" i="1"/>
  <c r="H72" i="1"/>
  <c r="E77" i="1"/>
  <c r="H29" i="1"/>
  <c r="I29" i="1"/>
  <c r="E23" i="1"/>
  <c r="E39" i="1"/>
  <c r="I161" i="1"/>
  <c r="O188" i="1"/>
  <c r="O181" i="1"/>
  <c r="O182" i="1"/>
  <c r="O183" i="1"/>
  <c r="O184" i="1"/>
  <c r="O185" i="1"/>
  <c r="O186" i="1"/>
  <c r="O180" i="1"/>
  <c r="N181" i="1"/>
  <c r="N182" i="1"/>
  <c r="N183" i="1"/>
  <c r="N184" i="1"/>
  <c r="N185" i="1"/>
  <c r="N186" i="1"/>
  <c r="N187" i="1"/>
  <c r="N188" i="1"/>
  <c r="N180" i="1"/>
  <c r="O167" i="1"/>
  <c r="O168" i="1"/>
  <c r="O169" i="1"/>
  <c r="O170" i="1"/>
  <c r="O171" i="1"/>
  <c r="O172" i="1"/>
  <c r="O173" i="1"/>
  <c r="O174" i="1"/>
  <c r="O166" i="1"/>
  <c r="N174" i="1"/>
  <c r="N167" i="1"/>
  <c r="N168" i="1"/>
  <c r="N169" i="1"/>
  <c r="N170" i="1"/>
  <c r="N171" i="1"/>
  <c r="N172" i="1"/>
  <c r="N166" i="1"/>
  <c r="O165" i="1"/>
  <c r="O164" i="1"/>
  <c r="N165" i="1"/>
  <c r="N164" i="1"/>
  <c r="K158" i="1"/>
  <c r="I20" i="1"/>
  <c r="I18" i="1"/>
  <c r="E20" i="1"/>
  <c r="I19" i="1"/>
  <c r="K1158" i="2"/>
  <c r="K1159" i="2"/>
  <c r="K1160" i="2" s="1"/>
  <c r="K1161" i="2" s="1"/>
  <c r="K1162" i="2" s="1"/>
  <c r="K1163" i="2" s="1"/>
  <c r="K1164" i="2" s="1"/>
  <c r="K1165" i="2" s="1"/>
  <c r="K1166" i="2" s="1"/>
  <c r="K1167" i="2" s="1"/>
  <c r="K1168" i="2" s="1"/>
  <c r="K1169" i="2" s="1"/>
  <c r="K1170" i="2" s="1"/>
  <c r="K1171" i="2" s="1"/>
  <c r="K1172" i="2" s="1"/>
  <c r="K1173" i="2" s="1"/>
  <c r="K1174" i="2" s="1"/>
  <c r="K1175" i="2" s="1"/>
  <c r="K1176" i="2" s="1"/>
  <c r="K1177" i="2" s="1"/>
  <c r="K1178" i="2" s="1"/>
  <c r="K1179" i="2" s="1"/>
  <c r="K1180" i="2" s="1"/>
  <c r="K1181" i="2" s="1"/>
  <c r="K1182" i="2" s="1"/>
  <c r="K1183" i="2" s="1"/>
  <c r="K1184" i="2" s="1"/>
  <c r="K1185" i="2" s="1"/>
  <c r="K1186" i="2" s="1"/>
  <c r="K1187" i="2" s="1"/>
  <c r="K1188" i="2" s="1"/>
  <c r="K1189" i="2" s="1"/>
  <c r="K1190" i="2" s="1"/>
  <c r="K1191" i="2" s="1"/>
  <c r="K1192" i="2" s="1"/>
  <c r="K1193" i="2" s="1"/>
  <c r="K1194" i="2" s="1"/>
  <c r="K1195" i="2" s="1"/>
  <c r="K1196" i="2" s="1"/>
  <c r="K1197" i="2" s="1"/>
  <c r="K1198" i="2" s="1"/>
  <c r="K1199" i="2" s="1"/>
  <c r="K1200" i="2" s="1"/>
  <c r="K1201" i="2" s="1"/>
  <c r="K1202" i="2" s="1"/>
  <c r="K1203" i="2" s="1"/>
  <c r="K1204" i="2" s="1"/>
  <c r="K1205" i="2" s="1"/>
  <c r="K1206" i="2" s="1"/>
  <c r="K1207" i="2" s="1"/>
  <c r="K1208" i="2" s="1"/>
  <c r="K1209" i="2" s="1"/>
  <c r="K1210" i="2" s="1"/>
  <c r="K1211" i="2" s="1"/>
  <c r="K1212" i="2" s="1"/>
  <c r="K1213" i="2" s="1"/>
  <c r="K1214" i="2" s="1"/>
  <c r="K1215" i="2" s="1"/>
  <c r="K1216" i="2" s="1"/>
  <c r="K1217" i="2" s="1"/>
  <c r="K1218" i="2" s="1"/>
  <c r="K1219" i="2" s="1"/>
  <c r="K1220" i="2" s="1"/>
  <c r="K1221" i="2" s="1"/>
  <c r="K1222" i="2" s="1"/>
  <c r="K1223" i="2" s="1"/>
  <c r="K1224" i="2" s="1"/>
  <c r="K1225" i="2" s="1"/>
  <c r="K1226" i="2" s="1"/>
  <c r="K1227" i="2" s="1"/>
  <c r="K1228" i="2" s="1"/>
  <c r="K1229" i="2" s="1"/>
  <c r="K966" i="2"/>
  <c r="K967" i="2" s="1"/>
  <c r="K968" i="2"/>
  <c r="K969" i="2" s="1"/>
  <c r="K970" i="2"/>
  <c r="K971" i="2" s="1"/>
  <c r="K972" i="2"/>
  <c r="K973" i="2" s="1"/>
  <c r="K974" i="2" s="1"/>
  <c r="K975" i="2" s="1"/>
  <c r="K976" i="2" s="1"/>
  <c r="K977" i="2" s="1"/>
  <c r="K978" i="2" s="1"/>
  <c r="K979" i="2" s="1"/>
  <c r="K980" i="2" s="1"/>
  <c r="K785" i="2"/>
  <c r="K786" i="2" s="1"/>
  <c r="K787" i="2"/>
  <c r="K788" i="2" s="1"/>
  <c r="K789" i="2" s="1"/>
  <c r="K790" i="2" s="1"/>
  <c r="K791" i="2" s="1"/>
  <c r="K792" i="2" s="1"/>
  <c r="K793" i="2" s="1"/>
  <c r="K794" i="2" s="1"/>
  <c r="K795" i="2" s="1"/>
  <c r="K796" i="2" s="1"/>
  <c r="K797" i="2" s="1"/>
  <c r="K798" i="2" s="1"/>
  <c r="K799" i="2" s="1"/>
  <c r="K800" i="2" s="1"/>
  <c r="K774" i="2"/>
  <c r="K775" i="2"/>
  <c r="K776" i="2" s="1"/>
  <c r="K777" i="2" s="1"/>
  <c r="K778" i="2" s="1"/>
  <c r="K779" i="2" s="1"/>
  <c r="K780" i="2" s="1"/>
  <c r="K781" i="2" s="1"/>
  <c r="K782" i="2" s="1"/>
  <c r="K783" i="2" s="1"/>
  <c r="K784" i="2" s="1"/>
  <c r="K628" i="2"/>
  <c r="K629" i="2" s="1"/>
  <c r="K630" i="2" s="1"/>
  <c r="K631" i="2" s="1"/>
  <c r="K583" i="2"/>
  <c r="K584" i="2"/>
  <c r="K585" i="2"/>
  <c r="K586" i="2" s="1"/>
  <c r="K587" i="2" s="1"/>
  <c r="K588" i="2" s="1"/>
  <c r="K589" i="2" s="1"/>
  <c r="K590" i="2" s="1"/>
  <c r="K591" i="2" s="1"/>
  <c r="K592" i="2" s="1"/>
  <c r="K593" i="2" s="1"/>
  <c r="K594" i="2" s="1"/>
  <c r="K595" i="2" s="1"/>
  <c r="K596" i="2" s="1"/>
  <c r="K597" i="2" s="1"/>
  <c r="K598" i="2" s="1"/>
  <c r="K599" i="2" s="1"/>
  <c r="K600" i="2" s="1"/>
  <c r="K601" i="2" s="1"/>
  <c r="K602" i="2" s="1"/>
  <c r="K603" i="2" s="1"/>
  <c r="K604" i="2" s="1"/>
  <c r="K605" i="2" s="1"/>
  <c r="K606" i="2" s="1"/>
  <c r="K607" i="2" s="1"/>
  <c r="K608" i="2" s="1"/>
  <c r="K609" i="2" s="1"/>
  <c r="K610" i="2" s="1"/>
  <c r="K611" i="2" s="1"/>
  <c r="K612" i="2" s="1"/>
  <c r="K613" i="2" s="1"/>
  <c r="K614" i="2" s="1"/>
  <c r="K615" i="2" s="1"/>
  <c r="K616" i="2" s="1"/>
  <c r="K617" i="2" s="1"/>
  <c r="K618" i="2" s="1"/>
  <c r="K619" i="2" s="1"/>
  <c r="K620" i="2" s="1"/>
  <c r="K621" i="2" s="1"/>
  <c r="K622" i="2" s="1"/>
  <c r="K623" i="2" s="1"/>
  <c r="K624" i="2" s="1"/>
  <c r="K625" i="2" s="1"/>
  <c r="K626" i="2" s="1"/>
  <c r="K627" i="2" s="1"/>
  <c r="K582" i="2"/>
  <c r="J495" i="2"/>
  <c r="F435" i="2"/>
  <c r="H430" i="2"/>
  <c r="F419" i="2"/>
  <c r="K390" i="2"/>
  <c r="K391" i="2" s="1"/>
  <c r="J388" i="2"/>
  <c r="J580" i="2"/>
  <c r="F388" i="2"/>
  <c r="J387" i="2"/>
  <c r="J579" i="2" s="1"/>
  <c r="F387" i="2"/>
  <c r="F483" i="2"/>
  <c r="J386" i="2"/>
  <c r="H386" i="2"/>
  <c r="F386" i="2"/>
  <c r="F482" i="2"/>
  <c r="J385" i="2"/>
  <c r="J577" i="2"/>
  <c r="F385" i="2"/>
  <c r="H385" i="2" s="1"/>
  <c r="F481" i="2"/>
  <c r="J384" i="2"/>
  <c r="J576" i="2"/>
  <c r="F384" i="2"/>
  <c r="H384" i="2" s="1"/>
  <c r="J383" i="2"/>
  <c r="J575" i="2"/>
  <c r="H383" i="2"/>
  <c r="F383" i="2"/>
  <c r="F479" i="2" s="1"/>
  <c r="J382" i="2"/>
  <c r="J574" i="2" s="1"/>
  <c r="F382" i="2"/>
  <c r="H382" i="2" s="1"/>
  <c r="F478" i="2"/>
  <c r="J381" i="2"/>
  <c r="F381" i="2"/>
  <c r="F477" i="2" s="1"/>
  <c r="J380" i="2"/>
  <c r="J572" i="2" s="1"/>
  <c r="F380" i="2"/>
  <c r="H380" i="2" s="1"/>
  <c r="J379" i="2"/>
  <c r="J571" i="2"/>
  <c r="F379" i="2"/>
  <c r="F475" i="2" s="1"/>
  <c r="J378" i="2"/>
  <c r="F378" i="2"/>
  <c r="H378" i="2" s="1"/>
  <c r="F474" i="2"/>
  <c r="J377" i="2"/>
  <c r="J569" i="2" s="1"/>
  <c r="J761" i="2"/>
  <c r="H377" i="2"/>
  <c r="F377" i="2"/>
  <c r="F473" i="2" s="1"/>
  <c r="J376" i="2"/>
  <c r="J568" i="2" s="1"/>
  <c r="H376" i="2"/>
  <c r="F376" i="2"/>
  <c r="F472" i="2" s="1"/>
  <c r="J375" i="2"/>
  <c r="J567" i="2"/>
  <c r="F375" i="2"/>
  <c r="H375" i="2" s="1"/>
  <c r="F471" i="2"/>
  <c r="J374" i="2"/>
  <c r="J566" i="2" s="1"/>
  <c r="J758" i="2" s="1"/>
  <c r="F374" i="2"/>
  <c r="F470" i="2"/>
  <c r="H470" i="2" s="1"/>
  <c r="J373" i="2"/>
  <c r="F373" i="2"/>
  <c r="F469" i="2" s="1"/>
  <c r="J372" i="2"/>
  <c r="J564" i="2"/>
  <c r="J756" i="2" s="1"/>
  <c r="F372" i="2"/>
  <c r="J371" i="2"/>
  <c r="J563" i="2"/>
  <c r="F371" i="2"/>
  <c r="F467" i="2"/>
  <c r="J370" i="2"/>
  <c r="F370" i="2"/>
  <c r="H370" i="2" s="1"/>
  <c r="F466" i="2"/>
  <c r="J369" i="2"/>
  <c r="J561" i="2" s="1"/>
  <c r="J753" i="2" s="1"/>
  <c r="F369" i="2"/>
  <c r="H369" i="2" s="1"/>
  <c r="F465" i="2"/>
  <c r="J368" i="2"/>
  <c r="J560" i="2" s="1"/>
  <c r="F368" i="2"/>
  <c r="H368" i="2" s="1"/>
  <c r="J367" i="2"/>
  <c r="J559" i="2"/>
  <c r="J751" i="2" s="1"/>
  <c r="H367" i="2"/>
  <c r="F367" i="2"/>
  <c r="F463" i="2"/>
  <c r="H463" i="2" s="1"/>
  <c r="J366" i="2"/>
  <c r="J558" i="2" s="1"/>
  <c r="F366" i="2"/>
  <c r="F462" i="2" s="1"/>
  <c r="J365" i="2"/>
  <c r="F365" i="2"/>
  <c r="F461" i="2"/>
  <c r="J364" i="2"/>
  <c r="J556" i="2" s="1"/>
  <c r="F364" i="2"/>
  <c r="J363" i="2"/>
  <c r="J555" i="2"/>
  <c r="F363" i="2"/>
  <c r="F459" i="2"/>
  <c r="H459" i="2" s="1"/>
  <c r="J362" i="2"/>
  <c r="J554" i="2" s="1"/>
  <c r="H362" i="2"/>
  <c r="F362" i="2"/>
  <c r="F458" i="2" s="1"/>
  <c r="J361" i="2"/>
  <c r="J553" i="2" s="1"/>
  <c r="F361" i="2"/>
  <c r="J360" i="2"/>
  <c r="J552" i="2" s="1"/>
  <c r="F360" i="2"/>
  <c r="H360" i="2" s="1"/>
  <c r="J359" i="2"/>
  <c r="J551" i="2"/>
  <c r="F359" i="2"/>
  <c r="H359" i="2" s="1"/>
  <c r="F455" i="2"/>
  <c r="J358" i="2"/>
  <c r="J550" i="2"/>
  <c r="F358" i="2"/>
  <c r="F454" i="2" s="1"/>
  <c r="F550" i="2" s="1"/>
  <c r="J357" i="2"/>
  <c r="F357" i="2"/>
  <c r="J356" i="2"/>
  <c r="J548" i="2" s="1"/>
  <c r="J740" i="2"/>
  <c r="F356" i="2"/>
  <c r="J355" i="2"/>
  <c r="J547" i="2"/>
  <c r="F355" i="2"/>
  <c r="F451" i="2"/>
  <c r="J354" i="2"/>
  <c r="H354" i="2"/>
  <c r="F354" i="2"/>
  <c r="F450" i="2" s="1"/>
  <c r="J353" i="2"/>
  <c r="J545" i="2" s="1"/>
  <c r="J737" i="2" s="1"/>
  <c r="F353" i="2"/>
  <c r="H353" i="2" s="1"/>
  <c r="J352" i="2"/>
  <c r="J544" i="2"/>
  <c r="J736" i="2" s="1"/>
  <c r="J928" i="2" s="1"/>
  <c r="H352" i="2"/>
  <c r="F352" i="2"/>
  <c r="F448" i="2"/>
  <c r="J351" i="2"/>
  <c r="J543" i="2" s="1"/>
  <c r="H351" i="2"/>
  <c r="F351" i="2"/>
  <c r="F447" i="2"/>
  <c r="J350" i="2"/>
  <c r="J542" i="2"/>
  <c r="F350" i="2"/>
  <c r="F446" i="2" s="1"/>
  <c r="J349" i="2"/>
  <c r="F349" i="2"/>
  <c r="F445" i="2"/>
  <c r="J348" i="2"/>
  <c r="J540" i="2"/>
  <c r="J732" i="2" s="1"/>
  <c r="F348" i="2"/>
  <c r="F444" i="2" s="1"/>
  <c r="J347" i="2"/>
  <c r="J539" i="2" s="1"/>
  <c r="F347" i="2"/>
  <c r="F443" i="2" s="1"/>
  <c r="J346" i="2"/>
  <c r="F346" i="2"/>
  <c r="F442" i="2" s="1"/>
  <c r="J345" i="2"/>
  <c r="J537" i="2"/>
  <c r="F345" i="2"/>
  <c r="H345" i="2" s="1"/>
  <c r="J344" i="2"/>
  <c r="J536" i="2"/>
  <c r="H344" i="2"/>
  <c r="F344" i="2"/>
  <c r="F440" i="2" s="1"/>
  <c r="H440" i="2" s="1"/>
  <c r="J343" i="2"/>
  <c r="J535" i="2"/>
  <c r="H343" i="2"/>
  <c r="F343" i="2"/>
  <c r="F439" i="2" s="1"/>
  <c r="J342" i="2"/>
  <c r="J534" i="2" s="1"/>
  <c r="F342" i="2"/>
  <c r="F438" i="2"/>
  <c r="F534" i="2"/>
  <c r="J341" i="2"/>
  <c r="F341" i="2"/>
  <c r="F437" i="2"/>
  <c r="J340" i="2"/>
  <c r="J532" i="2" s="1"/>
  <c r="J724" i="2" s="1"/>
  <c r="F340" i="2"/>
  <c r="J339" i="2"/>
  <c r="J531" i="2" s="1"/>
  <c r="F339" i="2"/>
  <c r="H339" i="2"/>
  <c r="J338" i="2"/>
  <c r="F338" i="2"/>
  <c r="F434" i="2" s="1"/>
  <c r="J337" i="2"/>
  <c r="J529" i="2" s="1"/>
  <c r="J721" i="2" s="1"/>
  <c r="F337" i="2"/>
  <c r="H337" i="2" s="1"/>
  <c r="J336" i="2"/>
  <c r="J528" i="2"/>
  <c r="H336" i="2"/>
  <c r="F336" i="2"/>
  <c r="F432" i="2" s="1"/>
  <c r="J335" i="2"/>
  <c r="J527" i="2" s="1"/>
  <c r="H335" i="2"/>
  <c r="F335" i="2"/>
  <c r="F431" i="2" s="1"/>
  <c r="J334" i="2"/>
  <c r="J526" i="2"/>
  <c r="J718" i="2" s="1"/>
  <c r="F334" i="2"/>
  <c r="F430" i="2"/>
  <c r="F526" i="2" s="1"/>
  <c r="J333" i="2"/>
  <c r="F333" i="2"/>
  <c r="F429" i="2"/>
  <c r="J332" i="2"/>
  <c r="J524" i="2" s="1"/>
  <c r="F332" i="2"/>
  <c r="J331" i="2"/>
  <c r="J523" i="2"/>
  <c r="J715" i="2"/>
  <c r="F331" i="2"/>
  <c r="H331" i="2" s="1"/>
  <c r="J330" i="2"/>
  <c r="H330" i="2"/>
  <c r="F330" i="2"/>
  <c r="F426" i="2"/>
  <c r="J329" i="2"/>
  <c r="J521" i="2"/>
  <c r="J713" i="2"/>
  <c r="F329" i="2"/>
  <c r="F425" i="2" s="1"/>
  <c r="J328" i="2"/>
  <c r="J520" i="2" s="1"/>
  <c r="F328" i="2"/>
  <c r="H328" i="2" s="1"/>
  <c r="J327" i="2"/>
  <c r="J519" i="2"/>
  <c r="J711" i="2" s="1"/>
  <c r="F327" i="2"/>
  <c r="H327" i="2" s="1"/>
  <c r="J326" i="2"/>
  <c r="J518" i="2"/>
  <c r="J710" i="2" s="1"/>
  <c r="F326" i="2"/>
  <c r="J325" i="2"/>
  <c r="F325" i="2"/>
  <c r="F421" i="2" s="1"/>
  <c r="J324" i="2"/>
  <c r="J516" i="2" s="1"/>
  <c r="F324" i="2"/>
  <c r="J323" i="2"/>
  <c r="J515" i="2" s="1"/>
  <c r="J707" i="2" s="1"/>
  <c r="F323" i="2"/>
  <c r="H323" i="2"/>
  <c r="J322" i="2"/>
  <c r="J514" i="2" s="1"/>
  <c r="J706" i="2" s="1"/>
  <c r="H322" i="2"/>
  <c r="F322" i="2"/>
  <c r="F418" i="2"/>
  <c r="J321" i="2"/>
  <c r="J513" i="2"/>
  <c r="H321" i="2"/>
  <c r="F321" i="2"/>
  <c r="F417" i="2" s="1"/>
  <c r="J320" i="2"/>
  <c r="J512" i="2"/>
  <c r="J704" i="2" s="1"/>
  <c r="F320" i="2"/>
  <c r="H320" i="2" s="1"/>
  <c r="J319" i="2"/>
  <c r="J511" i="2"/>
  <c r="J703" i="2" s="1"/>
  <c r="H319" i="2"/>
  <c r="F319" i="2"/>
  <c r="F415" i="2" s="1"/>
  <c r="J318" i="2"/>
  <c r="J510" i="2" s="1"/>
  <c r="J702" i="2" s="1"/>
  <c r="F318" i="2"/>
  <c r="F414" i="2"/>
  <c r="F510" i="2" s="1"/>
  <c r="J317" i="2"/>
  <c r="F317" i="2"/>
  <c r="F413" i="2" s="1"/>
  <c r="F509" i="2" s="1"/>
  <c r="J316" i="2"/>
  <c r="J508" i="2" s="1"/>
  <c r="J700" i="2" s="1"/>
  <c r="J892" i="2" s="1"/>
  <c r="F316" i="2"/>
  <c r="J315" i="2"/>
  <c r="J507" i="2"/>
  <c r="J699" i="2" s="1"/>
  <c r="F315" i="2"/>
  <c r="J314" i="2"/>
  <c r="F314" i="2"/>
  <c r="H314" i="2" s="1"/>
  <c r="F410" i="2"/>
  <c r="J313" i="2"/>
  <c r="J505" i="2"/>
  <c r="H313" i="2"/>
  <c r="F313" i="2"/>
  <c r="F409" i="2" s="1"/>
  <c r="J312" i="2"/>
  <c r="J504" i="2"/>
  <c r="J696" i="2" s="1"/>
  <c r="H312" i="2"/>
  <c r="F312" i="2"/>
  <c r="F408" i="2"/>
  <c r="J311" i="2"/>
  <c r="J503" i="2"/>
  <c r="J695" i="2" s="1"/>
  <c r="F311" i="2"/>
  <c r="H311" i="2" s="1"/>
  <c r="J310" i="2"/>
  <c r="J502" i="2" s="1"/>
  <c r="J694" i="2" s="1"/>
  <c r="F310" i="2"/>
  <c r="H310" i="2"/>
  <c r="J309" i="2"/>
  <c r="F309" i="2"/>
  <c r="H309" i="2"/>
  <c r="J308" i="2"/>
  <c r="J500" i="2" s="1"/>
  <c r="J692" i="2" s="1"/>
  <c r="F308" i="2"/>
  <c r="F404" i="2" s="1"/>
  <c r="J307" i="2"/>
  <c r="J499" i="2" s="1"/>
  <c r="J691" i="2" s="1"/>
  <c r="F307" i="2"/>
  <c r="H307" i="2" s="1"/>
  <c r="J306" i="2"/>
  <c r="H306" i="2"/>
  <c r="F306" i="2"/>
  <c r="F402" i="2"/>
  <c r="J305" i="2"/>
  <c r="J497" i="2" s="1"/>
  <c r="J689" i="2" s="1"/>
  <c r="F305" i="2"/>
  <c r="F401" i="2" s="1"/>
  <c r="J304" i="2"/>
  <c r="J496" i="2" s="1"/>
  <c r="J688" i="2"/>
  <c r="H304" i="2"/>
  <c r="F304" i="2"/>
  <c r="F400" i="2" s="1"/>
  <c r="J303" i="2"/>
  <c r="F303" i="2"/>
  <c r="H303" i="2" s="1"/>
  <c r="F399" i="2"/>
  <c r="H399" i="2" s="1"/>
  <c r="J302" i="2"/>
  <c r="J494" i="2"/>
  <c r="F302" i="2"/>
  <c r="H302" i="2" s="1"/>
  <c r="J301" i="2"/>
  <c r="F301" i="2"/>
  <c r="F397" i="2" s="1"/>
  <c r="H301" i="2"/>
  <c r="J300" i="2"/>
  <c r="J492" i="2" s="1"/>
  <c r="J684" i="2" s="1"/>
  <c r="F300" i="2"/>
  <c r="H300" i="2" s="1"/>
  <c r="J299" i="2"/>
  <c r="J491" i="2"/>
  <c r="F299" i="2"/>
  <c r="H299" i="2"/>
  <c r="J298" i="2"/>
  <c r="F298" i="2"/>
  <c r="H298" i="2" s="1"/>
  <c r="F394" i="2"/>
  <c r="J297" i="2"/>
  <c r="J489" i="2" s="1"/>
  <c r="J681" i="2" s="1"/>
  <c r="F297" i="2"/>
  <c r="F393" i="2" s="1"/>
  <c r="J296" i="2"/>
  <c r="J488" i="2" s="1"/>
  <c r="J680" i="2" s="1"/>
  <c r="F296" i="2"/>
  <c r="H296" i="2" s="1"/>
  <c r="F392" i="2"/>
  <c r="J295" i="2"/>
  <c r="J487" i="2"/>
  <c r="H295" i="2"/>
  <c r="F295" i="2"/>
  <c r="F391" i="2"/>
  <c r="F487" i="2"/>
  <c r="J294" i="2"/>
  <c r="J486" i="2" s="1"/>
  <c r="F294" i="2"/>
  <c r="F390" i="2" s="1"/>
  <c r="H294" i="2"/>
  <c r="J293" i="2"/>
  <c r="J485" i="2" s="1"/>
  <c r="F293" i="2"/>
  <c r="H293" i="2"/>
  <c r="J292" i="2"/>
  <c r="J484" i="2"/>
  <c r="H292" i="2"/>
  <c r="J291" i="2"/>
  <c r="J483" i="2"/>
  <c r="H291" i="2"/>
  <c r="J290" i="2"/>
  <c r="J482" i="2" s="1"/>
  <c r="H290" i="2"/>
  <c r="J289" i="2"/>
  <c r="J481" i="2" s="1"/>
  <c r="H289" i="2"/>
  <c r="J288" i="2"/>
  <c r="J480" i="2" s="1"/>
  <c r="H288" i="2"/>
  <c r="J287" i="2"/>
  <c r="J479" i="2" s="1"/>
  <c r="H287" i="2"/>
  <c r="J286" i="2"/>
  <c r="J478" i="2" s="1"/>
  <c r="H286" i="2"/>
  <c r="J285" i="2"/>
  <c r="J477" i="2" s="1"/>
  <c r="H285" i="2"/>
  <c r="J284" i="2"/>
  <c r="J476" i="2" s="1"/>
  <c r="H284" i="2"/>
  <c r="J283" i="2"/>
  <c r="J475" i="2"/>
  <c r="H283" i="2"/>
  <c r="J282" i="2"/>
  <c r="J474" i="2" s="1"/>
  <c r="H282" i="2"/>
  <c r="J281" i="2"/>
  <c r="J473" i="2" s="1"/>
  <c r="H281" i="2"/>
  <c r="J280" i="2"/>
  <c r="J472" i="2" s="1"/>
  <c r="H280" i="2"/>
  <c r="J279" i="2"/>
  <c r="J471" i="2" s="1"/>
  <c r="H279" i="2"/>
  <c r="J278" i="2"/>
  <c r="J470" i="2" s="1"/>
  <c r="H278" i="2"/>
  <c r="J277" i="2"/>
  <c r="J469" i="2" s="1"/>
  <c r="H277" i="2"/>
  <c r="J276" i="2"/>
  <c r="H276" i="2"/>
  <c r="J275" i="2"/>
  <c r="J467" i="2" s="1"/>
  <c r="H275" i="2"/>
  <c r="J274" i="2"/>
  <c r="H274" i="2"/>
  <c r="J273" i="2"/>
  <c r="J465" i="2"/>
  <c r="H273" i="2"/>
  <c r="J272" i="2"/>
  <c r="H272" i="2"/>
  <c r="J271" i="2"/>
  <c r="J463" i="2" s="1"/>
  <c r="H271" i="2"/>
  <c r="J270" i="2"/>
  <c r="H270" i="2"/>
  <c r="J269" i="2"/>
  <c r="J461" i="2"/>
  <c r="J653" i="2"/>
  <c r="H269" i="2"/>
  <c r="J268" i="2"/>
  <c r="H268" i="2"/>
  <c r="J267" i="2"/>
  <c r="J459" i="2" s="1"/>
  <c r="H267" i="2"/>
  <c r="J266" i="2"/>
  <c r="H266" i="2"/>
  <c r="J265" i="2"/>
  <c r="J457" i="2"/>
  <c r="H265" i="2"/>
  <c r="J264" i="2"/>
  <c r="H264" i="2"/>
  <c r="J263" i="2"/>
  <c r="J455" i="2"/>
  <c r="H263" i="2"/>
  <c r="J262" i="2"/>
  <c r="H262" i="2"/>
  <c r="J261" i="2"/>
  <c r="J453" i="2" s="1"/>
  <c r="H261" i="2"/>
  <c r="J260" i="2"/>
  <c r="J452" i="2" s="1"/>
  <c r="H260" i="2"/>
  <c r="J259" i="2"/>
  <c r="J451" i="2"/>
  <c r="H259" i="2"/>
  <c r="J258" i="2"/>
  <c r="H258" i="2"/>
  <c r="J257" i="2"/>
  <c r="J449" i="2" s="1"/>
  <c r="H257" i="2"/>
  <c r="J256" i="2"/>
  <c r="H256" i="2"/>
  <c r="J255" i="2"/>
  <c r="J447" i="2" s="1"/>
  <c r="H255" i="2"/>
  <c r="J254" i="2"/>
  <c r="J446" i="2" s="1"/>
  <c r="H254" i="2"/>
  <c r="J253" i="2"/>
  <c r="J445" i="2" s="1"/>
  <c r="H253" i="2"/>
  <c r="J252" i="2"/>
  <c r="H252" i="2"/>
  <c r="J251" i="2"/>
  <c r="J443" i="2"/>
  <c r="H251" i="2"/>
  <c r="J250" i="2"/>
  <c r="H250" i="2"/>
  <c r="J249" i="2"/>
  <c r="J441" i="2" s="1"/>
  <c r="H249" i="2"/>
  <c r="J248" i="2"/>
  <c r="J440" i="2" s="1"/>
  <c r="H248" i="2"/>
  <c r="J247" i="2"/>
  <c r="J439" i="2" s="1"/>
  <c r="H247" i="2"/>
  <c r="J246" i="2"/>
  <c r="H246" i="2"/>
  <c r="J245" i="2"/>
  <c r="J437" i="2" s="1"/>
  <c r="H245" i="2"/>
  <c r="J244" i="2"/>
  <c r="H244" i="2"/>
  <c r="J243" i="2"/>
  <c r="J435" i="2" s="1"/>
  <c r="H243" i="2"/>
  <c r="J242" i="2"/>
  <c r="J434" i="2" s="1"/>
  <c r="J626" i="2" s="1"/>
  <c r="H242" i="2"/>
  <c r="J241" i="2"/>
  <c r="J433" i="2" s="1"/>
  <c r="H241" i="2"/>
  <c r="J240" i="2"/>
  <c r="H240" i="2"/>
  <c r="J239" i="2"/>
  <c r="J431" i="2" s="1"/>
  <c r="H239" i="2"/>
  <c r="J238" i="2"/>
  <c r="H238" i="2"/>
  <c r="J237" i="2"/>
  <c r="J429" i="2"/>
  <c r="J621" i="2" s="1"/>
  <c r="H237" i="2"/>
  <c r="J236" i="2"/>
  <c r="H236" i="2"/>
  <c r="J235" i="2"/>
  <c r="J427" i="2"/>
  <c r="H235" i="2"/>
  <c r="J234" i="2"/>
  <c r="H234" i="2"/>
  <c r="J233" i="2"/>
  <c r="J425" i="2" s="1"/>
  <c r="H233" i="2"/>
  <c r="J232" i="2"/>
  <c r="H232" i="2"/>
  <c r="J231" i="2"/>
  <c r="J423" i="2" s="1"/>
  <c r="H231" i="2"/>
  <c r="J230" i="2"/>
  <c r="J422" i="2" s="1"/>
  <c r="H230" i="2"/>
  <c r="J229" i="2"/>
  <c r="J421" i="2" s="1"/>
  <c r="H229" i="2"/>
  <c r="J228" i="2"/>
  <c r="H228" i="2"/>
  <c r="J227" i="2"/>
  <c r="J419" i="2"/>
  <c r="H227" i="2"/>
  <c r="J226" i="2"/>
  <c r="H226" i="2"/>
  <c r="J225" i="2"/>
  <c r="J417" i="2" s="1"/>
  <c r="H225" i="2"/>
  <c r="J224" i="2"/>
  <c r="J416" i="2" s="1"/>
  <c r="J608" i="2" s="1"/>
  <c r="H224" i="2"/>
  <c r="J223" i="2"/>
  <c r="J415" i="2" s="1"/>
  <c r="H223" i="2"/>
  <c r="J222" i="2"/>
  <c r="J414" i="2" s="1"/>
  <c r="H222" i="2"/>
  <c r="J221" i="2"/>
  <c r="J413" i="2" s="1"/>
  <c r="H221" i="2"/>
  <c r="J220" i="2"/>
  <c r="H220" i="2"/>
  <c r="J219" i="2"/>
  <c r="J411" i="2" s="1"/>
  <c r="H219" i="2"/>
  <c r="J218" i="2"/>
  <c r="H218" i="2"/>
  <c r="J217" i="2"/>
  <c r="H217" i="2"/>
  <c r="J216" i="2"/>
  <c r="H216" i="2"/>
  <c r="J215" i="2"/>
  <c r="J407" i="2" s="1"/>
  <c r="H215" i="2"/>
  <c r="J214" i="2"/>
  <c r="H214" i="2"/>
  <c r="J213" i="2"/>
  <c r="H213" i="2"/>
  <c r="J212" i="2"/>
  <c r="H212" i="2"/>
  <c r="J211" i="2"/>
  <c r="J403" i="2" s="1"/>
  <c r="H211" i="2"/>
  <c r="J210" i="2"/>
  <c r="H210" i="2"/>
  <c r="J209" i="2"/>
  <c r="J401" i="2"/>
  <c r="H209" i="2"/>
  <c r="J208" i="2"/>
  <c r="H208" i="2"/>
  <c r="J207" i="2"/>
  <c r="J399" i="2" s="1"/>
  <c r="H207" i="2"/>
  <c r="J206" i="2"/>
  <c r="H206" i="2"/>
  <c r="J205" i="2"/>
  <c r="H205" i="2"/>
  <c r="J204" i="2"/>
  <c r="H204" i="2"/>
  <c r="J203" i="2"/>
  <c r="J395" i="2"/>
  <c r="H203" i="2"/>
  <c r="J202" i="2"/>
  <c r="H202" i="2"/>
  <c r="J201" i="2"/>
  <c r="J393" i="2"/>
  <c r="H201" i="2"/>
  <c r="J200" i="2"/>
  <c r="H200" i="2"/>
  <c r="L199" i="2"/>
  <c r="K199" i="2"/>
  <c r="K200" i="2" s="1"/>
  <c r="J199" i="2"/>
  <c r="J391" i="2"/>
  <c r="H199" i="2"/>
  <c r="K198" i="2"/>
  <c r="J198" i="2"/>
  <c r="H198" i="2"/>
  <c r="J197" i="2"/>
  <c r="H197" i="2"/>
  <c r="H196" i="2"/>
  <c r="H195" i="2"/>
  <c r="H194" i="2"/>
  <c r="H193" i="2"/>
  <c r="H192" i="2"/>
  <c r="H191" i="2"/>
  <c r="H190" i="2"/>
  <c r="H189" i="2"/>
  <c r="H188" i="2"/>
  <c r="H187" i="2"/>
  <c r="H186" i="2"/>
  <c r="H185" i="2"/>
  <c r="H184" i="2"/>
  <c r="H183" i="2"/>
  <c r="H182" i="2"/>
  <c r="H181" i="2"/>
  <c r="H180" i="2"/>
  <c r="H179" i="2"/>
  <c r="H178" i="2"/>
  <c r="H177" i="2"/>
  <c r="H176" i="2"/>
  <c r="H175" i="2"/>
  <c r="H174" i="2"/>
  <c r="H173" i="2"/>
  <c r="H172" i="2"/>
  <c r="H171" i="2"/>
  <c r="H170" i="2"/>
  <c r="H169" i="2"/>
  <c r="H168" i="2"/>
  <c r="H167" i="2"/>
  <c r="H166" i="2"/>
  <c r="H165" i="2"/>
  <c r="H164" i="2"/>
  <c r="H163" i="2"/>
  <c r="H162" i="2"/>
  <c r="H161" i="2"/>
  <c r="H160" i="2"/>
  <c r="H159" i="2"/>
  <c r="H158" i="2"/>
  <c r="H157" i="2"/>
  <c r="H156" i="2"/>
  <c r="H155" i="2"/>
  <c r="H154" i="2"/>
  <c r="H153" i="2"/>
  <c r="H152" i="2"/>
  <c r="H151" i="2"/>
  <c r="H150" i="2"/>
  <c r="H149" i="2"/>
  <c r="H148" i="2"/>
  <c r="H147" i="2"/>
  <c r="H146" i="2"/>
  <c r="H145" i="2"/>
  <c r="H144" i="2"/>
  <c r="H143" i="2"/>
  <c r="H142" i="2"/>
  <c r="H141" i="2"/>
  <c r="H140" i="2"/>
  <c r="H139" i="2"/>
  <c r="H138" i="2"/>
  <c r="H137" i="2"/>
  <c r="H136" i="2"/>
  <c r="H135" i="2"/>
  <c r="H134" i="2"/>
  <c r="H133" i="2"/>
  <c r="H132" i="2"/>
  <c r="H131" i="2"/>
  <c r="H130" i="2"/>
  <c r="H129" i="2"/>
  <c r="H128" i="2"/>
  <c r="H127" i="2"/>
  <c r="H126" i="2"/>
  <c r="H125" i="2"/>
  <c r="H124" i="2"/>
  <c r="H123" i="2"/>
  <c r="H122" i="2"/>
  <c r="H121" i="2"/>
  <c r="H120" i="2"/>
  <c r="H119" i="2"/>
  <c r="H118" i="2"/>
  <c r="H117" i="2"/>
  <c r="H116" i="2"/>
  <c r="H115" i="2"/>
  <c r="H114" i="2"/>
  <c r="H113" i="2"/>
  <c r="H112" i="2"/>
  <c r="H111" i="2"/>
  <c r="H110" i="2"/>
  <c r="H109" i="2"/>
  <c r="H108" i="2"/>
  <c r="H107" i="2"/>
  <c r="H106" i="2"/>
  <c r="H105" i="2"/>
  <c r="H104" i="2"/>
  <c r="H103" i="2"/>
  <c r="H102" i="2"/>
  <c r="H101" i="2"/>
  <c r="H100" i="2"/>
  <c r="H99" i="2"/>
  <c r="H98" i="2"/>
  <c r="H97" i="2"/>
  <c r="H96" i="2"/>
  <c r="H95" i="2"/>
  <c r="H94" i="2"/>
  <c r="H93" i="2"/>
  <c r="H92" i="2"/>
  <c r="H91" i="2"/>
  <c r="H90" i="2"/>
  <c r="H89" i="2"/>
  <c r="H88" i="2"/>
  <c r="H87" i="2"/>
  <c r="H86" i="2"/>
  <c r="H85" i="2"/>
  <c r="H84" i="2"/>
  <c r="H83" i="2"/>
  <c r="H82" i="2"/>
  <c r="H81" i="2"/>
  <c r="H80" i="2"/>
  <c r="H79" i="2"/>
  <c r="H78" i="2"/>
  <c r="H77" i="2"/>
  <c r="H76" i="2"/>
  <c r="H75" i="2"/>
  <c r="H74" i="2"/>
  <c r="H73" i="2"/>
  <c r="H72" i="2"/>
  <c r="H71" i="2"/>
  <c r="H70" i="2"/>
  <c r="H69" i="2"/>
  <c r="H68" i="2"/>
  <c r="H67" i="2"/>
  <c r="H66" i="2"/>
  <c r="H65" i="2"/>
  <c r="H64" i="2"/>
  <c r="H63" i="2"/>
  <c r="H62" i="2"/>
  <c r="H61" i="2"/>
  <c r="H60" i="2"/>
  <c r="H59" i="2"/>
  <c r="D83" i="2"/>
  <c r="D107" i="2"/>
  <c r="D131" i="2" s="1"/>
  <c r="D155" i="2" s="1"/>
  <c r="H58" i="2"/>
  <c r="H57" i="2"/>
  <c r="H56" i="2"/>
  <c r="H55" i="2"/>
  <c r="H54" i="2"/>
  <c r="H53" i="2"/>
  <c r="H52" i="2"/>
  <c r="B52" i="2"/>
  <c r="B76" i="2"/>
  <c r="B100" i="2"/>
  <c r="B124" i="2" s="1"/>
  <c r="B148" i="2" s="1"/>
  <c r="B172" i="2" s="1"/>
  <c r="H51" i="2"/>
  <c r="D51" i="2"/>
  <c r="D75" i="2" s="1"/>
  <c r="D99" i="2" s="1"/>
  <c r="D123" i="2" s="1"/>
  <c r="D147" i="2" s="1"/>
  <c r="D171" i="2" s="1"/>
  <c r="B51" i="2"/>
  <c r="B75" i="2"/>
  <c r="B99" i="2" s="1"/>
  <c r="B123" i="2" s="1"/>
  <c r="B147" i="2" s="1"/>
  <c r="B171" i="2" s="1"/>
  <c r="H50" i="2"/>
  <c r="D50" i="2"/>
  <c r="D74" i="2" s="1"/>
  <c r="D98" i="2" s="1"/>
  <c r="D122" i="2" s="1"/>
  <c r="D146" i="2" s="1"/>
  <c r="D170" i="2" s="1"/>
  <c r="B50" i="2"/>
  <c r="B74" i="2" s="1"/>
  <c r="B98" i="2" s="1"/>
  <c r="B122" i="2" s="1"/>
  <c r="B146" i="2" s="1"/>
  <c r="B170" i="2" s="1"/>
  <c r="H49" i="2"/>
  <c r="D49" i="2"/>
  <c r="D73" i="2" s="1"/>
  <c r="D97" i="2" s="1"/>
  <c r="D121" i="2" s="1"/>
  <c r="D145" i="2" s="1"/>
  <c r="D169" i="2" s="1"/>
  <c r="B49" i="2"/>
  <c r="B73" i="2" s="1"/>
  <c r="B97" i="2" s="1"/>
  <c r="B121" i="2"/>
  <c r="B145" i="2"/>
  <c r="B169" i="2" s="1"/>
  <c r="H48" i="2"/>
  <c r="D48" i="2"/>
  <c r="D72" i="2" s="1"/>
  <c r="D96" i="2" s="1"/>
  <c r="D120" i="2" s="1"/>
  <c r="D144" i="2" s="1"/>
  <c r="D168" i="2" s="1"/>
  <c r="B48" i="2"/>
  <c r="B72" i="2" s="1"/>
  <c r="B96" i="2" s="1"/>
  <c r="B120" i="2" s="1"/>
  <c r="B144" i="2" s="1"/>
  <c r="B168" i="2" s="1"/>
  <c r="H47" i="2"/>
  <c r="D47" i="2"/>
  <c r="D71" i="2" s="1"/>
  <c r="D95" i="2" s="1"/>
  <c r="D119" i="2" s="1"/>
  <c r="D143" i="2" s="1"/>
  <c r="D167" i="2" s="1"/>
  <c r="B47" i="2"/>
  <c r="B71" i="2" s="1"/>
  <c r="B95" i="2" s="1"/>
  <c r="B119" i="2" s="1"/>
  <c r="B143" i="2" s="1"/>
  <c r="B167" i="2" s="1"/>
  <c r="H46" i="2"/>
  <c r="D46" i="2"/>
  <c r="D70" i="2" s="1"/>
  <c r="D94" i="2"/>
  <c r="D118" i="2" s="1"/>
  <c r="D142" i="2" s="1"/>
  <c r="D166" i="2" s="1"/>
  <c r="B46" i="2"/>
  <c r="B70" i="2" s="1"/>
  <c r="B94" i="2" s="1"/>
  <c r="B118" i="2" s="1"/>
  <c r="B142" i="2" s="1"/>
  <c r="B166" i="2" s="1"/>
  <c r="H45" i="2"/>
  <c r="D45" i="2"/>
  <c r="D69" i="2"/>
  <c r="D93" i="2"/>
  <c r="D117" i="2" s="1"/>
  <c r="D141" i="2" s="1"/>
  <c r="D165" i="2"/>
  <c r="B45" i="2"/>
  <c r="B69" i="2"/>
  <c r="B93" i="2" s="1"/>
  <c r="B117" i="2" s="1"/>
  <c r="B141" i="2" s="1"/>
  <c r="B165" i="2" s="1"/>
  <c r="H44" i="2"/>
  <c r="D44" i="2"/>
  <c r="D68" i="2" s="1"/>
  <c r="D92" i="2" s="1"/>
  <c r="D116" i="2" s="1"/>
  <c r="D140" i="2" s="1"/>
  <c r="D164" i="2" s="1"/>
  <c r="B44" i="2"/>
  <c r="B68" i="2" s="1"/>
  <c r="B92" i="2" s="1"/>
  <c r="B116" i="2" s="1"/>
  <c r="B140" i="2" s="1"/>
  <c r="B164" i="2" s="1"/>
  <c r="H43" i="2"/>
  <c r="D43" i="2"/>
  <c r="D67" i="2" s="1"/>
  <c r="D91" i="2" s="1"/>
  <c r="D115" i="2" s="1"/>
  <c r="D139" i="2" s="1"/>
  <c r="D163" i="2" s="1"/>
  <c r="B43" i="2"/>
  <c r="B67" i="2"/>
  <c r="B91" i="2" s="1"/>
  <c r="B115" i="2" s="1"/>
  <c r="B139" i="2" s="1"/>
  <c r="B163" i="2" s="1"/>
  <c r="H42" i="2"/>
  <c r="D42" i="2"/>
  <c r="D66" i="2" s="1"/>
  <c r="D90" i="2" s="1"/>
  <c r="D114" i="2" s="1"/>
  <c r="D138" i="2" s="1"/>
  <c r="D162" i="2" s="1"/>
  <c r="B42" i="2"/>
  <c r="B66" i="2" s="1"/>
  <c r="B90" i="2" s="1"/>
  <c r="B114" i="2" s="1"/>
  <c r="B138" i="2" s="1"/>
  <c r="B162" i="2" s="1"/>
  <c r="H41" i="2"/>
  <c r="D41" i="2"/>
  <c r="D65" i="2" s="1"/>
  <c r="D89" i="2" s="1"/>
  <c r="D113" i="2" s="1"/>
  <c r="D137" i="2" s="1"/>
  <c r="D161" i="2" s="1"/>
  <c r="B41" i="2"/>
  <c r="B65" i="2" s="1"/>
  <c r="B89" i="2" s="1"/>
  <c r="B113" i="2" s="1"/>
  <c r="B137" i="2" s="1"/>
  <c r="B161" i="2" s="1"/>
  <c r="H40" i="2"/>
  <c r="D40" i="2"/>
  <c r="D64" i="2" s="1"/>
  <c r="D88" i="2" s="1"/>
  <c r="B40" i="2"/>
  <c r="B64" i="2" s="1"/>
  <c r="B88" i="2" s="1"/>
  <c r="B112" i="2" s="1"/>
  <c r="B136" i="2" s="1"/>
  <c r="B160" i="2" s="1"/>
  <c r="H39" i="2"/>
  <c r="D39" i="2"/>
  <c r="D63" i="2"/>
  <c r="D87" i="2" s="1"/>
  <c r="D111" i="2" s="1"/>
  <c r="D135" i="2" s="1"/>
  <c r="D159" i="2" s="1"/>
  <c r="B39" i="2"/>
  <c r="B63" i="2" s="1"/>
  <c r="B87" i="2" s="1"/>
  <c r="B111" i="2" s="1"/>
  <c r="B135" i="2" s="1"/>
  <c r="B159" i="2" s="1"/>
  <c r="H38" i="2"/>
  <c r="D38" i="2"/>
  <c r="D62" i="2" s="1"/>
  <c r="D86" i="2"/>
  <c r="D110" i="2"/>
  <c r="D134" i="2"/>
  <c r="D158" i="2" s="1"/>
  <c r="B38" i="2"/>
  <c r="B62" i="2"/>
  <c r="B86" i="2" s="1"/>
  <c r="B110" i="2" s="1"/>
  <c r="B134" i="2" s="1"/>
  <c r="B158" i="2" s="1"/>
  <c r="H37" i="2"/>
  <c r="D37" i="2"/>
  <c r="D61" i="2"/>
  <c r="D85" i="2"/>
  <c r="D109" i="2" s="1"/>
  <c r="D133" i="2" s="1"/>
  <c r="D157" i="2"/>
  <c r="B37" i="2"/>
  <c r="B61" i="2"/>
  <c r="B85" i="2" s="1"/>
  <c r="B109" i="2" s="1"/>
  <c r="B133" i="2" s="1"/>
  <c r="B157" i="2" s="1"/>
  <c r="H36" i="2"/>
  <c r="D36" i="2"/>
  <c r="D60" i="2" s="1"/>
  <c r="D84" i="2" s="1"/>
  <c r="D108" i="2" s="1"/>
  <c r="D132" i="2" s="1"/>
  <c r="D156" i="2" s="1"/>
  <c r="B36" i="2"/>
  <c r="B60" i="2" s="1"/>
  <c r="B84" i="2"/>
  <c r="B108" i="2"/>
  <c r="B132" i="2"/>
  <c r="B156" i="2" s="1"/>
  <c r="H35" i="2"/>
  <c r="D35" i="2"/>
  <c r="D59" i="2" s="1"/>
  <c r="B35" i="2"/>
  <c r="B59" i="2"/>
  <c r="B83" i="2" s="1"/>
  <c r="B107" i="2" s="1"/>
  <c r="B131" i="2" s="1"/>
  <c r="B155" i="2" s="1"/>
  <c r="H34" i="2"/>
  <c r="D34" i="2"/>
  <c r="D58" i="2" s="1"/>
  <c r="D82" i="2" s="1"/>
  <c r="D106" i="2" s="1"/>
  <c r="D130" i="2" s="1"/>
  <c r="D154" i="2" s="1"/>
  <c r="B34" i="2"/>
  <c r="B58" i="2"/>
  <c r="B82" i="2" s="1"/>
  <c r="B106" i="2" s="1"/>
  <c r="B130" i="2" s="1"/>
  <c r="B154" i="2" s="1"/>
  <c r="H33" i="2"/>
  <c r="D33" i="2"/>
  <c r="D57" i="2" s="1"/>
  <c r="D81" i="2" s="1"/>
  <c r="D105" i="2" s="1"/>
  <c r="D129" i="2" s="1"/>
  <c r="D153" i="2" s="1"/>
  <c r="B33" i="2"/>
  <c r="B57" i="2"/>
  <c r="B81" i="2"/>
  <c r="B105" i="2" s="1"/>
  <c r="B129" i="2" s="1"/>
  <c r="B153" i="2" s="1"/>
  <c r="H32" i="2"/>
  <c r="D32" i="2"/>
  <c r="D56" i="2" s="1"/>
  <c r="D80" i="2" s="1"/>
  <c r="D104" i="2" s="1"/>
  <c r="D128" i="2" s="1"/>
  <c r="D152" i="2" s="1"/>
  <c r="B32" i="2"/>
  <c r="B56" i="2" s="1"/>
  <c r="B80" i="2" s="1"/>
  <c r="B104" i="2" s="1"/>
  <c r="B128" i="2" s="1"/>
  <c r="B152" i="2" s="1"/>
  <c r="H31" i="2"/>
  <c r="D31" i="2"/>
  <c r="D55" i="2" s="1"/>
  <c r="D79" i="2" s="1"/>
  <c r="D103" i="2" s="1"/>
  <c r="D127" i="2" s="1"/>
  <c r="D151" i="2" s="1"/>
  <c r="B31" i="2"/>
  <c r="B55" i="2" s="1"/>
  <c r="B79" i="2" s="1"/>
  <c r="B103" i="2" s="1"/>
  <c r="B127" i="2" s="1"/>
  <c r="B151" i="2" s="1"/>
  <c r="H30" i="2"/>
  <c r="D30" i="2"/>
  <c r="D54" i="2" s="1"/>
  <c r="D78" i="2" s="1"/>
  <c r="D102" i="2" s="1"/>
  <c r="D126" i="2" s="1"/>
  <c r="D150" i="2" s="1"/>
  <c r="B30" i="2"/>
  <c r="B54" i="2" s="1"/>
  <c r="B78" i="2" s="1"/>
  <c r="B102" i="2" s="1"/>
  <c r="B126" i="2" s="1"/>
  <c r="B150" i="2" s="1"/>
  <c r="H29" i="2"/>
  <c r="D29" i="2"/>
  <c r="D53" i="2" s="1"/>
  <c r="D77" i="2"/>
  <c r="D101" i="2" s="1"/>
  <c r="D125" i="2" s="1"/>
  <c r="D149" i="2" s="1"/>
  <c r="B29" i="2"/>
  <c r="B53" i="2" s="1"/>
  <c r="B77" i="2" s="1"/>
  <c r="B101" i="2" s="1"/>
  <c r="B125" i="2" s="1"/>
  <c r="B149" i="2" s="1"/>
  <c r="H28" i="2"/>
  <c r="D28" i="2"/>
  <c r="D52" i="2" s="1"/>
  <c r="D76" i="2" s="1"/>
  <c r="D100" i="2" s="1"/>
  <c r="D124" i="2" s="1"/>
  <c r="D148" i="2"/>
  <c r="D172" i="2" s="1"/>
  <c r="H27" i="2"/>
  <c r="H26" i="2"/>
  <c r="H25" i="2"/>
  <c r="H24" i="2"/>
  <c r="H23" i="2"/>
  <c r="H22" i="2"/>
  <c r="H21" i="2"/>
  <c r="H20" i="2"/>
  <c r="H19" i="2"/>
  <c r="H18" i="2"/>
  <c r="H17" i="2"/>
  <c r="H16" i="2"/>
  <c r="H15" i="2"/>
  <c r="H14" i="2"/>
  <c r="H13" i="2"/>
  <c r="H12" i="2"/>
  <c r="H11" i="2"/>
  <c r="H10" i="2"/>
  <c r="H9" i="2"/>
  <c r="H8" i="2"/>
  <c r="H7" i="2"/>
  <c r="K6" i="2"/>
  <c r="H6" i="2"/>
  <c r="K5" i="2"/>
  <c r="L5" i="2" s="1"/>
  <c r="H5" i="2"/>
  <c r="L4" i="2"/>
  <c r="H4" i="2"/>
  <c r="AI256" i="1"/>
  <c r="AG256" i="1"/>
  <c r="AI255" i="1"/>
  <c r="AI254" i="1"/>
  <c r="AI253" i="1"/>
  <c r="AI252" i="1"/>
  <c r="AI251" i="1"/>
  <c r="AI250" i="1"/>
  <c r="AI249" i="1"/>
  <c r="AI248" i="1"/>
  <c r="AI247" i="1"/>
  <c r="AI246" i="1"/>
  <c r="AI245" i="1"/>
  <c r="AI244" i="1"/>
  <c r="AI243" i="1"/>
  <c r="AI242" i="1"/>
  <c r="AI241" i="1"/>
  <c r="AI240" i="1"/>
  <c r="AI239" i="1"/>
  <c r="AI238" i="1"/>
  <c r="AI237" i="1"/>
  <c r="AI236" i="1"/>
  <c r="AI235" i="1"/>
  <c r="AI234" i="1"/>
  <c r="AI233" i="1"/>
  <c r="AI232" i="1"/>
  <c r="AI231" i="1"/>
  <c r="AI230" i="1"/>
  <c r="AI229" i="1"/>
  <c r="AI228" i="1"/>
  <c r="AI227" i="1"/>
  <c r="AI226" i="1"/>
  <c r="AI225" i="1"/>
  <c r="AI224" i="1"/>
  <c r="AI223" i="1"/>
  <c r="AI222" i="1"/>
  <c r="AI221" i="1"/>
  <c r="AI220" i="1"/>
  <c r="AI219" i="1"/>
  <c r="AI218" i="1"/>
  <c r="AI217" i="1"/>
  <c r="AI216" i="1"/>
  <c r="AI215" i="1"/>
  <c r="AI214" i="1"/>
  <c r="AI213" i="1"/>
  <c r="AI212" i="1"/>
  <c r="AI211" i="1"/>
  <c r="AI210" i="1"/>
  <c r="AI209" i="1"/>
  <c r="AI208" i="1"/>
  <c r="AI207" i="1"/>
  <c r="AI206" i="1"/>
  <c r="AI205" i="1"/>
  <c r="AI204" i="1"/>
  <c r="AI203" i="1"/>
  <c r="AI202" i="1"/>
  <c r="AI201" i="1"/>
  <c r="AI200" i="1"/>
  <c r="AI199" i="1"/>
  <c r="AI198" i="1"/>
  <c r="AI197" i="1"/>
  <c r="AI196" i="1"/>
  <c r="AI195" i="1"/>
  <c r="AI194" i="1"/>
  <c r="AI193" i="1"/>
  <c r="AI192" i="1"/>
  <c r="AI191" i="1"/>
  <c r="AI190" i="1"/>
  <c r="AI189" i="1"/>
  <c r="AI188" i="1"/>
  <c r="AI187" i="1"/>
  <c r="AI186" i="1"/>
  <c r="AI185" i="1"/>
  <c r="AI184" i="1"/>
  <c r="AI183" i="1"/>
  <c r="AI182" i="1"/>
  <c r="AI181" i="1"/>
  <c r="AI180" i="1"/>
  <c r="AI179" i="1"/>
  <c r="AI178" i="1"/>
  <c r="AI177" i="1"/>
  <c r="AI176" i="1"/>
  <c r="AI175" i="1"/>
  <c r="AI174" i="1"/>
  <c r="AI173" i="1"/>
  <c r="AI172" i="1"/>
  <c r="AI171" i="1"/>
  <c r="AI170" i="1"/>
  <c r="AI169" i="1"/>
  <c r="AI168" i="1"/>
  <c r="AI167" i="1"/>
  <c r="AI166" i="1"/>
  <c r="AI165" i="1"/>
  <c r="AI164" i="1"/>
  <c r="AI163" i="1"/>
  <c r="AI162" i="1"/>
  <c r="AI161" i="1"/>
  <c r="AI160" i="1"/>
  <c r="AI159" i="1"/>
  <c r="AI158" i="1"/>
  <c r="AI157" i="1"/>
  <c r="AF157" i="1"/>
  <c r="AF158" i="1" s="1"/>
  <c r="AF159" i="1" s="1"/>
  <c r="AF160" i="1" s="1"/>
  <c r="AF161" i="1" s="1"/>
  <c r="AF162" i="1" s="1"/>
  <c r="AF163" i="1" s="1"/>
  <c r="AF164" i="1" s="1"/>
  <c r="AF165" i="1" s="1"/>
  <c r="AF166" i="1" s="1"/>
  <c r="AF167" i="1" s="1"/>
  <c r="AF168" i="1" s="1"/>
  <c r="AF169" i="1" s="1"/>
  <c r="AF170" i="1" s="1"/>
  <c r="AF171" i="1" s="1"/>
  <c r="AF172" i="1" s="1"/>
  <c r="AF173" i="1" s="1"/>
  <c r="AF174" i="1" s="1"/>
  <c r="AI156" i="1"/>
  <c r="AG156" i="1"/>
  <c r="CD156" i="1" s="1"/>
  <c r="G101" i="1"/>
  <c r="G100" i="1"/>
  <c r="G99" i="1"/>
  <c r="G107" i="1"/>
  <c r="G106" i="1"/>
  <c r="G105" i="1"/>
  <c r="E96" i="1"/>
  <c r="E95" i="1"/>
  <c r="E94" i="1"/>
  <c r="P93" i="1"/>
  <c r="O93" i="1"/>
  <c r="N93" i="1"/>
  <c r="M93" i="1"/>
  <c r="L93" i="1"/>
  <c r="K93" i="1"/>
  <c r="J93" i="1"/>
  <c r="I93" i="1"/>
  <c r="H93" i="1"/>
  <c r="E93" i="1" s="1"/>
  <c r="G92" i="1"/>
  <c r="P81" i="1"/>
  <c r="P80" i="1"/>
  <c r="I77" i="1"/>
  <c r="H77" i="1"/>
  <c r="H75" i="1" s="1"/>
  <c r="I76" i="1"/>
  <c r="J76" i="1"/>
  <c r="K76" i="1" s="1"/>
  <c r="L76" i="1" s="1"/>
  <c r="M76" i="1" s="1"/>
  <c r="N76" i="1" s="1"/>
  <c r="O76" i="1" s="1"/>
  <c r="P76" i="1" s="1"/>
  <c r="Q76" i="1" s="1"/>
  <c r="R76" i="1" s="1"/>
  <c r="S76" i="1" s="1"/>
  <c r="T76" i="1" s="1"/>
  <c r="U76" i="1" s="1"/>
  <c r="V76" i="1" s="1"/>
  <c r="W76" i="1" s="1"/>
  <c r="X76" i="1" s="1"/>
  <c r="Y76" i="1" s="1"/>
  <c r="Z76" i="1" s="1"/>
  <c r="AA76" i="1" s="1"/>
  <c r="AB76" i="1" s="1"/>
  <c r="AC76" i="1" s="1"/>
  <c r="AD76" i="1" s="1"/>
  <c r="AE76" i="1" s="1"/>
  <c r="AF76" i="1" s="1"/>
  <c r="AG76" i="1" s="1"/>
  <c r="AH76" i="1" s="1"/>
  <c r="AI76" i="1" s="1"/>
  <c r="AJ76" i="1" s="1"/>
  <c r="AK76" i="1" s="1"/>
  <c r="AL76" i="1" s="1"/>
  <c r="AM76" i="1" s="1"/>
  <c r="I67" i="1"/>
  <c r="H67" i="1"/>
  <c r="E67" i="1"/>
  <c r="I66" i="1"/>
  <c r="H66" i="1"/>
  <c r="E66" i="1"/>
  <c r="E61" i="1"/>
  <c r="E62" i="1" s="1"/>
  <c r="I55" i="1"/>
  <c r="H55" i="1"/>
  <c r="P51" i="1"/>
  <c r="O51" i="1"/>
  <c r="N51" i="1"/>
  <c r="M51" i="1"/>
  <c r="I46" i="1"/>
  <c r="H46" i="1"/>
  <c r="E46" i="1"/>
  <c r="H43" i="1"/>
  <c r="E42" i="1"/>
  <c r="I43" i="1"/>
  <c r="G29" i="1"/>
  <c r="G26" i="1"/>
  <c r="E16" i="1"/>
  <c r="BQ186" i="1" s="1"/>
  <c r="E14" i="1"/>
  <c r="G14" i="1" s="1"/>
  <c r="G13" i="1"/>
  <c r="G10" i="1"/>
  <c r="G9" i="1"/>
  <c r="G8" i="1"/>
  <c r="K7" i="1"/>
  <c r="J7" i="1"/>
  <c r="G7" i="1"/>
  <c r="G6" i="1"/>
  <c r="Q96" i="1"/>
  <c r="Q95" i="1"/>
  <c r="Q94" i="1"/>
  <c r="CD256" i="1"/>
  <c r="CB256" i="1"/>
  <c r="H24" i="1"/>
  <c r="CC256" i="1"/>
  <c r="BQ159" i="1"/>
  <c r="BQ219" i="1"/>
  <c r="BQ228" i="1"/>
  <c r="BQ236" i="1"/>
  <c r="BO212" i="1"/>
  <c r="BO177" i="1"/>
  <c r="BO183" i="1"/>
  <c r="BO234" i="1"/>
  <c r="BQ200" i="1"/>
  <c r="BQ161" i="1"/>
  <c r="BQ225" i="1"/>
  <c r="BQ194" i="1"/>
  <c r="BQ163" i="1"/>
  <c r="BQ227" i="1"/>
  <c r="BQ244" i="1"/>
  <c r="BQ182" i="1"/>
  <c r="BQ252" i="1"/>
  <c r="BQ196" i="1"/>
  <c r="BQ254" i="1"/>
  <c r="BO195" i="1"/>
  <c r="BO156" i="1"/>
  <c r="BO220" i="1"/>
  <c r="BO181" i="1"/>
  <c r="BO245" i="1"/>
  <c r="BO206" i="1"/>
  <c r="BO176" i="1"/>
  <c r="BO193" i="1"/>
  <c r="BO159" i="1"/>
  <c r="BO199" i="1"/>
  <c r="BO184" i="1"/>
  <c r="BO169" i="1"/>
  <c r="BO191" i="1"/>
  <c r="BQ175" i="1"/>
  <c r="BQ239" i="1"/>
  <c r="BQ208" i="1"/>
  <c r="BQ169" i="1"/>
  <c r="BQ233" i="1"/>
  <c r="BQ202" i="1"/>
  <c r="BQ171" i="1"/>
  <c r="BQ235" i="1"/>
  <c r="BQ158" i="1"/>
  <c r="BQ205" i="1"/>
  <c r="BQ214" i="1"/>
  <c r="BQ255" i="1"/>
  <c r="BQ173" i="1"/>
  <c r="BO203" i="1"/>
  <c r="BO164" i="1"/>
  <c r="BO228" i="1"/>
  <c r="BO189" i="1"/>
  <c r="BO253" i="1"/>
  <c r="BO214" i="1"/>
  <c r="BO192" i="1"/>
  <c r="BO209" i="1"/>
  <c r="BO255" i="1"/>
  <c r="BO215" i="1"/>
  <c r="BO200" i="1"/>
  <c r="BO185" i="1"/>
  <c r="BQ191" i="1"/>
  <c r="BQ160" i="1"/>
  <c r="BQ224" i="1"/>
  <c r="BQ185" i="1"/>
  <c r="BQ249" i="1"/>
  <c r="BQ218" i="1"/>
  <c r="BQ187" i="1"/>
  <c r="BQ251" i="1"/>
  <c r="BQ204" i="1"/>
  <c r="BQ156" i="1"/>
  <c r="BQ166" i="1"/>
  <c r="BQ238" i="1"/>
  <c r="BQ197" i="1"/>
  <c r="BO219" i="1"/>
  <c r="BO180" i="1"/>
  <c r="BO244" i="1"/>
  <c r="BO205" i="1"/>
  <c r="BO166" i="1"/>
  <c r="BO230" i="1"/>
  <c r="BO224" i="1"/>
  <c r="BO241" i="1"/>
  <c r="BO226" i="1"/>
  <c r="BO247" i="1"/>
  <c r="BO232" i="1"/>
  <c r="BO217" i="1"/>
  <c r="BQ176" i="1"/>
  <c r="BQ201" i="1"/>
  <c r="BQ234" i="1"/>
  <c r="BQ180" i="1"/>
  <c r="BQ188" i="1"/>
  <c r="BQ190" i="1"/>
  <c r="BO235" i="1"/>
  <c r="BO157" i="1"/>
  <c r="BO182" i="1"/>
  <c r="BO256" i="1"/>
  <c r="BQ184" i="1"/>
  <c r="BQ209" i="1"/>
  <c r="BQ242" i="1"/>
  <c r="BQ198" i="1"/>
  <c r="BQ206" i="1"/>
  <c r="BQ213" i="1"/>
  <c r="BO243" i="1"/>
  <c r="BO165" i="1"/>
  <c r="BO190" i="1"/>
  <c r="BO161" i="1"/>
  <c r="BO167" i="1"/>
  <c r="BO250" i="1"/>
  <c r="BQ183" i="1"/>
  <c r="BQ216" i="1"/>
  <c r="BQ241" i="1"/>
  <c r="BQ179" i="1"/>
  <c r="BQ181" i="1"/>
  <c r="BQ220" i="1"/>
  <c r="BQ237" i="1"/>
  <c r="BO172" i="1"/>
  <c r="BO197" i="1"/>
  <c r="BO222" i="1"/>
  <c r="BO225" i="1"/>
  <c r="BO231" i="1"/>
  <c r="BO201" i="1"/>
  <c r="BQ211" i="1"/>
  <c r="BO204" i="1"/>
  <c r="BO207" i="1"/>
  <c r="BO175" i="1"/>
  <c r="BQ199" i="1"/>
  <c r="BQ232" i="1"/>
  <c r="BQ162" i="1"/>
  <c r="BQ195" i="1"/>
  <c r="BQ222" i="1"/>
  <c r="BQ189" i="1"/>
  <c r="BO163" i="1"/>
  <c r="BO188" i="1"/>
  <c r="BO213" i="1"/>
  <c r="BO238" i="1"/>
  <c r="BO162" i="1"/>
  <c r="BO170" i="1"/>
  <c r="BO233" i="1"/>
  <c r="BQ248" i="1"/>
  <c r="BQ164" i="1"/>
  <c r="BO179" i="1"/>
  <c r="BO210" i="1"/>
  <c r="BO248" i="1"/>
  <c r="BO186" i="1"/>
  <c r="BQ207" i="1"/>
  <c r="BQ240" i="1"/>
  <c r="BQ170" i="1"/>
  <c r="BQ203" i="1"/>
  <c r="BQ245" i="1"/>
  <c r="BQ212" i="1"/>
  <c r="BO171" i="1"/>
  <c r="BO196" i="1"/>
  <c r="BO221" i="1"/>
  <c r="BO246" i="1"/>
  <c r="BO194" i="1"/>
  <c r="BO218" i="1"/>
  <c r="BO249" i="1"/>
  <c r="BQ215" i="1"/>
  <c r="BQ178" i="1"/>
  <c r="BQ230" i="1"/>
  <c r="BO229" i="1"/>
  <c r="BO254" i="1"/>
  <c r="BO202" i="1"/>
  <c r="BO240" i="1"/>
  <c r="BQ247" i="1"/>
  <c r="BQ177" i="1"/>
  <c r="BQ210" i="1"/>
  <c r="BQ243" i="1"/>
  <c r="BQ246" i="1"/>
  <c r="BQ174" i="1"/>
  <c r="BO211" i="1"/>
  <c r="BO236" i="1"/>
  <c r="BO158" i="1"/>
  <c r="BO208" i="1"/>
  <c r="BO178" i="1"/>
  <c r="BO216" i="1"/>
  <c r="BQ168" i="1"/>
  <c r="BQ193" i="1"/>
  <c r="BQ226" i="1"/>
  <c r="BQ157" i="1"/>
  <c r="BQ165" i="1"/>
  <c r="BQ172" i="1"/>
  <c r="BO227" i="1"/>
  <c r="BO252" i="1"/>
  <c r="BO174" i="1"/>
  <c r="BO239" i="1"/>
  <c r="CV156" i="1"/>
  <c r="M52" i="1"/>
  <c r="N52" i="1" s="1"/>
  <c r="E32" i="1"/>
  <c r="E35" i="1" s="1"/>
  <c r="E31" i="1"/>
  <c r="AK192" i="1" s="1"/>
  <c r="E36" i="1"/>
  <c r="E17" i="1"/>
  <c r="H92" i="1"/>
  <c r="G55" i="1"/>
  <c r="I92" i="1"/>
  <c r="J402" i="2"/>
  <c r="J466" i="2"/>
  <c r="J501" i="2"/>
  <c r="J517" i="2"/>
  <c r="J533" i="2"/>
  <c r="J549" i="2"/>
  <c r="J565" i="2"/>
  <c r="AJ256" i="1"/>
  <c r="AH256" i="1"/>
  <c r="J389" i="2"/>
  <c r="L197" i="2"/>
  <c r="Q11" i="2"/>
  <c r="D112" i="2"/>
  <c r="D136" i="2"/>
  <c r="D160" i="2" s="1"/>
  <c r="J418" i="2"/>
  <c r="J426" i="2"/>
  <c r="J493" i="2"/>
  <c r="J509" i="2"/>
  <c r="J525" i="2"/>
  <c r="J541" i="2"/>
  <c r="J557" i="2"/>
  <c r="J573" i="2"/>
  <c r="J397" i="2"/>
  <c r="J442" i="2"/>
  <c r="F497" i="2"/>
  <c r="H401" i="2"/>
  <c r="K7" i="2"/>
  <c r="L6" i="2"/>
  <c r="J583" i="2"/>
  <c r="J405" i="2"/>
  <c r="J450" i="2"/>
  <c r="J599" i="2"/>
  <c r="J394" i="2"/>
  <c r="J458" i="2"/>
  <c r="J687" i="2"/>
  <c r="J490" i="2"/>
  <c r="J498" i="2"/>
  <c r="J506" i="2"/>
  <c r="J522" i="2"/>
  <c r="J530" i="2"/>
  <c r="J538" i="2"/>
  <c r="J546" i="2"/>
  <c r="J562" i="2"/>
  <c r="J570" i="2"/>
  <c r="J578" i="2"/>
  <c r="F396" i="2"/>
  <c r="F476" i="2"/>
  <c r="J392" i="2"/>
  <c r="J587" i="2"/>
  <c r="J400" i="2"/>
  <c r="J408" i="2"/>
  <c r="J424" i="2"/>
  <c r="J432" i="2"/>
  <c r="J448" i="2"/>
  <c r="J456" i="2"/>
  <c r="J464" i="2"/>
  <c r="H391" i="2"/>
  <c r="F505" i="2"/>
  <c r="H409" i="2"/>
  <c r="F513" i="2"/>
  <c r="H417" i="2"/>
  <c r="J888" i="2"/>
  <c r="L198" i="2"/>
  <c r="J390" i="2"/>
  <c r="J582" i="2" s="1"/>
  <c r="J731" i="2"/>
  <c r="J734" i="2"/>
  <c r="J747" i="2"/>
  <c r="J674" i="2"/>
  <c r="J585" i="2"/>
  <c r="J398" i="2"/>
  <c r="J593" i="2"/>
  <c r="J406" i="2"/>
  <c r="J430" i="2"/>
  <c r="J438" i="2"/>
  <c r="J633" i="2"/>
  <c r="J454" i="2"/>
  <c r="J462" i="2"/>
  <c r="F583" i="2"/>
  <c r="H583" i="2"/>
  <c r="H487" i="2"/>
  <c r="F521" i="2"/>
  <c r="H425" i="2"/>
  <c r="F543" i="2"/>
  <c r="H447" i="2"/>
  <c r="F551" i="2"/>
  <c r="F647" i="2" s="1"/>
  <c r="H647" i="2" s="1"/>
  <c r="H455" i="2"/>
  <c r="F561" i="2"/>
  <c r="H465" i="2"/>
  <c r="F567" i="2"/>
  <c r="H471" i="2"/>
  <c r="F575" i="2"/>
  <c r="H479" i="2"/>
  <c r="F577" i="2"/>
  <c r="H481" i="2"/>
  <c r="F531" i="2"/>
  <c r="H435" i="2"/>
  <c r="F412" i="2"/>
  <c r="H316" i="2"/>
  <c r="F420" i="2"/>
  <c r="H324" i="2"/>
  <c r="F428" i="2"/>
  <c r="H332" i="2"/>
  <c r="F436" i="2"/>
  <c r="H340" i="2"/>
  <c r="F452" i="2"/>
  <c r="H356" i="2"/>
  <c r="F460" i="2"/>
  <c r="H364" i="2"/>
  <c r="F468" i="2"/>
  <c r="H372" i="2"/>
  <c r="F484" i="2"/>
  <c r="H388" i="2"/>
  <c r="J750" i="2"/>
  <c r="J404" i="2"/>
  <c r="J420" i="2"/>
  <c r="J428" i="2"/>
  <c r="J436" i="2"/>
  <c r="J444" i="2"/>
  <c r="J647" i="2"/>
  <c r="J460" i="2"/>
  <c r="J468" i="2"/>
  <c r="J671" i="2"/>
  <c r="J679" i="2"/>
  <c r="J412" i="2"/>
  <c r="J631" i="2"/>
  <c r="F488" i="2"/>
  <c r="H392" i="2"/>
  <c r="F490" i="2"/>
  <c r="H394" i="2"/>
  <c r="F496" i="2"/>
  <c r="H400" i="2"/>
  <c r="F498" i="2"/>
  <c r="H402" i="2"/>
  <c r="F506" i="2"/>
  <c r="H410" i="2"/>
  <c r="H418" i="2"/>
  <c r="F514" i="2"/>
  <c r="H414" i="2"/>
  <c r="J903" i="2"/>
  <c r="J719" i="2"/>
  <c r="J727" i="2"/>
  <c r="J735" i="2"/>
  <c r="J743" i="2"/>
  <c r="J759" i="2"/>
  <c r="J767" i="2"/>
  <c r="F398" i="2"/>
  <c r="F406" i="2"/>
  <c r="F427" i="2"/>
  <c r="F536" i="2"/>
  <c r="J676" i="2"/>
  <c r="J708" i="2"/>
  <c r="J716" i="2"/>
  <c r="F622" i="2"/>
  <c r="H622" i="2" s="1"/>
  <c r="H526" i="2"/>
  <c r="J916" i="2"/>
  <c r="F630" i="2"/>
  <c r="H630" i="2" s="1"/>
  <c r="H534" i="2"/>
  <c r="F542" i="2"/>
  <c r="H446" i="2"/>
  <c r="J932" i="2"/>
  <c r="H454" i="2"/>
  <c r="J748" i="2"/>
  <c r="F558" i="2"/>
  <c r="H462" i="2"/>
  <c r="J764" i="2"/>
  <c r="J772" i="2"/>
  <c r="F395" i="2"/>
  <c r="F403" i="2"/>
  <c r="J697" i="2"/>
  <c r="H318" i="2"/>
  <c r="J705" i="2"/>
  <c r="J905" i="2"/>
  <c r="H334" i="2"/>
  <c r="H342" i="2"/>
  <c r="J729" i="2"/>
  <c r="F539" i="2"/>
  <c r="H443" i="2"/>
  <c r="H350" i="2"/>
  <c r="F547" i="2"/>
  <c r="H451" i="2"/>
  <c r="H358" i="2"/>
  <c r="J745" i="2"/>
  <c r="F555" i="2"/>
  <c r="F651" i="2" s="1"/>
  <c r="H651" i="2" s="1"/>
  <c r="H366" i="2"/>
  <c r="J945" i="2"/>
  <c r="F563" i="2"/>
  <c r="H467" i="2"/>
  <c r="H374" i="2"/>
  <c r="F571" i="2"/>
  <c r="H475" i="2"/>
  <c r="J769" i="2"/>
  <c r="F579" i="2"/>
  <c r="H483" i="2"/>
  <c r="H413" i="2"/>
  <c r="J686" i="2"/>
  <c r="H432" i="2"/>
  <c r="F528" i="2"/>
  <c r="J726" i="2"/>
  <c r="H347" i="2"/>
  <c r="H448" i="2"/>
  <c r="F544" i="2"/>
  <c r="H355" i="2"/>
  <c r="J742" i="2"/>
  <c r="H363" i="2"/>
  <c r="H371" i="2"/>
  <c r="F568" i="2"/>
  <c r="H472" i="2"/>
  <c r="H379" i="2"/>
  <c r="J766" i="2"/>
  <c r="H387" i="2"/>
  <c r="F405" i="2"/>
  <c r="F566" i="2"/>
  <c r="J683" i="2"/>
  <c r="J907" i="2"/>
  <c r="H429" i="2"/>
  <c r="F525" i="2"/>
  <c r="J723" i="2"/>
  <c r="H445" i="2"/>
  <c r="F541" i="2"/>
  <c r="J739" i="2"/>
  <c r="H461" i="2"/>
  <c r="F557" i="2"/>
  <c r="J755" i="2"/>
  <c r="F565" i="2"/>
  <c r="H469" i="2"/>
  <c r="J763" i="2"/>
  <c r="F573" i="2"/>
  <c r="H477" i="2"/>
  <c r="J771" i="2"/>
  <c r="F389" i="2"/>
  <c r="J611" i="2"/>
  <c r="J619" i="2"/>
  <c r="J627" i="2"/>
  <c r="J635" i="2"/>
  <c r="J643" i="2"/>
  <c r="J649" i="2"/>
  <c r="J651" i="2"/>
  <c r="J845" i="2"/>
  <c r="J673" i="2"/>
  <c r="J675" i="2"/>
  <c r="H317" i="2"/>
  <c r="H325" i="2"/>
  <c r="J712" i="2"/>
  <c r="F522" i="2"/>
  <c r="H426" i="2"/>
  <c r="H333" i="2"/>
  <c r="J720" i="2"/>
  <c r="H341" i="2"/>
  <c r="J728" i="2"/>
  <c r="F538" i="2"/>
  <c r="H442" i="2"/>
  <c r="H349" i="2"/>
  <c r="F546" i="2"/>
  <c r="H450" i="2"/>
  <c r="J744" i="2"/>
  <c r="F554" i="2"/>
  <c r="H458" i="2"/>
  <c r="H365" i="2"/>
  <c r="J752" i="2"/>
  <c r="F562" i="2"/>
  <c r="H466" i="2"/>
  <c r="H373" i="2"/>
  <c r="J760" i="2"/>
  <c r="F570" i="2"/>
  <c r="H474" i="2"/>
  <c r="H381" i="2"/>
  <c r="J768" i="2"/>
  <c r="F578" i="2"/>
  <c r="H482" i="2"/>
  <c r="H438" i="2"/>
  <c r="J678" i="2"/>
  <c r="AK233" i="1"/>
  <c r="AK242" i="1"/>
  <c r="AK251" i="1"/>
  <c r="AK232" i="1"/>
  <c r="AK166" i="1"/>
  <c r="AK183" i="1"/>
  <c r="E18" i="1"/>
  <c r="E19" i="1"/>
  <c r="H546" i="2"/>
  <c r="F642" i="2"/>
  <c r="H642" i="2"/>
  <c r="J870" i="2"/>
  <c r="J952" i="2"/>
  <c r="J1144" i="2" s="1"/>
  <c r="F650" i="2"/>
  <c r="H650" i="2" s="1"/>
  <c r="H554" i="2"/>
  <c r="J867" i="2"/>
  <c r="J1037" i="2"/>
  <c r="J835" i="2"/>
  <c r="J955" i="2"/>
  <c r="H555" i="2"/>
  <c r="J889" i="2"/>
  <c r="J1124" i="2"/>
  <c r="F494" i="2"/>
  <c r="H398" i="2"/>
  <c r="F610" i="2"/>
  <c r="H610" i="2" s="1"/>
  <c r="H514" i="2"/>
  <c r="J596" i="2"/>
  <c r="J939" i="2"/>
  <c r="L390" i="2"/>
  <c r="F609" i="2"/>
  <c r="H609" i="2"/>
  <c r="H513" i="2"/>
  <c r="F572" i="2"/>
  <c r="H476" i="2"/>
  <c r="J682" i="2"/>
  <c r="J733" i="2"/>
  <c r="J658" i="2"/>
  <c r="F634" i="2"/>
  <c r="H634" i="2" s="1"/>
  <c r="H538" i="2"/>
  <c r="F485" i="2"/>
  <c r="H389" i="2"/>
  <c r="J642" i="2"/>
  <c r="F491" i="2"/>
  <c r="H395" i="2"/>
  <c r="J863" i="2"/>
  <c r="J904" i="2"/>
  <c r="J947" i="2"/>
  <c r="H570" i="2"/>
  <c r="F666" i="2"/>
  <c r="H666" i="2"/>
  <c r="H578" i="2"/>
  <c r="F674" i="2"/>
  <c r="H674" i="2"/>
  <c r="J912" i="2"/>
  <c r="J931" i="2"/>
  <c r="J1099" i="2"/>
  <c r="J958" i="2"/>
  <c r="F624" i="2"/>
  <c r="H624" i="2"/>
  <c r="H528" i="2"/>
  <c r="J878" i="2"/>
  <c r="F675" i="2"/>
  <c r="H675" i="2"/>
  <c r="H579" i="2"/>
  <c r="F486" i="2"/>
  <c r="H390" i="2"/>
  <c r="J935" i="2"/>
  <c r="J1095" i="2"/>
  <c r="J871" i="2"/>
  <c r="J652" i="2"/>
  <c r="J636" i="2"/>
  <c r="J898" i="2"/>
  <c r="F548" i="2"/>
  <c r="H452" i="2"/>
  <c r="H412" i="2"/>
  <c r="F508" i="2"/>
  <c r="F671" i="2"/>
  <c r="H671" i="2"/>
  <c r="H575" i="2"/>
  <c r="F617" i="2"/>
  <c r="H617" i="2"/>
  <c r="H521" i="2"/>
  <c r="J598" i="2"/>
  <c r="J648" i="2"/>
  <c r="J616" i="2"/>
  <c r="F492" i="2"/>
  <c r="H396" i="2"/>
  <c r="J746" i="2"/>
  <c r="J714" i="2"/>
  <c r="J791" i="2"/>
  <c r="L599" i="2"/>
  <c r="K8" i="2"/>
  <c r="L7" i="2"/>
  <c r="J618" i="2"/>
  <c r="J725" i="2"/>
  <c r="J819" i="2"/>
  <c r="L627" i="2"/>
  <c r="F637" i="2"/>
  <c r="H637" i="2"/>
  <c r="H541" i="2"/>
  <c r="F499" i="2"/>
  <c r="H403" i="2"/>
  <c r="J884" i="2"/>
  <c r="J823" i="2"/>
  <c r="H505" i="2"/>
  <c r="F601" i="2"/>
  <c r="H601" i="2"/>
  <c r="J594" i="2"/>
  <c r="H506" i="2"/>
  <c r="F602" i="2"/>
  <c r="H602" i="2"/>
  <c r="J612" i="2"/>
  <c r="J614" i="2"/>
  <c r="J1080" i="2"/>
  <c r="J592" i="2"/>
  <c r="J879" i="2"/>
  <c r="J709" i="2"/>
  <c r="J920" i="2"/>
  <c r="F618" i="2"/>
  <c r="H618" i="2" s="1"/>
  <c r="H522" i="2"/>
  <c r="J841" i="2"/>
  <c r="J963" i="2"/>
  <c r="J894" i="2"/>
  <c r="J921" i="2"/>
  <c r="J940" i="2"/>
  <c r="J1132" i="2" s="1"/>
  <c r="J924" i="2"/>
  <c r="J908" i="2"/>
  <c r="J876" i="2"/>
  <c r="J866" i="2"/>
  <c r="J698" i="2"/>
  <c r="J650" i="2"/>
  <c r="J765" i="2"/>
  <c r="J701" i="2"/>
  <c r="J843" i="2"/>
  <c r="F501" i="2"/>
  <c r="H405" i="2"/>
  <c r="F635" i="2"/>
  <c r="H635" i="2" s="1"/>
  <c r="H539" i="2"/>
  <c r="F654" i="2"/>
  <c r="H654" i="2" s="1"/>
  <c r="H558" i="2"/>
  <c r="J717" i="2"/>
  <c r="H562" i="2"/>
  <c r="F658" i="2"/>
  <c r="H658" i="2" s="1"/>
  <c r="J883" i="2"/>
  <c r="F659" i="2"/>
  <c r="H659" i="2"/>
  <c r="H563" i="2"/>
  <c r="J873" i="2"/>
  <c r="F632" i="2"/>
  <c r="H632" i="2"/>
  <c r="H536" i="2"/>
  <c r="J927" i="2"/>
  <c r="J604" i="2"/>
  <c r="J628" i="2"/>
  <c r="F580" i="2"/>
  <c r="H484" i="2"/>
  <c r="J654" i="2"/>
  <c r="J640" i="2"/>
  <c r="J738" i="2"/>
  <c r="J875" i="2"/>
  <c r="J897" i="2"/>
  <c r="J964" i="2"/>
  <c r="J919" i="2"/>
  <c r="F540" i="2"/>
  <c r="H444" i="2"/>
  <c r="F584" i="2"/>
  <c r="H584" i="2" s="1"/>
  <c r="H488" i="2"/>
  <c r="J895" i="2"/>
  <c r="J644" i="2"/>
  <c r="F564" i="2"/>
  <c r="H468" i="2"/>
  <c r="F524" i="2"/>
  <c r="H428" i="2"/>
  <c r="F627" i="2"/>
  <c r="H627" i="2"/>
  <c r="H531" i="2"/>
  <c r="F663" i="2"/>
  <c r="H663" i="2"/>
  <c r="H567" i="2"/>
  <c r="J646" i="2"/>
  <c r="J785" i="2"/>
  <c r="L593" i="2"/>
  <c r="J923" i="2"/>
  <c r="J632" i="2"/>
  <c r="J779" i="2"/>
  <c r="L587" i="2"/>
  <c r="J762" i="2"/>
  <c r="J730" i="2"/>
  <c r="J597" i="2"/>
  <c r="J634" i="2"/>
  <c r="J826" i="2" s="1"/>
  <c r="J581" i="2"/>
  <c r="L389" i="2"/>
  <c r="J757" i="2"/>
  <c r="J693" i="2"/>
  <c r="J936" i="2"/>
  <c r="F640" i="2"/>
  <c r="H640" i="2"/>
  <c r="H544" i="2"/>
  <c r="J937" i="2"/>
  <c r="F638" i="2"/>
  <c r="H638" i="2" s="1"/>
  <c r="H542" i="2"/>
  <c r="J839" i="2"/>
  <c r="L585" i="2"/>
  <c r="J777" i="2"/>
  <c r="J961" i="2"/>
  <c r="F586" i="2"/>
  <c r="H586" i="2"/>
  <c r="H490" i="2"/>
  <c r="J899" i="2"/>
  <c r="J1091" i="2" s="1"/>
  <c r="F664" i="2"/>
  <c r="H664" i="2"/>
  <c r="H568" i="2"/>
  <c r="F643" i="2"/>
  <c r="H643" i="2"/>
  <c r="H547" i="2"/>
  <c r="J827" i="2"/>
  <c r="J1019" i="2" s="1"/>
  <c r="J1211" i="2" s="1"/>
  <c r="J811" i="2"/>
  <c r="L619" i="2"/>
  <c r="F653" i="2"/>
  <c r="H653" i="2" s="1"/>
  <c r="H557" i="2"/>
  <c r="F621" i="2"/>
  <c r="H621" i="2"/>
  <c r="H525" i="2"/>
  <c r="J934" i="2"/>
  <c r="F667" i="2"/>
  <c r="H667" i="2" s="1"/>
  <c r="H571" i="2"/>
  <c r="F646" i="2"/>
  <c r="H646" i="2" s="1"/>
  <c r="H550" i="2"/>
  <c r="J900" i="2"/>
  <c r="J868" i="2"/>
  <c r="F523" i="2"/>
  <c r="H427" i="2"/>
  <c r="J590" i="2"/>
  <c r="J586" i="2"/>
  <c r="J749" i="2"/>
  <c r="J685" i="2"/>
  <c r="J803" i="2"/>
  <c r="L611" i="2"/>
  <c r="J610" i="2"/>
  <c r="J960" i="2"/>
  <c r="F661" i="2"/>
  <c r="H661" i="2"/>
  <c r="H565" i="2"/>
  <c r="F493" i="2"/>
  <c r="H397" i="2"/>
  <c r="J959" i="2"/>
  <c r="F532" i="2"/>
  <c r="H436" i="2"/>
  <c r="J926" i="2"/>
  <c r="J770" i="2"/>
  <c r="F593" i="2"/>
  <c r="H593" i="2"/>
  <c r="H497" i="2"/>
  <c r="J915" i="2"/>
  <c r="J1137" i="2"/>
  <c r="J951" i="2"/>
  <c r="F669" i="2"/>
  <c r="H669" i="2" s="1"/>
  <c r="H573" i="2"/>
  <c r="F662" i="2"/>
  <c r="H662" i="2" s="1"/>
  <c r="H566" i="2"/>
  <c r="J950" i="2"/>
  <c r="J918" i="2"/>
  <c r="J1110" i="2" s="1"/>
  <c r="J956" i="2"/>
  <c r="J1108" i="2"/>
  <c r="F502" i="2"/>
  <c r="H406" i="2"/>
  <c r="J943" i="2"/>
  <c r="J911" i="2"/>
  <c r="H498" i="2"/>
  <c r="F594" i="2"/>
  <c r="H594" i="2"/>
  <c r="J887" i="2"/>
  <c r="J660" i="2"/>
  <c r="J852" i="2" s="1"/>
  <c r="J942" i="2"/>
  <c r="F556" i="2"/>
  <c r="H460" i="2"/>
  <c r="H420" i="2"/>
  <c r="F516" i="2"/>
  <c r="H516" i="2" s="1"/>
  <c r="H577" i="2"/>
  <c r="F673" i="2"/>
  <c r="H673" i="2"/>
  <c r="H561" i="2"/>
  <c r="F657" i="2"/>
  <c r="H657" i="2"/>
  <c r="F639" i="2"/>
  <c r="H639" i="2"/>
  <c r="H543" i="2"/>
  <c r="J638" i="2"/>
  <c r="J622" i="2"/>
  <c r="F500" i="2"/>
  <c r="F596" i="2" s="1"/>
  <c r="H596" i="2" s="1"/>
  <c r="H404" i="2"/>
  <c r="J910" i="2"/>
  <c r="J656" i="2"/>
  <c r="J624" i="2"/>
  <c r="J600" i="2"/>
  <c r="J792" i="2" s="1"/>
  <c r="J754" i="2"/>
  <c r="J722" i="2"/>
  <c r="J690" i="2"/>
  <c r="J775" i="2"/>
  <c r="L583" i="2"/>
  <c r="J589" i="2"/>
  <c r="J741" i="2"/>
  <c r="J677" i="2"/>
  <c r="CT156" i="1"/>
  <c r="CT256" i="1"/>
  <c r="F612" i="2"/>
  <c r="H612" i="2" s="1"/>
  <c r="J842" i="2"/>
  <c r="J938" i="2"/>
  <c r="J946" i="2"/>
  <c r="J1107" i="2"/>
  <c r="F676" i="2"/>
  <c r="H676" i="2" s="1"/>
  <c r="H580" i="2"/>
  <c r="J788" i="2"/>
  <c r="L596" i="2"/>
  <c r="J1087" i="2"/>
  <c r="J1119" i="2"/>
  <c r="J957" i="2"/>
  <c r="J1155" i="2"/>
  <c r="J810" i="2"/>
  <c r="L618" i="2"/>
  <c r="J906" i="2"/>
  <c r="J808" i="2"/>
  <c r="L616" i="2"/>
  <c r="J828" i="2"/>
  <c r="J1287" i="2"/>
  <c r="J1150" i="2"/>
  <c r="J800" i="2"/>
  <c r="L608" i="2"/>
  <c r="J1055" i="2"/>
  <c r="H485" i="2"/>
  <c r="F581" i="2"/>
  <c r="H581" i="2"/>
  <c r="J1229" i="2"/>
  <c r="H548" i="2"/>
  <c r="F644" i="2"/>
  <c r="H644" i="2" s="1"/>
  <c r="J848" i="2"/>
  <c r="J885" i="2"/>
  <c r="J1156" i="2"/>
  <c r="H499" i="2"/>
  <c r="F595" i="2"/>
  <c r="H595" i="2"/>
  <c r="J1081" i="2"/>
  <c r="J914" i="2"/>
  <c r="J814" i="2"/>
  <c r="L622" i="2"/>
  <c r="J1300" i="2"/>
  <c r="J1329" i="2"/>
  <c r="J1151" i="2"/>
  <c r="J941" i="2"/>
  <c r="F619" i="2"/>
  <c r="H619" i="2"/>
  <c r="H523" i="2"/>
  <c r="J1126" i="2"/>
  <c r="J1003" i="2"/>
  <c r="J1031" i="2"/>
  <c r="J971" i="2"/>
  <c r="L779" i="2"/>
  <c r="J838" i="2"/>
  <c r="J1111" i="2"/>
  <c r="J1075" i="2"/>
  <c r="J1272" i="2"/>
  <c r="J1076" i="2"/>
  <c r="J1127" i="2"/>
  <c r="F668" i="2"/>
  <c r="H668" i="2"/>
  <c r="H572" i="2"/>
  <c r="F590" i="2"/>
  <c r="H590" i="2"/>
  <c r="H494" i="2"/>
  <c r="J1316" i="2"/>
  <c r="J1147" i="2"/>
  <c r="J1103" i="2"/>
  <c r="J1068" i="2"/>
  <c r="H491" i="2"/>
  <c r="F587" i="2"/>
  <c r="H587" i="2" s="1"/>
  <c r="J830" i="2"/>
  <c r="F589" i="2"/>
  <c r="H589" i="2"/>
  <c r="H493" i="2"/>
  <c r="J818" i="2"/>
  <c r="L626" i="2"/>
  <c r="J1135" i="2"/>
  <c r="AF175" i="1"/>
  <c r="J890" i="2"/>
  <c r="J1086" i="2"/>
  <c r="L8" i="2"/>
  <c r="K9" i="2"/>
  <c r="K10" i="2" s="1"/>
  <c r="F588" i="2"/>
  <c r="H588" i="2" s="1"/>
  <c r="H492" i="2"/>
  <c r="J790" i="2"/>
  <c r="L598" i="2"/>
  <c r="J1090" i="2"/>
  <c r="F582" i="2"/>
  <c r="H582" i="2"/>
  <c r="H486" i="2"/>
  <c r="J1291" i="2"/>
  <c r="J1096" i="2"/>
  <c r="J1113" i="2"/>
  <c r="J840" i="2"/>
  <c r="J781" i="2"/>
  <c r="L589" i="2"/>
  <c r="J1128" i="2"/>
  <c r="J806" i="2"/>
  <c r="L614" i="2"/>
  <c r="J967" i="2"/>
  <c r="L775" i="2"/>
  <c r="F652" i="2"/>
  <c r="H652" i="2" s="1"/>
  <c r="H556" i="2"/>
  <c r="J1142" i="2"/>
  <c r="J1060" i="2"/>
  <c r="J1153" i="2"/>
  <c r="J1129" i="2"/>
  <c r="J1321" i="2" s="1"/>
  <c r="J949" i="2"/>
  <c r="J922" i="2"/>
  <c r="J824" i="2"/>
  <c r="F620" i="2"/>
  <c r="H620" i="2" s="1"/>
  <c r="H524" i="2"/>
  <c r="J836" i="2"/>
  <c r="J1028" i="2" s="1"/>
  <c r="J832" i="2"/>
  <c r="J1065" i="2"/>
  <c r="J909" i="2"/>
  <c r="F597" i="2"/>
  <c r="H597" i="2"/>
  <c r="H501" i="2"/>
  <c r="J1116" i="2"/>
  <c r="J925" i="2"/>
  <c r="J774" i="2"/>
  <c r="L582" i="2"/>
  <c r="J1059" i="2"/>
  <c r="J1120" i="2"/>
  <c r="J844" i="2"/>
  <c r="J1104" i="2"/>
  <c r="J930" i="2"/>
  <c r="J1062" i="2"/>
  <c r="J1102" i="2"/>
  <c r="J969" i="2"/>
  <c r="L777" i="2"/>
  <c r="J1115" i="2"/>
  <c r="J893" i="2"/>
  <c r="J1058" i="2"/>
  <c r="J917" i="2"/>
  <c r="J983" i="2"/>
  <c r="L791" i="2"/>
  <c r="J1123" i="2"/>
  <c r="J834" i="2"/>
  <c r="J1118" i="2"/>
  <c r="J882" i="2"/>
  <c r="L600" i="2"/>
  <c r="H500" i="2"/>
  <c r="J1134" i="2"/>
  <c r="F598" i="2"/>
  <c r="H598" i="2" s="1"/>
  <c r="H502" i="2"/>
  <c r="J1143" i="2"/>
  <c r="F628" i="2"/>
  <c r="H628" i="2" s="1"/>
  <c r="H532" i="2"/>
  <c r="J1152" i="2"/>
  <c r="J995" i="2"/>
  <c r="J877" i="2"/>
  <c r="J1092" i="2"/>
  <c r="J773" i="2"/>
  <c r="L581" i="2"/>
  <c r="J954" i="2"/>
  <c r="F660" i="2"/>
  <c r="H660" i="2"/>
  <c r="H564" i="2"/>
  <c r="F636" i="2"/>
  <c r="H636" i="2"/>
  <c r="H540" i="2"/>
  <c r="J1067" i="2"/>
  <c r="J846" i="2"/>
  <c r="J796" i="2"/>
  <c r="L604" i="2"/>
  <c r="J1035" i="2"/>
  <c r="J1112" i="2"/>
  <c r="J784" i="2"/>
  <c r="L592" i="2"/>
  <c r="J804" i="2"/>
  <c r="L612" i="2"/>
  <c r="J1015" i="2"/>
  <c r="F604" i="2"/>
  <c r="H604" i="2"/>
  <c r="H508" i="2"/>
  <c r="J850" i="2"/>
  <c r="J874" i="2"/>
  <c r="J1066" i="2" s="1"/>
  <c r="J1131" i="2"/>
  <c r="J1084" i="2"/>
  <c r="J1027" i="2"/>
  <c r="J1069" i="2"/>
  <c r="J1117" i="2"/>
  <c r="AF176" i="1"/>
  <c r="J1114" i="2"/>
  <c r="J1130" i="2"/>
  <c r="J1259" i="2"/>
  <c r="J1335" i="2"/>
  <c r="J1141" i="2"/>
  <c r="J1347" i="2"/>
  <c r="J1276" i="2"/>
  <c r="J976" i="2"/>
  <c r="L784" i="2"/>
  <c r="J1038" i="2"/>
  <c r="J1284" i="2"/>
  <c r="J1161" i="2"/>
  <c r="L1161" i="2" s="1"/>
  <c r="L969" i="2"/>
  <c r="J966" i="2"/>
  <c r="L774" i="2"/>
  <c r="J1101" i="2"/>
  <c r="J998" i="2"/>
  <c r="J982" i="2"/>
  <c r="L790" i="2"/>
  <c r="J1278" i="2"/>
  <c r="J1268" i="2"/>
  <c r="J1163" i="2"/>
  <c r="L1163" i="2"/>
  <c r="L971" i="2"/>
  <c r="J992" i="2"/>
  <c r="J1020" i="2"/>
  <c r="J1299" i="2"/>
  <c r="J1133" i="2"/>
  <c r="J1304" i="2"/>
  <c r="J1326" i="2"/>
  <c r="J1085" i="2"/>
  <c r="J1252" i="2"/>
  <c r="J1032" i="2"/>
  <c r="J1077" i="2"/>
  <c r="L9" i="2"/>
  <c r="J1342" i="2"/>
  <c r="J1279" i="2"/>
  <c r="J1138" i="2"/>
  <c r="J1320" i="2"/>
  <c r="J1006" i="2"/>
  <c r="J1219" i="2"/>
  <c r="L1219" i="2" s="1"/>
  <c r="J1207" i="2"/>
  <c r="L1207" i="2" s="1"/>
  <c r="J1227" i="2"/>
  <c r="L1227" i="2" s="1"/>
  <c r="J1187" i="2"/>
  <c r="L1187" i="2"/>
  <c r="J1310" i="2"/>
  <c r="J1315" i="2"/>
  <c r="J1175" i="2"/>
  <c r="L1175" i="2" s="1"/>
  <c r="J1254" i="2"/>
  <c r="J1036" i="2"/>
  <c r="J1308" i="2"/>
  <c r="J1334" i="2"/>
  <c r="J1159" i="2"/>
  <c r="L1159" i="2" s="1"/>
  <c r="L967" i="2"/>
  <c r="J973" i="2"/>
  <c r="L781" i="2"/>
  <c r="J1305" i="2"/>
  <c r="J1082" i="2"/>
  <c r="J1327" i="2"/>
  <c r="L1211" i="2"/>
  <c r="J1098" i="2"/>
  <c r="J1324" i="2"/>
  <c r="J1034" i="2"/>
  <c r="J1146" i="2"/>
  <c r="J1339" i="2"/>
  <c r="J980" i="2"/>
  <c r="L788" i="2"/>
  <c r="J1122" i="2"/>
  <c r="J1022" i="2"/>
  <c r="J1106" i="2"/>
  <c r="J1311" i="2"/>
  <c r="J1323" i="2"/>
  <c r="J1296" i="2"/>
  <c r="J1042" i="2"/>
  <c r="J996" i="2"/>
  <c r="J1344" i="2"/>
  <c r="J984" i="2"/>
  <c r="L792" i="2"/>
  <c r="J1109" i="2"/>
  <c r="J1307" i="2"/>
  <c r="J1294" i="2"/>
  <c r="J1312" i="2"/>
  <c r="J1024" i="2"/>
  <c r="J1016" i="2"/>
  <c r="J1345" i="2"/>
  <c r="J1288" i="2"/>
  <c r="J1282" i="2"/>
  <c r="J1010" i="2"/>
  <c r="J1295" i="2"/>
  <c r="J1267" i="2"/>
  <c r="J1030" i="2"/>
  <c r="J1223" i="2"/>
  <c r="L1223" i="2" s="1"/>
  <c r="J1318" i="2"/>
  <c r="J1343" i="2"/>
  <c r="J1348" i="2"/>
  <c r="J1247" i="2"/>
  <c r="J1002" i="2"/>
  <c r="J1222" i="2"/>
  <c r="L1222" i="2"/>
  <c r="J1277" i="2"/>
  <c r="J1230" i="2"/>
  <c r="J1338" i="2"/>
  <c r="J1188" i="2"/>
  <c r="L1188" i="2" s="1"/>
  <c r="J1214" i="2"/>
  <c r="L1214" i="2"/>
  <c r="J1274" i="2"/>
  <c r="J1198" i="2"/>
  <c r="L1198" i="2" s="1"/>
  <c r="J1269" i="2"/>
  <c r="J1325" i="2"/>
  <c r="J1184" i="2"/>
  <c r="L1184" i="2"/>
  <c r="J1322" i="2"/>
  <c r="J1309" i="2"/>
  <c r="AF177" i="1"/>
  <c r="AF178" i="1" s="1"/>
  <c r="AF179" i="1" s="1"/>
  <c r="AF180" i="1" s="1"/>
  <c r="J1174" i="2"/>
  <c r="L1174" i="2"/>
  <c r="J1158" i="2"/>
  <c r="L1158" i="2"/>
  <c r="L966" i="2"/>
  <c r="J1208" i="2"/>
  <c r="L1208" i="2"/>
  <c r="J1172" i="2"/>
  <c r="L1172" i="2"/>
  <c r="J1330" i="2"/>
  <c r="L10" i="2"/>
  <c r="T10" i="2"/>
  <c r="K11" i="2"/>
  <c r="J1224" i="2"/>
  <c r="L1224" i="2" s="1"/>
  <c r="J1168" i="2"/>
  <c r="L1168" i="2"/>
  <c r="L976" i="2"/>
  <c r="J1306" i="2"/>
  <c r="J1261" i="2"/>
  <c r="J1301" i="2"/>
  <c r="J1314" i="2"/>
  <c r="J1234" i="2"/>
  <c r="J1226" i="2"/>
  <c r="L1226" i="2" s="1"/>
  <c r="J1216" i="2"/>
  <c r="L1216" i="2"/>
  <c r="J1176" i="2"/>
  <c r="L1176" i="2" s="1"/>
  <c r="J1298" i="2"/>
  <c r="J1290" i="2"/>
  <c r="L973" i="2"/>
  <c r="J1165" i="2"/>
  <c r="L1165" i="2" s="1"/>
  <c r="J1228" i="2"/>
  <c r="L1228" i="2" s="1"/>
  <c r="J1212" i="2"/>
  <c r="L1212" i="2" s="1"/>
  <c r="J1190" i="2"/>
  <c r="L1190" i="2"/>
  <c r="J1293" i="2"/>
  <c r="J1333" i="2"/>
  <c r="J1220" i="2"/>
  <c r="L1220" i="2"/>
  <c r="K12" i="2"/>
  <c r="L11" i="2"/>
  <c r="L12" i="2"/>
  <c r="Q12" i="2"/>
  <c r="K13" i="2"/>
  <c r="K14" i="2"/>
  <c r="K15" i="2" s="1"/>
  <c r="L13" i="2"/>
  <c r="Q13" i="2" s="1"/>
  <c r="AF181" i="1"/>
  <c r="AF182" i="1" s="1"/>
  <c r="AF183" i="1" s="1"/>
  <c r="AF184" i="1" s="1"/>
  <c r="AF185" i="1" s="1"/>
  <c r="AF186" i="1" s="1"/>
  <c r="AF187" i="1" s="1"/>
  <c r="AF188" i="1"/>
  <c r="AF189" i="1" s="1"/>
  <c r="AF190" i="1" s="1"/>
  <c r="AF191" i="1" s="1"/>
  <c r="AF192" i="1" s="1"/>
  <c r="AF193" i="1"/>
  <c r="AF194" i="1" s="1"/>
  <c r="AF195" i="1" s="1"/>
  <c r="CT190" i="1"/>
  <c r="CT254" i="1"/>
  <c r="CT231" i="1"/>
  <c r="CT205" i="1"/>
  <c r="CT168" i="1"/>
  <c r="CT160" i="1"/>
  <c r="CT224" i="1"/>
  <c r="CT228" i="1"/>
  <c r="CT217" i="1"/>
  <c r="CT158" i="1"/>
  <c r="CT188" i="1"/>
  <c r="CT161" i="1"/>
  <c r="CT247" i="1"/>
  <c r="CT185" i="1"/>
  <c r="CT249" i="1"/>
  <c r="CT219" i="1"/>
  <c r="CT237" i="1"/>
  <c r="CT235" i="1"/>
  <c r="CT211" i="1"/>
  <c r="CT179" i="1"/>
  <c r="CT186" i="1"/>
  <c r="CT250" i="1"/>
  <c r="CT191" i="1"/>
  <c r="CT201" i="1"/>
  <c r="CT166" i="1"/>
  <c r="CT173" i="1"/>
  <c r="CT198" i="1"/>
  <c r="CT218" i="1"/>
  <c r="CT181" i="1"/>
  <c r="CT245" i="1"/>
  <c r="CT230" i="1"/>
  <c r="CT223" i="1"/>
  <c r="CT204" i="1"/>
  <c r="CT183" i="1"/>
  <c r="CT200" i="1"/>
  <c r="CT193" i="1"/>
  <c r="CT170" i="1"/>
  <c r="CT226" i="1"/>
  <c r="CT248" i="1"/>
  <c r="CT210" i="1"/>
  <c r="CT212" i="1"/>
  <c r="CT163" i="1"/>
  <c r="CT189" i="1"/>
  <c r="CT253" i="1"/>
  <c r="CT214" i="1"/>
  <c r="CT239" i="1"/>
  <c r="CT227" i="1"/>
  <c r="CT244" i="1"/>
  <c r="CT199" i="1"/>
  <c r="CT196" i="1"/>
  <c r="CT208" i="1"/>
  <c r="CT167" i="1"/>
  <c r="CT225" i="1"/>
  <c r="CT234" i="1"/>
  <c r="CT177" i="1"/>
  <c r="CT174" i="1"/>
  <c r="CT238" i="1"/>
  <c r="CT232" i="1"/>
  <c r="CT243" i="1"/>
  <c r="CT203" i="1"/>
  <c r="CT194" i="1"/>
  <c r="CT229" i="1"/>
  <c r="CT169" i="1"/>
  <c r="CT165" i="1"/>
  <c r="CT207" i="1"/>
  <c r="CT171" i="1"/>
  <c r="CT192" i="1"/>
  <c r="CT164" i="1"/>
  <c r="CT209" i="1"/>
  <c r="CT252" i="1"/>
  <c r="CT184" i="1"/>
  <c r="CT241" i="1"/>
  <c r="CT195" i="1"/>
  <c r="CT159" i="1"/>
  <c r="CT197" i="1"/>
  <c r="CT222" i="1"/>
  <c r="CT255" i="1"/>
  <c r="CT157" i="1"/>
  <c r="CT215" i="1"/>
  <c r="CT220" i="1"/>
  <c r="CT216" i="1"/>
  <c r="CT180" i="1"/>
  <c r="CT178" i="1"/>
  <c r="CT242" i="1"/>
  <c r="CT233" i="1"/>
  <c r="CT187" i="1"/>
  <c r="CT172" i="1"/>
  <c r="CT246" i="1"/>
  <c r="CT221" i="1"/>
  <c r="CT236" i="1"/>
  <c r="CT202" i="1"/>
  <c r="CT240" i="1"/>
  <c r="CT206" i="1"/>
  <c r="CT175" i="1"/>
  <c r="CT213" i="1"/>
  <c r="CT162" i="1"/>
  <c r="CT251" i="1"/>
  <c r="CT176" i="1"/>
  <c r="CT182" i="1"/>
  <c r="O138" i="1"/>
  <c r="O124" i="1"/>
  <c r="N125" i="1"/>
  <c r="O144" i="1"/>
  <c r="N135" i="1"/>
  <c r="O127" i="1"/>
  <c r="N146" i="1"/>
  <c r="N117" i="1"/>
  <c r="N145" i="1"/>
  <c r="N126" i="1"/>
  <c r="N118" i="1"/>
  <c r="N138" i="1"/>
  <c r="N120" i="1"/>
  <c r="N143" i="1"/>
  <c r="O126" i="1"/>
  <c r="N144" i="1"/>
  <c r="N148" i="1"/>
  <c r="O129" i="1"/>
  <c r="O143" i="1"/>
  <c r="O149" i="1"/>
  <c r="N123" i="1"/>
  <c r="N142" i="1"/>
  <c r="N127" i="1"/>
  <c r="N128" i="1"/>
  <c r="N124" i="1"/>
  <c r="N136" i="1"/>
  <c r="O141" i="1"/>
  <c r="O123" i="1"/>
  <c r="N121" i="1"/>
  <c r="N131" i="1"/>
  <c r="O146" i="1"/>
  <c r="N139" i="1"/>
  <c r="O142" i="1"/>
  <c r="N147" i="1"/>
  <c r="N141" i="1"/>
  <c r="O139" i="1"/>
  <c r="O130" i="1"/>
  <c r="O145" i="1"/>
  <c r="O118" i="1"/>
  <c r="O136" i="1"/>
  <c r="O131" i="1"/>
  <c r="N129" i="1"/>
  <c r="O120" i="1"/>
  <c r="O128" i="1"/>
  <c r="N149" i="1"/>
  <c r="O125" i="1"/>
  <c r="O121" i="1"/>
  <c r="O117" i="1"/>
  <c r="O147" i="1"/>
  <c r="O135" i="1"/>
  <c r="CC156" i="1" l="1"/>
  <c r="AJ156" i="1"/>
  <c r="H74" i="1"/>
  <c r="CB156" i="1"/>
  <c r="AH156" i="1"/>
  <c r="CN156" i="1" s="1"/>
  <c r="E85" i="1"/>
  <c r="AK199" i="1"/>
  <c r="AK182" i="1"/>
  <c r="AK158" i="1"/>
  <c r="AK224" i="1"/>
  <c r="AK168" i="1"/>
  <c r="AK249" i="1"/>
  <c r="BQ253" i="1"/>
  <c r="AK234" i="1"/>
  <c r="AK191" i="1"/>
  <c r="AK174" i="1"/>
  <c r="AK256" i="1"/>
  <c r="AK160" i="1"/>
  <c r="AK250" i="1"/>
  <c r="AK241" i="1"/>
  <c r="BQ229" i="1"/>
  <c r="AK167" i="1"/>
  <c r="AK253" i="1"/>
  <c r="AK252" i="1"/>
  <c r="AK235" i="1"/>
  <c r="AK226" i="1"/>
  <c r="AK217" i="1"/>
  <c r="BQ256" i="1"/>
  <c r="AK159" i="1"/>
  <c r="AK245" i="1"/>
  <c r="AK244" i="1"/>
  <c r="AK227" i="1"/>
  <c r="AK218" i="1"/>
  <c r="AK209" i="1"/>
  <c r="AK208" i="1"/>
  <c r="AK237" i="1"/>
  <c r="AK236" i="1"/>
  <c r="AK219" i="1"/>
  <c r="AK210" i="1"/>
  <c r="AK201" i="1"/>
  <c r="BQ231" i="1"/>
  <c r="AK175" i="1"/>
  <c r="AK240" i="1"/>
  <c r="AK254" i="1"/>
  <c r="AK229" i="1"/>
  <c r="AK228" i="1"/>
  <c r="AK211" i="1"/>
  <c r="AK202" i="1"/>
  <c r="AK193" i="1"/>
  <c r="BQ167" i="1"/>
  <c r="AK176" i="1"/>
  <c r="AK246" i="1"/>
  <c r="AK221" i="1"/>
  <c r="AK220" i="1"/>
  <c r="AK203" i="1"/>
  <c r="AK194" i="1"/>
  <c r="AK185" i="1"/>
  <c r="AK243" i="1"/>
  <c r="AK255" i="1"/>
  <c r="AK238" i="1"/>
  <c r="AK213" i="1"/>
  <c r="AK212" i="1"/>
  <c r="AK195" i="1"/>
  <c r="AK186" i="1"/>
  <c r="AK177" i="1"/>
  <c r="BO223" i="1"/>
  <c r="AK247" i="1"/>
  <c r="AK230" i="1"/>
  <c r="AK205" i="1"/>
  <c r="AK204" i="1"/>
  <c r="AK187" i="1"/>
  <c r="AK178" i="1"/>
  <c r="AK169" i="1"/>
  <c r="AK200" i="1"/>
  <c r="AK225" i="1"/>
  <c r="AK239" i="1"/>
  <c r="AK222" i="1"/>
  <c r="AK197" i="1"/>
  <c r="AK196" i="1"/>
  <c r="AK179" i="1"/>
  <c r="AK170" i="1"/>
  <c r="AK161" i="1"/>
  <c r="BO242" i="1"/>
  <c r="AK231" i="1"/>
  <c r="AK214" i="1"/>
  <c r="AK189" i="1"/>
  <c r="AK188" i="1"/>
  <c r="AK171" i="1"/>
  <c r="AK162" i="1"/>
  <c r="E34" i="1"/>
  <c r="AK223" i="1"/>
  <c r="AK206" i="1"/>
  <c r="AK181" i="1"/>
  <c r="AK180" i="1"/>
  <c r="AK163" i="1"/>
  <c r="AK156" i="1"/>
  <c r="BO173" i="1"/>
  <c r="AK215" i="1"/>
  <c r="AK198" i="1"/>
  <c r="AK173" i="1"/>
  <c r="AK172" i="1"/>
  <c r="AK157" i="1"/>
  <c r="AK248" i="1"/>
  <c r="AK184" i="1"/>
  <c r="AK207" i="1"/>
  <c r="AK190" i="1"/>
  <c r="AK165" i="1"/>
  <c r="AK164" i="1"/>
  <c r="AK216" i="1"/>
  <c r="AL256" i="1"/>
  <c r="BQ217" i="1"/>
  <c r="BO168" i="1"/>
  <c r="BO198" i="1"/>
  <c r="AO256" i="1"/>
  <c r="AN256" i="1"/>
  <c r="BI256" i="1"/>
  <c r="BH256" i="1"/>
  <c r="BR256" i="1" s="1"/>
  <c r="CI156" i="1"/>
  <c r="CR156" i="1" s="1"/>
  <c r="BQ192" i="1"/>
  <c r="BO160" i="1"/>
  <c r="E110" i="1"/>
  <c r="BQ221" i="1"/>
  <c r="BO237" i="1"/>
  <c r="BQ223" i="1"/>
  <c r="BO251" i="1"/>
  <c r="BO187" i="1"/>
  <c r="BQ250" i="1"/>
  <c r="AF196" i="1"/>
  <c r="L15" i="2"/>
  <c r="K16" i="2"/>
  <c r="J1100" i="2"/>
  <c r="L1234" i="2"/>
  <c r="J1258" i="2"/>
  <c r="BJ256" i="1"/>
  <c r="BL256" i="1" s="1"/>
  <c r="BK256" i="1"/>
  <c r="BM256" i="1" s="1"/>
  <c r="L14" i="2"/>
  <c r="J1319" i="2"/>
  <c r="J1139" i="2"/>
  <c r="L628" i="2"/>
  <c r="J820" i="2"/>
  <c r="J891" i="2"/>
  <c r="J902" i="2"/>
  <c r="J1202" i="2"/>
  <c r="L1202" i="2" s="1"/>
  <c r="K981" i="2"/>
  <c r="K982" i="2" s="1"/>
  <c r="L980" i="2"/>
  <c r="J977" i="2"/>
  <c r="L785" i="2"/>
  <c r="J615" i="2"/>
  <c r="J645" i="2"/>
  <c r="J667" i="2"/>
  <c r="J1194" i="2"/>
  <c r="L1194" i="2" s="1"/>
  <c r="J825" i="2"/>
  <c r="J965" i="2"/>
  <c r="L773" i="2"/>
  <c r="J1283" i="2"/>
  <c r="J1071" i="2"/>
  <c r="J1273" i="2"/>
  <c r="J962" i="2"/>
  <c r="J901" i="2"/>
  <c r="J1070" i="2"/>
  <c r="J630" i="2"/>
  <c r="J666" i="2"/>
  <c r="J881" i="2"/>
  <c r="J1074" i="2"/>
  <c r="J1026" i="2"/>
  <c r="J1302" i="2"/>
  <c r="J778" i="2"/>
  <c r="L586" i="2"/>
  <c r="J623" i="2"/>
  <c r="J782" i="2"/>
  <c r="L590" i="2"/>
  <c r="J1018" i="2"/>
  <c r="J409" i="2"/>
  <c r="J609" i="2"/>
  <c r="J639" i="2"/>
  <c r="J988" i="2"/>
  <c r="L796" i="2"/>
  <c r="J1260" i="2"/>
  <c r="J869" i="2"/>
  <c r="J1044" i="2"/>
  <c r="J944" i="2"/>
  <c r="J620" i="2"/>
  <c r="J1148" i="2"/>
  <c r="J933" i="2"/>
  <c r="J789" i="2"/>
  <c r="L597" i="2"/>
  <c r="J1011" i="2"/>
  <c r="J1257" i="2"/>
  <c r="J1303" i="2"/>
  <c r="J1040" i="2"/>
  <c r="J1000" i="2"/>
  <c r="J1079" i="2"/>
  <c r="J1063" i="2"/>
  <c r="F592" i="2"/>
  <c r="H592" i="2" s="1"/>
  <c r="H496" i="2"/>
  <c r="CK256" i="1"/>
  <c r="CF256" i="1"/>
  <c r="CP256" i="1" s="1"/>
  <c r="J595" i="2"/>
  <c r="J662" i="2"/>
  <c r="F574" i="2"/>
  <c r="H478" i="2"/>
  <c r="J1336" i="2"/>
  <c r="K1230" i="2"/>
  <c r="K1231" i="2" s="1"/>
  <c r="K1232" i="2" s="1"/>
  <c r="K1233" i="2" s="1"/>
  <c r="K1234" i="2" s="1"/>
  <c r="K1235" i="2" s="1"/>
  <c r="K1236" i="2" s="1"/>
  <c r="K1237" i="2" s="1"/>
  <c r="K1238" i="2" s="1"/>
  <c r="K1239" i="2" s="1"/>
  <c r="K1240" i="2" s="1"/>
  <c r="K1241" i="2" s="1"/>
  <c r="K1242" i="2" s="1"/>
  <c r="K1243" i="2" s="1"/>
  <c r="K1244" i="2" s="1"/>
  <c r="K1245" i="2" s="1"/>
  <c r="K1246" i="2" s="1"/>
  <c r="K1247" i="2" s="1"/>
  <c r="K1248" i="2" s="1"/>
  <c r="K1249" i="2" s="1"/>
  <c r="K1250" i="2" s="1"/>
  <c r="K1251" i="2" s="1"/>
  <c r="K1252" i="2" s="1"/>
  <c r="K1253" i="2" s="1"/>
  <c r="K1254" i="2" s="1"/>
  <c r="L1229" i="2"/>
  <c r="J1089" i="2"/>
  <c r="J786" i="2"/>
  <c r="L594" i="2"/>
  <c r="K632" i="2"/>
  <c r="L631" i="2"/>
  <c r="J1250" i="2"/>
  <c r="J1251" i="2"/>
  <c r="L1251" i="2" s="1"/>
  <c r="J584" i="2"/>
  <c r="K201" i="2"/>
  <c r="L200" i="2"/>
  <c r="H431" i="2"/>
  <c r="F527" i="2"/>
  <c r="J1033" i="2"/>
  <c r="H421" i="2"/>
  <c r="F517" i="2"/>
  <c r="J948" i="2"/>
  <c r="J953" i="2"/>
  <c r="J1149" i="2"/>
  <c r="J1097" i="2"/>
  <c r="J672" i="2"/>
  <c r="J880" i="2"/>
  <c r="J1195" i="2"/>
  <c r="L1195" i="2" s="1"/>
  <c r="J816" i="2"/>
  <c r="L624" i="2"/>
  <c r="J802" i="2"/>
  <c r="L610" i="2"/>
  <c r="J886" i="2"/>
  <c r="H315" i="2"/>
  <c r="F411" i="2"/>
  <c r="F422" i="2"/>
  <c r="H326" i="2"/>
  <c r="K801" i="2"/>
  <c r="K802" i="2" s="1"/>
  <c r="K803" i="2" s="1"/>
  <c r="L800" i="2"/>
  <c r="J659" i="2"/>
  <c r="J896" i="2"/>
  <c r="F569" i="2"/>
  <c r="H473" i="2"/>
  <c r="G11" i="3"/>
  <c r="E13" i="3"/>
  <c r="J617" i="2"/>
  <c r="E84" i="1"/>
  <c r="G84" i="1" s="1"/>
  <c r="G85" i="1"/>
  <c r="J410" i="2"/>
  <c r="J661" i="2"/>
  <c r="J668" i="2"/>
  <c r="J625" i="2"/>
  <c r="F504" i="2"/>
  <c r="H408" i="2"/>
  <c r="F453" i="2"/>
  <c r="H357" i="2"/>
  <c r="J396" i="2"/>
  <c r="J603" i="2"/>
  <c r="J641" i="2"/>
  <c r="J669" i="2"/>
  <c r="F605" i="2"/>
  <c r="H605" i="2" s="1"/>
  <c r="H509" i="2"/>
  <c r="H348" i="2"/>
  <c r="J655" i="2"/>
  <c r="J872" i="2"/>
  <c r="J913" i="2"/>
  <c r="K392" i="2"/>
  <c r="K393" i="2" s="1"/>
  <c r="L391" i="2"/>
  <c r="H551" i="2"/>
  <c r="J670" i="2"/>
  <c r="H393" i="2"/>
  <c r="F489" i="2"/>
  <c r="F606" i="2"/>
  <c r="H606" i="2" s="1"/>
  <c r="H510" i="2"/>
  <c r="F530" i="2"/>
  <c r="H434" i="2"/>
  <c r="J865" i="2"/>
  <c r="J663" i="2"/>
  <c r="H297" i="2"/>
  <c r="H308" i="2"/>
  <c r="H338" i="2"/>
  <c r="J605" i="2"/>
  <c r="J929" i="2"/>
  <c r="J613" i="2"/>
  <c r="J657" i="2"/>
  <c r="J664" i="2"/>
  <c r="F511" i="2"/>
  <c r="H415" i="2"/>
  <c r="J591" i="2"/>
  <c r="J606" i="2"/>
  <c r="L621" i="2"/>
  <c r="J813" i="2"/>
  <c r="J629" i="2"/>
  <c r="J665" i="2"/>
  <c r="J607" i="2"/>
  <c r="J637" i="2"/>
  <c r="H419" i="2"/>
  <c r="F515" i="2"/>
  <c r="F416" i="2"/>
  <c r="H305" i="2"/>
  <c r="E30" i="1"/>
  <c r="E33" i="1" s="1"/>
  <c r="E25" i="1"/>
  <c r="F424" i="2"/>
  <c r="F441" i="2"/>
  <c r="H437" i="2"/>
  <c r="F533" i="2"/>
  <c r="BH156" i="1"/>
  <c r="F495" i="2"/>
  <c r="H329" i="2"/>
  <c r="H346" i="2"/>
  <c r="F407" i="2"/>
  <c r="H361" i="2"/>
  <c r="F457" i="2"/>
  <c r="F559" i="2"/>
  <c r="F535" i="2"/>
  <c r="H439" i="2"/>
  <c r="A24" i="3"/>
  <c r="AC23" i="3"/>
  <c r="F449" i="2"/>
  <c r="F456" i="2"/>
  <c r="F464" i="2"/>
  <c r="F423" i="2"/>
  <c r="F433" i="2"/>
  <c r="F480" i="2"/>
  <c r="BJ156" i="1"/>
  <c r="BL156" i="1" s="1"/>
  <c r="BI156" i="1"/>
  <c r="AN156" i="1"/>
  <c r="AL156" i="1"/>
  <c r="AO156" i="1"/>
  <c r="F181" i="1"/>
  <c r="E185" i="1"/>
  <c r="E178" i="1"/>
  <c r="F180" i="1"/>
  <c r="F174" i="1"/>
  <c r="E174" i="1"/>
  <c r="E168" i="1"/>
  <c r="E184" i="1"/>
  <c r="F172" i="1"/>
  <c r="E180" i="1"/>
  <c r="E165" i="1"/>
  <c r="F165" i="1"/>
  <c r="E169" i="1"/>
  <c r="E172" i="1"/>
  <c r="F179" i="1"/>
  <c r="F186" i="1"/>
  <c r="E181" i="1"/>
  <c r="F184" i="1"/>
  <c r="E188" i="1"/>
  <c r="F178" i="1"/>
  <c r="F167" i="1"/>
  <c r="F166" i="1"/>
  <c r="F182" i="1"/>
  <c r="F164" i="1"/>
  <c r="E171" i="1"/>
  <c r="N178" i="1"/>
  <c r="BT256" i="1" s="1"/>
  <c r="E187" i="1"/>
  <c r="F169" i="1"/>
  <c r="E170" i="1"/>
  <c r="E179" i="1"/>
  <c r="F170" i="1"/>
  <c r="O179" i="1"/>
  <c r="F188" i="1"/>
  <c r="O178" i="1"/>
  <c r="E186" i="1"/>
  <c r="F185" i="1"/>
  <c r="E167" i="1"/>
  <c r="F168" i="1"/>
  <c r="F171" i="1"/>
  <c r="F183" i="1"/>
  <c r="N179" i="1"/>
  <c r="F173" i="1"/>
  <c r="E183" i="1"/>
  <c r="E164" i="1"/>
  <c r="E182" i="1"/>
  <c r="E166" i="1"/>
  <c r="CK156" i="1"/>
  <c r="CF156" i="1"/>
  <c r="BK156" i="1"/>
  <c r="BM156" i="1" s="1"/>
  <c r="BN256" i="1" l="1"/>
  <c r="BT156" i="1"/>
  <c r="BR156" i="1"/>
  <c r="J1105" i="2"/>
  <c r="F519" i="2"/>
  <c r="H423" i="2"/>
  <c r="J829" i="2"/>
  <c r="J855" i="2"/>
  <c r="L392" i="2"/>
  <c r="J1232" i="2"/>
  <c r="L1232" i="2" s="1"/>
  <c r="J1136" i="2"/>
  <c r="K983" i="2"/>
  <c r="L982" i="2"/>
  <c r="J1292" i="2"/>
  <c r="J1192" i="2"/>
  <c r="L1192" i="2" s="1"/>
  <c r="H464" i="2"/>
  <c r="F560" i="2"/>
  <c r="F607" i="2"/>
  <c r="H607" i="2" s="1"/>
  <c r="H511" i="2"/>
  <c r="J1064" i="2"/>
  <c r="H453" i="2"/>
  <c r="F549" i="2"/>
  <c r="G13" i="3"/>
  <c r="E12" i="3"/>
  <c r="J1078" i="2"/>
  <c r="J776" i="2"/>
  <c r="L584" i="2"/>
  <c r="J858" i="2"/>
  <c r="F552" i="2"/>
  <c r="H456" i="2"/>
  <c r="F591" i="2"/>
  <c r="H591" i="2" s="1"/>
  <c r="H495" i="2"/>
  <c r="J799" i="2"/>
  <c r="L607" i="2"/>
  <c r="J856" i="2"/>
  <c r="J1057" i="2"/>
  <c r="L1252" i="2"/>
  <c r="J1236" i="2"/>
  <c r="L1236" i="2" s="1"/>
  <c r="J1210" i="2"/>
  <c r="L1210" i="2" s="1"/>
  <c r="F545" i="2"/>
  <c r="H449" i="2"/>
  <c r="J847" i="2"/>
  <c r="F600" i="2"/>
  <c r="H600" i="2" s="1"/>
  <c r="H504" i="2"/>
  <c r="J994" i="2"/>
  <c r="L802" i="2"/>
  <c r="K1255" i="2"/>
  <c r="K1256" i="2" s="1"/>
  <c r="K1257" i="2" s="1"/>
  <c r="K1258" i="2" s="1"/>
  <c r="K1259" i="2" s="1"/>
  <c r="L1254" i="2"/>
  <c r="J822" i="2"/>
  <c r="L630" i="2"/>
  <c r="J1263" i="2"/>
  <c r="J812" i="2"/>
  <c r="L620" i="2"/>
  <c r="F629" i="2"/>
  <c r="H629" i="2" s="1"/>
  <c r="H533" i="2"/>
  <c r="J857" i="2"/>
  <c r="H530" i="2"/>
  <c r="F626" i="2"/>
  <c r="H626" i="2" s="1"/>
  <c r="H569" i="2"/>
  <c r="F665" i="2"/>
  <c r="H665" i="2" s="1"/>
  <c r="J1145" i="2"/>
  <c r="J1061" i="2"/>
  <c r="J974" i="2"/>
  <c r="L782" i="2"/>
  <c r="J859" i="2"/>
  <c r="L1230" i="2"/>
  <c r="L16" i="2"/>
  <c r="K17" i="2"/>
  <c r="F529" i="2"/>
  <c r="H433" i="2"/>
  <c r="J1341" i="2"/>
  <c r="A25" i="3"/>
  <c r="AC24" i="3"/>
  <c r="C24" i="3"/>
  <c r="J849" i="2"/>
  <c r="L625" i="2"/>
  <c r="J817" i="2"/>
  <c r="J1008" i="2"/>
  <c r="J1262" i="2"/>
  <c r="F537" i="2"/>
  <c r="H441" i="2"/>
  <c r="J821" i="2"/>
  <c r="L629" i="2"/>
  <c r="J1088" i="2"/>
  <c r="J1140" i="2"/>
  <c r="L1250" i="2"/>
  <c r="J1203" i="2"/>
  <c r="L1203" i="2" s="1"/>
  <c r="J815" i="2"/>
  <c r="L623" i="2"/>
  <c r="J1094" i="2"/>
  <c r="L595" i="2"/>
  <c r="J787" i="2"/>
  <c r="F631" i="2"/>
  <c r="H631" i="2" s="1"/>
  <c r="H535" i="2"/>
  <c r="H424" i="2"/>
  <c r="F520" i="2"/>
  <c r="J805" i="2"/>
  <c r="L613" i="2"/>
  <c r="F585" i="2"/>
  <c r="H585" i="2" s="1"/>
  <c r="H489" i="2"/>
  <c r="J861" i="2"/>
  <c r="J860" i="2"/>
  <c r="F613" i="2"/>
  <c r="H613" i="2" s="1"/>
  <c r="H517" i="2"/>
  <c r="J1093" i="2"/>
  <c r="J1157" i="2"/>
  <c r="L1157" i="2" s="1"/>
  <c r="L965" i="2"/>
  <c r="F503" i="2"/>
  <c r="H407" i="2"/>
  <c r="L617" i="2"/>
  <c r="J809" i="2"/>
  <c r="G25" i="1"/>
  <c r="H26" i="1"/>
  <c r="J1005" i="2"/>
  <c r="J1180" i="2"/>
  <c r="L1180" i="2" s="1"/>
  <c r="J970" i="2"/>
  <c r="L778" i="2"/>
  <c r="J1154" i="2"/>
  <c r="J837" i="2"/>
  <c r="J1083" i="2"/>
  <c r="J588" i="2"/>
  <c r="J601" i="2"/>
  <c r="J1121" i="2"/>
  <c r="J853" i="2"/>
  <c r="J851" i="2"/>
  <c r="J981" i="2"/>
  <c r="L789" i="2"/>
  <c r="J1012" i="2"/>
  <c r="L1258" i="2"/>
  <c r="AF197" i="1"/>
  <c r="J1281" i="2"/>
  <c r="J1073" i="2"/>
  <c r="J797" i="2"/>
  <c r="L605" i="2"/>
  <c r="J862" i="2"/>
  <c r="J833" i="2"/>
  <c r="J602" i="2"/>
  <c r="J1072" i="2"/>
  <c r="J1225" i="2"/>
  <c r="L1225" i="2" s="1"/>
  <c r="K633" i="2"/>
  <c r="L632" i="2"/>
  <c r="F670" i="2"/>
  <c r="H670" i="2" s="1"/>
  <c r="H574" i="2"/>
  <c r="J1255" i="2"/>
  <c r="L1255" i="2" s="1"/>
  <c r="L1247" i="2"/>
  <c r="F576" i="2"/>
  <c r="H480" i="2"/>
  <c r="H416" i="2"/>
  <c r="F512" i="2"/>
  <c r="L606" i="2"/>
  <c r="J798" i="2"/>
  <c r="K804" i="2"/>
  <c r="L803" i="2"/>
  <c r="J864" i="2"/>
  <c r="J1125" i="2"/>
  <c r="J831" i="2"/>
  <c r="J807" i="2"/>
  <c r="L615" i="2"/>
  <c r="F507" i="2"/>
  <c r="H411" i="2"/>
  <c r="H559" i="2"/>
  <c r="F655" i="2"/>
  <c r="H655" i="2" s="1"/>
  <c r="H515" i="2"/>
  <c r="F611" i="2"/>
  <c r="H611" i="2" s="1"/>
  <c r="J795" i="2"/>
  <c r="L603" i="2"/>
  <c r="H527" i="2"/>
  <c r="F623" i="2"/>
  <c r="H623" i="2" s="1"/>
  <c r="L786" i="2"/>
  <c r="J978" i="2"/>
  <c r="J854" i="2"/>
  <c r="J1271" i="2"/>
  <c r="J1340" i="2"/>
  <c r="J1218" i="2"/>
  <c r="L1218" i="2" s="1"/>
  <c r="J1017" i="2"/>
  <c r="J1289" i="2"/>
  <c r="L201" i="2"/>
  <c r="K202" i="2"/>
  <c r="F553" i="2"/>
  <c r="H457" i="2"/>
  <c r="J783" i="2"/>
  <c r="L591" i="2"/>
  <c r="K394" i="2"/>
  <c r="L393" i="2"/>
  <c r="F518" i="2"/>
  <c r="H422" i="2"/>
  <c r="L609" i="2"/>
  <c r="J801" i="2"/>
  <c r="J1266" i="2"/>
  <c r="J1169" i="2"/>
  <c r="L1169" i="2" s="1"/>
  <c r="L977" i="2"/>
  <c r="J1331" i="2"/>
  <c r="BN156" i="1"/>
  <c r="BS207" i="1"/>
  <c r="BS177" i="1"/>
  <c r="BS196" i="1"/>
  <c r="BS166" i="1"/>
  <c r="BS184" i="1"/>
  <c r="BS248" i="1"/>
  <c r="BS164" i="1"/>
  <c r="BS222" i="1"/>
  <c r="BS210" i="1"/>
  <c r="BS179" i="1"/>
  <c r="BS243" i="1"/>
  <c r="BS213" i="1"/>
  <c r="BS215" i="1"/>
  <c r="BS193" i="1"/>
  <c r="BS220" i="1"/>
  <c r="BS182" i="1"/>
  <c r="BS192" i="1"/>
  <c r="BS256" i="1"/>
  <c r="BX256" i="1" s="1"/>
  <c r="BS167" i="1"/>
  <c r="BS231" i="1"/>
  <c r="BS225" i="1"/>
  <c r="BS165" i="1"/>
  <c r="BS230" i="1"/>
  <c r="BS208" i="1"/>
  <c r="BS185" i="1"/>
  <c r="BS252" i="1"/>
  <c r="BS170" i="1"/>
  <c r="BS234" i="1"/>
  <c r="BS203" i="1"/>
  <c r="BS212" i="1"/>
  <c r="BS158" i="1"/>
  <c r="BS175" i="1"/>
  <c r="BS239" i="1"/>
  <c r="BS241" i="1"/>
  <c r="BS189" i="1"/>
  <c r="BS254" i="1"/>
  <c r="BS216" i="1"/>
  <c r="BS201" i="1"/>
  <c r="BS173" i="1"/>
  <c r="BS178" i="1"/>
  <c r="BS242" i="1"/>
  <c r="BS211" i="1"/>
  <c r="BS236" i="1"/>
  <c r="BS190" i="1"/>
  <c r="BS191" i="1"/>
  <c r="BS255" i="1"/>
  <c r="BS172" i="1"/>
  <c r="BS221" i="1"/>
  <c r="BS168" i="1"/>
  <c r="BS232" i="1"/>
  <c r="BS233" i="1"/>
  <c r="BS174" i="1"/>
  <c r="BS194" i="1"/>
  <c r="BS163" i="1"/>
  <c r="BS227" i="1"/>
  <c r="BS181" i="1"/>
  <c r="BS238" i="1"/>
  <c r="BS199" i="1"/>
  <c r="BS161" i="1"/>
  <c r="BS188" i="1"/>
  <c r="BS245" i="1"/>
  <c r="BS176" i="1"/>
  <c r="BS240" i="1"/>
  <c r="BS249" i="1"/>
  <c r="BS198" i="1"/>
  <c r="BS202" i="1"/>
  <c r="BS171" i="1"/>
  <c r="BS235" i="1"/>
  <c r="BS197" i="1"/>
  <c r="BS251" i="1"/>
  <c r="BS217" i="1"/>
  <c r="BS226" i="1"/>
  <c r="BS237" i="1"/>
  <c r="BS244" i="1"/>
  <c r="BS204" i="1"/>
  <c r="BS250" i="1"/>
  <c r="BS253" i="1"/>
  <c r="BS205" i="1"/>
  <c r="BS228" i="1"/>
  <c r="BS187" i="1"/>
  <c r="BS214" i="1"/>
  <c r="BS159" i="1"/>
  <c r="BS206" i="1"/>
  <c r="BS229" i="1"/>
  <c r="BS195" i="1"/>
  <c r="BS183" i="1"/>
  <c r="BS160" i="1"/>
  <c r="BS246" i="1"/>
  <c r="BS219" i="1"/>
  <c r="BS223" i="1"/>
  <c r="BS200" i="1"/>
  <c r="BS162" i="1"/>
  <c r="BS156" i="1"/>
  <c r="BS247" i="1"/>
  <c r="BS224" i="1"/>
  <c r="BS186" i="1"/>
  <c r="BS180" i="1"/>
  <c r="BS209" i="1"/>
  <c r="BS169" i="1"/>
  <c r="BS218" i="1"/>
  <c r="BS157" i="1"/>
  <c r="AU187" i="1"/>
  <c r="AU251" i="1"/>
  <c r="AU166" i="1"/>
  <c r="AU215" i="1"/>
  <c r="AU248" i="1"/>
  <c r="AU186" i="1"/>
  <c r="AU196" i="1"/>
  <c r="AU158" i="1"/>
  <c r="AU190" i="1"/>
  <c r="AU207" i="1"/>
  <c r="AU224" i="1"/>
  <c r="AU241" i="1"/>
  <c r="AU250" i="1"/>
  <c r="AU211" i="1"/>
  <c r="AU189" i="1"/>
  <c r="AU238" i="1"/>
  <c r="AU160" i="1"/>
  <c r="AU201" i="1"/>
  <c r="AU242" i="1"/>
  <c r="AU220" i="1"/>
  <c r="AU213" i="1"/>
  <c r="AU230" i="1"/>
  <c r="AU255" i="1"/>
  <c r="AU161" i="1"/>
  <c r="AU178" i="1"/>
  <c r="AU157" i="1"/>
  <c r="AU219" i="1"/>
  <c r="AU205" i="1"/>
  <c r="AU254" i="1"/>
  <c r="AU176" i="1"/>
  <c r="AU217" i="1"/>
  <c r="AU164" i="1"/>
  <c r="AU228" i="1"/>
  <c r="AU229" i="1"/>
  <c r="AU246" i="1"/>
  <c r="AU168" i="1"/>
  <c r="AU177" i="1"/>
  <c r="AU194" i="1"/>
  <c r="AU171" i="1"/>
  <c r="AU235" i="1"/>
  <c r="AU237" i="1"/>
  <c r="AU175" i="1"/>
  <c r="AU208" i="1"/>
  <c r="AU156" i="1"/>
  <c r="AU180" i="1"/>
  <c r="AU244" i="1"/>
  <c r="AU174" i="1"/>
  <c r="AU183" i="1"/>
  <c r="AU200" i="1"/>
  <c r="AU209" i="1"/>
  <c r="AU218" i="1"/>
  <c r="AU179" i="1"/>
  <c r="AU243" i="1"/>
  <c r="AU253" i="1"/>
  <c r="AU191" i="1"/>
  <c r="AU232" i="1"/>
  <c r="AU170" i="1"/>
  <c r="AU188" i="1"/>
  <c r="AU252" i="1"/>
  <c r="AU182" i="1"/>
  <c r="AU199" i="1"/>
  <c r="AU216" i="1"/>
  <c r="AU225" i="1"/>
  <c r="AU234" i="1"/>
  <c r="AU198" i="1"/>
  <c r="AU233" i="1"/>
  <c r="AU197" i="1"/>
  <c r="AU240" i="1"/>
  <c r="AU163" i="1"/>
  <c r="AU222" i="1"/>
  <c r="AU202" i="1"/>
  <c r="AU245" i="1"/>
  <c r="AU256" i="1"/>
  <c r="AU195" i="1"/>
  <c r="AU167" i="1"/>
  <c r="AU226" i="1"/>
  <c r="AU206" i="1"/>
  <c r="AU185" i="1"/>
  <c r="AU203" i="1"/>
  <c r="AU231" i="1"/>
  <c r="AU172" i="1"/>
  <c r="AU214" i="1"/>
  <c r="AU249" i="1"/>
  <c r="AU227" i="1"/>
  <c r="AU247" i="1"/>
  <c r="AU204" i="1"/>
  <c r="AU159" i="1"/>
  <c r="AU162" i="1"/>
  <c r="AU165" i="1"/>
  <c r="AU192" i="1"/>
  <c r="AU212" i="1"/>
  <c r="AU223" i="1"/>
  <c r="AU210" i="1"/>
  <c r="AU173" i="1"/>
  <c r="AU169" i="1"/>
  <c r="AU236" i="1"/>
  <c r="AU239" i="1"/>
  <c r="AU221" i="1"/>
  <c r="AU193" i="1"/>
  <c r="AU181" i="1"/>
  <c r="AU184" i="1"/>
  <c r="AY157" i="1"/>
  <c r="AY164" i="1"/>
  <c r="AY228" i="1"/>
  <c r="AY189" i="1"/>
  <c r="AY253" i="1"/>
  <c r="AY214" i="1"/>
  <c r="AY248" i="1"/>
  <c r="AY235" i="1"/>
  <c r="AY215" i="1"/>
  <c r="AY232" i="1"/>
  <c r="AY251" i="1"/>
  <c r="AY185" i="1"/>
  <c r="AY170" i="1"/>
  <c r="AY179" i="1"/>
  <c r="AY188" i="1"/>
  <c r="AY252" i="1"/>
  <c r="AY213" i="1"/>
  <c r="AY174" i="1"/>
  <c r="AY238" i="1"/>
  <c r="AY201" i="1"/>
  <c r="AY175" i="1"/>
  <c r="AY239" i="1"/>
  <c r="AY217" i="1"/>
  <c r="AY176" i="1"/>
  <c r="AY226" i="1"/>
  <c r="AY178" i="1"/>
  <c r="AY187" i="1"/>
  <c r="AY196" i="1"/>
  <c r="AY158" i="1"/>
  <c r="AY221" i="1"/>
  <c r="AY182" i="1"/>
  <c r="AY246" i="1"/>
  <c r="AY225" i="1"/>
  <c r="AY183" i="1"/>
  <c r="AY247" i="1"/>
  <c r="AY241" i="1"/>
  <c r="AY200" i="1"/>
  <c r="AY234" i="1"/>
  <c r="AY194" i="1"/>
  <c r="AY203" i="1"/>
  <c r="AY212" i="1"/>
  <c r="AY173" i="1"/>
  <c r="AY237" i="1"/>
  <c r="AY198" i="1"/>
  <c r="AY192" i="1"/>
  <c r="AY218" i="1"/>
  <c r="AY199" i="1"/>
  <c r="AY184" i="1"/>
  <c r="AY250" i="1"/>
  <c r="AY240" i="1"/>
  <c r="AY202" i="1"/>
  <c r="AY211" i="1"/>
  <c r="AY220" i="1"/>
  <c r="AY181" i="1"/>
  <c r="AY245" i="1"/>
  <c r="AY206" i="1"/>
  <c r="AY216" i="1"/>
  <c r="AY242" i="1"/>
  <c r="AY207" i="1"/>
  <c r="AY208" i="1"/>
  <c r="AY243" i="1"/>
  <c r="AY169" i="1"/>
  <c r="AY186" i="1"/>
  <c r="AY244" i="1"/>
  <c r="AY222" i="1"/>
  <c r="AY191" i="1"/>
  <c r="AY168" i="1"/>
  <c r="AY163" i="1"/>
  <c r="AY165" i="1"/>
  <c r="AY230" i="1"/>
  <c r="AY223" i="1"/>
  <c r="AY224" i="1"/>
  <c r="AY171" i="1"/>
  <c r="AY197" i="1"/>
  <c r="AY254" i="1"/>
  <c r="AY231" i="1"/>
  <c r="AY209" i="1"/>
  <c r="AY195" i="1"/>
  <c r="AY205" i="1"/>
  <c r="AY161" i="1"/>
  <c r="AY255" i="1"/>
  <c r="AY233" i="1"/>
  <c r="AY172" i="1"/>
  <c r="AY229" i="1"/>
  <c r="AY177" i="1"/>
  <c r="AY256" i="1"/>
  <c r="AY219" i="1"/>
  <c r="AY180" i="1"/>
  <c r="AY227" i="1"/>
  <c r="AY249" i="1"/>
  <c r="AY193" i="1"/>
  <c r="AY156" i="1"/>
  <c r="AY204" i="1"/>
  <c r="AY166" i="1"/>
  <c r="AY159" i="1"/>
  <c r="AY210" i="1"/>
  <c r="AY190" i="1"/>
  <c r="AY167" i="1"/>
  <c r="AY160" i="1"/>
  <c r="AY162" i="1"/>
  <c r="AY236" i="1"/>
  <c r="AV177" i="1"/>
  <c r="AV241" i="1"/>
  <c r="AV171" i="1"/>
  <c r="AV180" i="1"/>
  <c r="AV244" i="1"/>
  <c r="AV246" i="1"/>
  <c r="AV158" i="1"/>
  <c r="AV221" i="1"/>
  <c r="AV238" i="1"/>
  <c r="AV160" i="1"/>
  <c r="AV224" i="1"/>
  <c r="AV202" i="1"/>
  <c r="AV211" i="1"/>
  <c r="AV201" i="1"/>
  <c r="AV178" i="1"/>
  <c r="AV219" i="1"/>
  <c r="AV204" i="1"/>
  <c r="AV174" i="1"/>
  <c r="AV191" i="1"/>
  <c r="AV181" i="1"/>
  <c r="AV245" i="1"/>
  <c r="AV183" i="1"/>
  <c r="AV184" i="1"/>
  <c r="AV248" i="1"/>
  <c r="AV234" i="1"/>
  <c r="AV209" i="1"/>
  <c r="AV194" i="1"/>
  <c r="AV235" i="1"/>
  <c r="AV212" i="1"/>
  <c r="AV182" i="1"/>
  <c r="AV215" i="1"/>
  <c r="AV189" i="1"/>
  <c r="AV253" i="1"/>
  <c r="AV199" i="1"/>
  <c r="AV192" i="1"/>
  <c r="AV256" i="1"/>
  <c r="AV242" i="1"/>
  <c r="AV161" i="1"/>
  <c r="AV225" i="1"/>
  <c r="AV250" i="1"/>
  <c r="AV164" i="1"/>
  <c r="AV228" i="1"/>
  <c r="AV214" i="1"/>
  <c r="AV239" i="1"/>
  <c r="AV205" i="1"/>
  <c r="AV206" i="1"/>
  <c r="AV231" i="1"/>
  <c r="AV208" i="1"/>
  <c r="AV170" i="1"/>
  <c r="AV179" i="1"/>
  <c r="AV169" i="1"/>
  <c r="AV233" i="1"/>
  <c r="AV163" i="1"/>
  <c r="AV172" i="1"/>
  <c r="AV236" i="1"/>
  <c r="AV230" i="1"/>
  <c r="AV255" i="1"/>
  <c r="AV213" i="1"/>
  <c r="AV222" i="1"/>
  <c r="AV247" i="1"/>
  <c r="AV216" i="1"/>
  <c r="AV186" i="1"/>
  <c r="AV195" i="1"/>
  <c r="AV249" i="1"/>
  <c r="AV220" i="1"/>
  <c r="AV173" i="1"/>
  <c r="AV168" i="1"/>
  <c r="AV157" i="1"/>
  <c r="AV162" i="1"/>
  <c r="AV252" i="1"/>
  <c r="AV197" i="1"/>
  <c r="AV176" i="1"/>
  <c r="AV227" i="1"/>
  <c r="AV210" i="1"/>
  <c r="AV166" i="1"/>
  <c r="AV229" i="1"/>
  <c r="AV200" i="1"/>
  <c r="AV243" i="1"/>
  <c r="AV187" i="1"/>
  <c r="AV198" i="1"/>
  <c r="AV237" i="1"/>
  <c r="AV232" i="1"/>
  <c r="AV203" i="1"/>
  <c r="AV159" i="1"/>
  <c r="AV190" i="1"/>
  <c r="AV240" i="1"/>
  <c r="AV185" i="1"/>
  <c r="AV251" i="1"/>
  <c r="AV175" i="1"/>
  <c r="AV254" i="1"/>
  <c r="AV156" i="1"/>
  <c r="AV193" i="1"/>
  <c r="AV188" i="1"/>
  <c r="AV223" i="1"/>
  <c r="AV167" i="1"/>
  <c r="AV218" i="1"/>
  <c r="AV217" i="1"/>
  <c r="AV196" i="1"/>
  <c r="AV165" i="1"/>
  <c r="AV207" i="1"/>
  <c r="AV226" i="1"/>
  <c r="AZ256" i="1"/>
  <c r="AZ156" i="1"/>
  <c r="AQ156" i="1"/>
  <c r="AS156" i="1" s="1"/>
  <c r="AP156" i="1"/>
  <c r="AR156" i="1" s="1"/>
  <c r="AQ256" i="1"/>
  <c r="AS256" i="1" s="1"/>
  <c r="AP256" i="1"/>
  <c r="AR256" i="1" s="1"/>
  <c r="BC156" i="1"/>
  <c r="BC256" i="1"/>
  <c r="AX256" i="1"/>
  <c r="AX156" i="1"/>
  <c r="AW201" i="1"/>
  <c r="AW170" i="1"/>
  <c r="AW179" i="1"/>
  <c r="AW196" i="1"/>
  <c r="AW166" i="1"/>
  <c r="AW165" i="1"/>
  <c r="AW229" i="1"/>
  <c r="AW230" i="1"/>
  <c r="AW199" i="1"/>
  <c r="AW243" i="1"/>
  <c r="AW216" i="1"/>
  <c r="AW169" i="1"/>
  <c r="AW233" i="1"/>
  <c r="AW226" i="1"/>
  <c r="AW164" i="1"/>
  <c r="AW228" i="1"/>
  <c r="AW238" i="1"/>
  <c r="AW197" i="1"/>
  <c r="AW174" i="1"/>
  <c r="AW167" i="1"/>
  <c r="AW185" i="1"/>
  <c r="AW249" i="1"/>
  <c r="AW250" i="1"/>
  <c r="AW180" i="1"/>
  <c r="AW244" i="1"/>
  <c r="AW211" i="1"/>
  <c r="AW213" i="1"/>
  <c r="AW198" i="1"/>
  <c r="AW183" i="1"/>
  <c r="AW247" i="1"/>
  <c r="AW193" i="1"/>
  <c r="AW162" i="1"/>
  <c r="AW171" i="1"/>
  <c r="AW188" i="1"/>
  <c r="AW252" i="1"/>
  <c r="AW158" i="1"/>
  <c r="AW221" i="1"/>
  <c r="AW214" i="1"/>
  <c r="AW191" i="1"/>
  <c r="AW255" i="1"/>
  <c r="AW241" i="1"/>
  <c r="AW172" i="1"/>
  <c r="AW254" i="1"/>
  <c r="AW182" i="1"/>
  <c r="AW231" i="1"/>
  <c r="AW208" i="1"/>
  <c r="AW202" i="1"/>
  <c r="AW178" i="1"/>
  <c r="AW204" i="1"/>
  <c r="AW173" i="1"/>
  <c r="AW246" i="1"/>
  <c r="AW239" i="1"/>
  <c r="AW224" i="1"/>
  <c r="AW218" i="1"/>
  <c r="AW194" i="1"/>
  <c r="AW212" i="1"/>
  <c r="AW181" i="1"/>
  <c r="AW219" i="1"/>
  <c r="AW160" i="1"/>
  <c r="AW232" i="1"/>
  <c r="AW242" i="1"/>
  <c r="AW161" i="1"/>
  <c r="AW210" i="1"/>
  <c r="AW220" i="1"/>
  <c r="AW189" i="1"/>
  <c r="AW159" i="1"/>
  <c r="AW168" i="1"/>
  <c r="AW240" i="1"/>
  <c r="AW163" i="1"/>
  <c r="AW177" i="1"/>
  <c r="AW234" i="1"/>
  <c r="AW236" i="1"/>
  <c r="AW205" i="1"/>
  <c r="AW175" i="1"/>
  <c r="AW176" i="1"/>
  <c r="AW248" i="1"/>
  <c r="AW187" i="1"/>
  <c r="AW209" i="1"/>
  <c r="AW203" i="1"/>
  <c r="AW190" i="1"/>
  <c r="AW237" i="1"/>
  <c r="AW207" i="1"/>
  <c r="AW217" i="1"/>
  <c r="AW235" i="1"/>
  <c r="AW206" i="1"/>
  <c r="AW245" i="1"/>
  <c r="AW215" i="1"/>
  <c r="AW192" i="1"/>
  <c r="AW156" i="1"/>
  <c r="AW227" i="1"/>
  <c r="AW225" i="1"/>
  <c r="AW186" i="1"/>
  <c r="AW157" i="1"/>
  <c r="AW195" i="1"/>
  <c r="AW222" i="1"/>
  <c r="AW251" i="1"/>
  <c r="AW253" i="1"/>
  <c r="AW223" i="1"/>
  <c r="AW184" i="1"/>
  <c r="AW200" i="1"/>
  <c r="AW256" i="1"/>
  <c r="CP156" i="1"/>
  <c r="BW156" i="1"/>
  <c r="BW256" i="1"/>
  <c r="BP164" i="1"/>
  <c r="BP228" i="1"/>
  <c r="BP229" i="1"/>
  <c r="BP159" i="1"/>
  <c r="BP223" i="1"/>
  <c r="BP184" i="1"/>
  <c r="BP248" i="1"/>
  <c r="BP193" i="1"/>
  <c r="BP162" i="1"/>
  <c r="BP226" i="1"/>
  <c r="BP179" i="1"/>
  <c r="BP243" i="1"/>
  <c r="BP253" i="1"/>
  <c r="BP188" i="1"/>
  <c r="BP252" i="1"/>
  <c r="BP174" i="1"/>
  <c r="BP183" i="1"/>
  <c r="BP247" i="1"/>
  <c r="BP208" i="1"/>
  <c r="BP254" i="1"/>
  <c r="BP217" i="1"/>
  <c r="BP186" i="1"/>
  <c r="BP250" i="1"/>
  <c r="BP203" i="1"/>
  <c r="BP173" i="1"/>
  <c r="BP206" i="1"/>
  <c r="BP196" i="1"/>
  <c r="BP165" i="1"/>
  <c r="BP198" i="1"/>
  <c r="BP191" i="1"/>
  <c r="BP255" i="1"/>
  <c r="BP216" i="1"/>
  <c r="BP161" i="1"/>
  <c r="BP225" i="1"/>
  <c r="BP194" i="1"/>
  <c r="BP222" i="1"/>
  <c r="BP211" i="1"/>
  <c r="BP189" i="1"/>
  <c r="BP212" i="1"/>
  <c r="BP197" i="1"/>
  <c r="BP238" i="1"/>
  <c r="BP207" i="1"/>
  <c r="BP168" i="1"/>
  <c r="BP232" i="1"/>
  <c r="BP177" i="1"/>
  <c r="BP241" i="1"/>
  <c r="BP210" i="1"/>
  <c r="BP163" i="1"/>
  <c r="BP227" i="1"/>
  <c r="BP221" i="1"/>
  <c r="BP156" i="1"/>
  <c r="BP220" i="1"/>
  <c r="BP213" i="1"/>
  <c r="BP182" i="1"/>
  <c r="BP215" i="1"/>
  <c r="BP176" i="1"/>
  <c r="BP240" i="1"/>
  <c r="BP185" i="1"/>
  <c r="BP249" i="1"/>
  <c r="BP218" i="1"/>
  <c r="BP171" i="1"/>
  <c r="BP235" i="1"/>
  <c r="BP237" i="1"/>
  <c r="BP181" i="1"/>
  <c r="BP239" i="1"/>
  <c r="BP201" i="1"/>
  <c r="BP246" i="1"/>
  <c r="BP190" i="1"/>
  <c r="BP245" i="1"/>
  <c r="BP160" i="1"/>
  <c r="BP209" i="1"/>
  <c r="BP187" i="1"/>
  <c r="BP158" i="1"/>
  <c r="BP192" i="1"/>
  <c r="BP233" i="1"/>
  <c r="BP195" i="1"/>
  <c r="BP172" i="1"/>
  <c r="BP214" i="1"/>
  <c r="BP200" i="1"/>
  <c r="BP170" i="1"/>
  <c r="BP219" i="1"/>
  <c r="BP180" i="1"/>
  <c r="BP167" i="1"/>
  <c r="BP224" i="1"/>
  <c r="BP178" i="1"/>
  <c r="BP251" i="1"/>
  <c r="BP204" i="1"/>
  <c r="BP175" i="1"/>
  <c r="BP256" i="1"/>
  <c r="BU256" i="1" s="1"/>
  <c r="BV256" i="1" s="1"/>
  <c r="BP202" i="1"/>
  <c r="BP157" i="1"/>
  <c r="BP236" i="1"/>
  <c r="BP199" i="1"/>
  <c r="BP230" i="1"/>
  <c r="BP234" i="1"/>
  <c r="BP205" i="1"/>
  <c r="BP242" i="1"/>
  <c r="BP166" i="1"/>
  <c r="BP244" i="1"/>
  <c r="BP231" i="1"/>
  <c r="BP169" i="1"/>
  <c r="BU156" i="1" l="1"/>
  <c r="BV156" i="1" s="1"/>
  <c r="BX156" i="1"/>
  <c r="H507" i="2"/>
  <c r="F603" i="2"/>
  <c r="H603" i="2" s="1"/>
  <c r="F672" i="2"/>
  <c r="H672" i="2" s="1"/>
  <c r="H576" i="2"/>
  <c r="J1048" i="2"/>
  <c r="K984" i="2"/>
  <c r="L983" i="2"/>
  <c r="H518" i="2"/>
  <c r="F614" i="2"/>
  <c r="H614" i="2" s="1"/>
  <c r="J1186" i="2"/>
  <c r="L1186" i="2" s="1"/>
  <c r="K395" i="2"/>
  <c r="L394" i="2"/>
  <c r="J1043" i="2"/>
  <c r="J1162" i="2"/>
  <c r="L1162" i="2" s="1"/>
  <c r="L970" i="2"/>
  <c r="J1286" i="2"/>
  <c r="H529" i="2"/>
  <c r="F625" i="2"/>
  <c r="H625" i="2" s="1"/>
  <c r="J1328" i="2"/>
  <c r="J999" i="2"/>
  <c r="J1054" i="2"/>
  <c r="K18" i="2"/>
  <c r="L17" i="2"/>
  <c r="J1039" i="2"/>
  <c r="J991" i="2"/>
  <c r="L799" i="2"/>
  <c r="J975" i="2"/>
  <c r="L783" i="2"/>
  <c r="J1045" i="2"/>
  <c r="J1052" i="2"/>
  <c r="J1007" i="2"/>
  <c r="J1049" i="2"/>
  <c r="H549" i="2"/>
  <c r="F645" i="2"/>
  <c r="H645" i="2" s="1"/>
  <c r="J1046" i="2"/>
  <c r="J1023" i="2"/>
  <c r="J989" i="2"/>
  <c r="L797" i="2"/>
  <c r="J1197" i="2"/>
  <c r="L1197" i="2" s="1"/>
  <c r="F649" i="2"/>
  <c r="H649" i="2" s="1"/>
  <c r="H553" i="2"/>
  <c r="J1170" i="2"/>
  <c r="L1170" i="2" s="1"/>
  <c r="L978" i="2"/>
  <c r="J1313" i="2"/>
  <c r="J1053" i="2"/>
  <c r="J1200" i="2"/>
  <c r="L1200" i="2" s="1"/>
  <c r="H545" i="2"/>
  <c r="F641" i="2"/>
  <c r="H641" i="2" s="1"/>
  <c r="K203" i="2"/>
  <c r="L202" i="2"/>
  <c r="J1317" i="2"/>
  <c r="J1265" i="2"/>
  <c r="J1009" i="2"/>
  <c r="J1051" i="2"/>
  <c r="F648" i="2"/>
  <c r="H648" i="2" s="1"/>
  <c r="H552" i="2"/>
  <c r="J1256" i="2"/>
  <c r="L1256" i="2" s="1"/>
  <c r="J1173" i="2"/>
  <c r="L1173" i="2" s="1"/>
  <c r="L981" i="2"/>
  <c r="L601" i="2"/>
  <c r="J793" i="2"/>
  <c r="J1004" i="2"/>
  <c r="J1047" i="2"/>
  <c r="J1025" i="2"/>
  <c r="J1056" i="2"/>
  <c r="K634" i="2"/>
  <c r="L633" i="2"/>
  <c r="J780" i="2"/>
  <c r="L588" i="2"/>
  <c r="J1001" i="2"/>
  <c r="J1041" i="2"/>
  <c r="J1166" i="2"/>
  <c r="L1166" i="2" s="1"/>
  <c r="L974" i="2"/>
  <c r="J1050" i="2"/>
  <c r="J997" i="2"/>
  <c r="L805" i="2"/>
  <c r="J1332" i="2"/>
  <c r="F656" i="2"/>
  <c r="H656" i="2" s="1"/>
  <c r="H560" i="2"/>
  <c r="J1021" i="2"/>
  <c r="J1346" i="2"/>
  <c r="J987" i="2"/>
  <c r="L795" i="2"/>
  <c r="K805" i="2"/>
  <c r="K806" i="2" s="1"/>
  <c r="L804" i="2"/>
  <c r="AF198" i="1"/>
  <c r="F616" i="2"/>
  <c r="H616" i="2" s="1"/>
  <c r="H520" i="2"/>
  <c r="J1253" i="2"/>
  <c r="L1253" i="2" s="1"/>
  <c r="J968" i="2"/>
  <c r="L776" i="2"/>
  <c r="J1209" i="2"/>
  <c r="L1209" i="2" s="1"/>
  <c r="J990" i="2"/>
  <c r="L798" i="2"/>
  <c r="J1275" i="2"/>
  <c r="F599" i="2"/>
  <c r="H599" i="2" s="1"/>
  <c r="H503" i="2"/>
  <c r="J1280" i="2"/>
  <c r="L1257" i="2"/>
  <c r="J1014" i="2"/>
  <c r="F615" i="2"/>
  <c r="H615" i="2" s="1"/>
  <c r="H519" i="2"/>
  <c r="J993" i="2"/>
  <c r="L801" i="2"/>
  <c r="J1264" i="2"/>
  <c r="A26" i="3"/>
  <c r="AC25" i="3"/>
  <c r="C25" i="3"/>
  <c r="J1270" i="2"/>
  <c r="F633" i="2"/>
  <c r="H633" i="2" s="1"/>
  <c r="H537" i="2"/>
  <c r="F608" i="2"/>
  <c r="H608" i="2" s="1"/>
  <c r="H512" i="2"/>
  <c r="J1204" i="2"/>
  <c r="L1204" i="2" s="1"/>
  <c r="J1029" i="2"/>
  <c r="J1013" i="2"/>
  <c r="J1337" i="2"/>
  <c r="K1260" i="2"/>
  <c r="L1259" i="2"/>
  <c r="J1297" i="2"/>
  <c r="J1285" i="2"/>
  <c r="J794" i="2"/>
  <c r="L602" i="2"/>
  <c r="J979" i="2"/>
  <c r="L787" i="2"/>
  <c r="J1249" i="2"/>
  <c r="L1249" i="2" s="1"/>
  <c r="G12" i="3"/>
  <c r="BY256" i="1"/>
  <c r="BZ256" i="1" s="1"/>
  <c r="CL256" i="1" s="1"/>
  <c r="AT256" i="1"/>
  <c r="BD256" i="1" s="1"/>
  <c r="BE256" i="1" s="1"/>
  <c r="BY156" i="1"/>
  <c r="AT156" i="1"/>
  <c r="BD156" i="1" s="1"/>
  <c r="BE156" i="1" s="1"/>
  <c r="CM256" i="1" l="1"/>
  <c r="CN256" i="1" s="1"/>
  <c r="CV256" i="1" s="1"/>
  <c r="CU256" i="1"/>
  <c r="BZ156" i="1"/>
  <c r="CL156" i="1" s="1"/>
  <c r="BA156" i="1"/>
  <c r="BB156" i="1" s="1"/>
  <c r="BF156" i="1" s="1"/>
  <c r="CG156" i="1" s="1"/>
  <c r="CQ156" i="1" s="1"/>
  <c r="BA256" i="1"/>
  <c r="BB256" i="1" s="1"/>
  <c r="BF256" i="1" s="1"/>
  <c r="CG256" i="1" s="1"/>
  <c r="J1242" i="2"/>
  <c r="L1242" i="2" s="1"/>
  <c r="K204" i="2"/>
  <c r="L203" i="2"/>
  <c r="J1245" i="2"/>
  <c r="L1245" i="2" s="1"/>
  <c r="J986" i="2"/>
  <c r="L794" i="2"/>
  <c r="J1182" i="2"/>
  <c r="L1182" i="2" s="1"/>
  <c r="J1213" i="2"/>
  <c r="L1213" i="2" s="1"/>
  <c r="J1217" i="2"/>
  <c r="L1217" i="2" s="1"/>
  <c r="J1215" i="2"/>
  <c r="L1215" i="2" s="1"/>
  <c r="J1244" i="2"/>
  <c r="L1244" i="2" s="1"/>
  <c r="J1231" i="2"/>
  <c r="L1231" i="2" s="1"/>
  <c r="J1181" i="2"/>
  <c r="L1181" i="2" s="1"/>
  <c r="AF199" i="1"/>
  <c r="J1239" i="2"/>
  <c r="L1239" i="2" s="1"/>
  <c r="J1238" i="2"/>
  <c r="L1238" i="2" s="1"/>
  <c r="J1237" i="2"/>
  <c r="L1237" i="2" s="1"/>
  <c r="K19" i="2"/>
  <c r="L18" i="2"/>
  <c r="J1171" i="2"/>
  <c r="L1171" i="2" s="1"/>
  <c r="L979" i="2"/>
  <c r="K1261" i="2"/>
  <c r="L1260" i="2"/>
  <c r="J1205" i="2"/>
  <c r="L1205" i="2" s="1"/>
  <c r="K807" i="2"/>
  <c r="L806" i="2"/>
  <c r="J1233" i="2"/>
  <c r="L1233" i="2" s="1"/>
  <c r="J1196" i="2"/>
  <c r="L1196" i="2" s="1"/>
  <c r="J1221" i="2"/>
  <c r="L1221" i="2" s="1"/>
  <c r="C26" i="3"/>
  <c r="A27" i="3"/>
  <c r="AC26" i="3"/>
  <c r="J1179" i="2"/>
  <c r="L1179" i="2" s="1"/>
  <c r="J985" i="2"/>
  <c r="L793" i="2"/>
  <c r="J1246" i="2"/>
  <c r="L1246" i="2" s="1"/>
  <c r="J1243" i="2"/>
  <c r="L1243" i="2" s="1"/>
  <c r="J1206" i="2"/>
  <c r="L1206" i="2" s="1"/>
  <c r="J1189" i="2"/>
  <c r="L1189" i="2" s="1"/>
  <c r="J972" i="2"/>
  <c r="L780" i="2"/>
  <c r="J1191" i="2"/>
  <c r="L1191" i="2" s="1"/>
  <c r="J1193" i="2"/>
  <c r="L1193" i="2" s="1"/>
  <c r="J1185" i="2"/>
  <c r="L1185" i="2" s="1"/>
  <c r="J1201" i="2"/>
  <c r="L1201" i="2" s="1"/>
  <c r="K985" i="2"/>
  <c r="K986" i="2" s="1"/>
  <c r="K987" i="2" s="1"/>
  <c r="K988" i="2" s="1"/>
  <c r="L984" i="2"/>
  <c r="K635" i="2"/>
  <c r="L634" i="2"/>
  <c r="J1235" i="2"/>
  <c r="L1235" i="2" s="1"/>
  <c r="J1199" i="2"/>
  <c r="L1199" i="2" s="1"/>
  <c r="L975" i="2"/>
  <c r="J1167" i="2"/>
  <c r="L1167" i="2" s="1"/>
  <c r="J1160" i="2"/>
  <c r="L1160" i="2" s="1"/>
  <c r="L968" i="2"/>
  <c r="J1248" i="2"/>
  <c r="L1248" i="2" s="1"/>
  <c r="J1240" i="2"/>
  <c r="L1240" i="2" s="1"/>
  <c r="J1183" i="2"/>
  <c r="L1183" i="2" s="1"/>
  <c r="J1241" i="2"/>
  <c r="L1241" i="2" s="1"/>
  <c r="L395" i="2"/>
  <c r="K396" i="2"/>
  <c r="CM156" i="1" l="1"/>
  <c r="CU156" i="1"/>
  <c r="CH156" i="1"/>
  <c r="K808" i="2"/>
  <c r="L807" i="2"/>
  <c r="K397" i="2"/>
  <c r="L396" i="2"/>
  <c r="J1177" i="2"/>
  <c r="L1177" i="2" s="1"/>
  <c r="L985" i="2"/>
  <c r="AF200" i="1"/>
  <c r="K1262" i="2"/>
  <c r="L1261" i="2"/>
  <c r="L986" i="2"/>
  <c r="J1178" i="2"/>
  <c r="L1178" i="2" s="1"/>
  <c r="L987" i="2"/>
  <c r="J1164" i="2"/>
  <c r="L1164" i="2" s="1"/>
  <c r="L972" i="2"/>
  <c r="K636" i="2"/>
  <c r="L635" i="2"/>
  <c r="AC27" i="3"/>
  <c r="A28" i="3"/>
  <c r="C27" i="3"/>
  <c r="K205" i="2"/>
  <c r="L204" i="2"/>
  <c r="K989" i="2"/>
  <c r="L988" i="2"/>
  <c r="K20" i="2"/>
  <c r="L19" i="2"/>
  <c r="CH256" i="1"/>
  <c r="CI256" i="1" s="1"/>
  <c r="CR256" i="1" s="1"/>
  <c r="CQ256" i="1"/>
  <c r="K637" i="2" l="1"/>
  <c r="L636" i="2"/>
  <c r="L20" i="2"/>
  <c r="K21" i="2"/>
  <c r="K1263" i="2"/>
  <c r="L1262" i="2"/>
  <c r="K990" i="2"/>
  <c r="L989" i="2"/>
  <c r="AF201" i="1"/>
  <c r="K206" i="2"/>
  <c r="L205" i="2"/>
  <c r="A29" i="3"/>
  <c r="AC28" i="3"/>
  <c r="C28" i="3"/>
  <c r="K398" i="2"/>
  <c r="L397" i="2"/>
  <c r="K809" i="2"/>
  <c r="L808" i="2"/>
  <c r="K399" i="2" l="1"/>
  <c r="L398" i="2"/>
  <c r="K207" i="2"/>
  <c r="L206" i="2"/>
  <c r="AF202" i="1"/>
  <c r="K991" i="2"/>
  <c r="L990" i="2"/>
  <c r="K1264" i="2"/>
  <c r="L1263" i="2"/>
  <c r="K22" i="2"/>
  <c r="L21" i="2"/>
  <c r="AC29" i="3"/>
  <c r="A30" i="3"/>
  <c r="C29" i="3"/>
  <c r="K810" i="2"/>
  <c r="L809" i="2"/>
  <c r="K638" i="2"/>
  <c r="L637" i="2"/>
  <c r="L22" i="2" l="1"/>
  <c r="K23" i="2"/>
  <c r="K1265" i="2"/>
  <c r="L1264" i="2"/>
  <c r="L207" i="2"/>
  <c r="K208" i="2"/>
  <c r="K811" i="2"/>
  <c r="L810" i="2"/>
  <c r="C30" i="3"/>
  <c r="A31" i="3"/>
  <c r="AC30" i="3"/>
  <c r="K992" i="2"/>
  <c r="L991" i="2"/>
  <c r="AF203" i="1"/>
  <c r="K639" i="2"/>
  <c r="L638" i="2"/>
  <c r="K400" i="2"/>
  <c r="L399" i="2"/>
  <c r="K640" i="2" l="1"/>
  <c r="L639" i="2"/>
  <c r="K993" i="2"/>
  <c r="L992" i="2"/>
  <c r="K1266" i="2"/>
  <c r="L1265" i="2"/>
  <c r="AC31" i="3"/>
  <c r="A32" i="3"/>
  <c r="C31" i="3"/>
  <c r="K812" i="2"/>
  <c r="L811" i="2"/>
  <c r="K401" i="2"/>
  <c r="L400" i="2"/>
  <c r="K24" i="2"/>
  <c r="L23" i="2"/>
  <c r="AF204" i="1"/>
  <c r="L208" i="2"/>
  <c r="K209" i="2"/>
  <c r="K25" i="2" l="1"/>
  <c r="L24" i="2"/>
  <c r="K813" i="2"/>
  <c r="L812" i="2"/>
  <c r="AF205" i="1"/>
  <c r="K1267" i="2"/>
  <c r="L1266" i="2"/>
  <c r="L209" i="2"/>
  <c r="K210" i="2"/>
  <c r="K994" i="2"/>
  <c r="L993" i="2"/>
  <c r="K402" i="2"/>
  <c r="L401" i="2"/>
  <c r="C32" i="3"/>
  <c r="AC32" i="3"/>
  <c r="A33" i="3"/>
  <c r="K641" i="2"/>
  <c r="L640" i="2"/>
  <c r="AF206" i="1" l="1"/>
  <c r="K814" i="2"/>
  <c r="L813" i="2"/>
  <c r="K642" i="2"/>
  <c r="L641" i="2"/>
  <c r="K403" i="2"/>
  <c r="L402" i="2"/>
  <c r="K995" i="2"/>
  <c r="L994" i="2"/>
  <c r="L210" i="2"/>
  <c r="K211" i="2"/>
  <c r="K1268" i="2"/>
  <c r="L1267" i="2"/>
  <c r="AC33" i="3"/>
  <c r="C33" i="3"/>
  <c r="A34" i="3"/>
  <c r="L25" i="2"/>
  <c r="K26" i="2"/>
  <c r="K1269" i="2" l="1"/>
  <c r="L1268" i="2"/>
  <c r="K643" i="2"/>
  <c r="L642" i="2"/>
  <c r="K212" i="2"/>
  <c r="L211" i="2"/>
  <c r="K404" i="2"/>
  <c r="L403" i="2"/>
  <c r="K27" i="2"/>
  <c r="L26" i="2"/>
  <c r="K815" i="2"/>
  <c r="L814" i="2"/>
  <c r="K996" i="2"/>
  <c r="L995" i="2"/>
  <c r="AF207" i="1"/>
  <c r="AC34" i="3"/>
  <c r="A35" i="3"/>
  <c r="C34" i="3"/>
  <c r="K816" i="2" l="1"/>
  <c r="L815" i="2"/>
  <c r="L27" i="2"/>
  <c r="K28" i="2"/>
  <c r="K405" i="2"/>
  <c r="L404" i="2"/>
  <c r="K213" i="2"/>
  <c r="L212" i="2"/>
  <c r="K644" i="2"/>
  <c r="L643" i="2"/>
  <c r="K997" i="2"/>
  <c r="L996" i="2"/>
  <c r="AC35" i="3"/>
  <c r="C35" i="3"/>
  <c r="A36" i="3"/>
  <c r="AF208" i="1"/>
  <c r="K1270" i="2"/>
  <c r="L1269" i="2"/>
  <c r="AC36" i="3" l="1"/>
  <c r="A37" i="3"/>
  <c r="C36" i="3"/>
  <c r="K645" i="2"/>
  <c r="L644" i="2"/>
  <c r="K406" i="2"/>
  <c r="L405" i="2"/>
  <c r="K29" i="2"/>
  <c r="L28" i="2"/>
  <c r="K1271" i="2"/>
  <c r="L1270" i="2"/>
  <c r="K998" i="2"/>
  <c r="L997" i="2"/>
  <c r="K214" i="2"/>
  <c r="L213" i="2"/>
  <c r="AF209" i="1"/>
  <c r="K817" i="2"/>
  <c r="L816" i="2"/>
  <c r="K1272" i="2" l="1"/>
  <c r="L1271" i="2"/>
  <c r="L214" i="2"/>
  <c r="K215" i="2"/>
  <c r="K999" i="2"/>
  <c r="L998" i="2"/>
  <c r="L29" i="2"/>
  <c r="K30" i="2"/>
  <c r="K407" i="2"/>
  <c r="L406" i="2"/>
  <c r="K646" i="2"/>
  <c r="L645" i="2"/>
  <c r="K818" i="2"/>
  <c r="L817" i="2"/>
  <c r="AC37" i="3"/>
  <c r="C37" i="3"/>
  <c r="A38" i="3"/>
  <c r="AF210" i="1"/>
  <c r="K408" i="2" l="1"/>
  <c r="L407" i="2"/>
  <c r="K31" i="2"/>
  <c r="L30" i="2"/>
  <c r="K1000" i="2"/>
  <c r="L999" i="2"/>
  <c r="AF211" i="1"/>
  <c r="K819" i="2"/>
  <c r="L818" i="2"/>
  <c r="K647" i="2"/>
  <c r="L646" i="2"/>
  <c r="L215" i="2"/>
  <c r="K216" i="2"/>
  <c r="AC38" i="3"/>
  <c r="A39" i="3"/>
  <c r="C38" i="3"/>
  <c r="K1273" i="2"/>
  <c r="L1272" i="2"/>
  <c r="A40" i="3" l="1"/>
  <c r="C39" i="3"/>
  <c r="AC39" i="3"/>
  <c r="K820" i="2"/>
  <c r="L819" i="2"/>
  <c r="L31" i="2"/>
  <c r="K32" i="2"/>
  <c r="K648" i="2"/>
  <c r="L647" i="2"/>
  <c r="AF212" i="1"/>
  <c r="K1001" i="2"/>
  <c r="L1000" i="2"/>
  <c r="K1274" i="2"/>
  <c r="L1273" i="2"/>
  <c r="K217" i="2"/>
  <c r="L216" i="2"/>
  <c r="K409" i="2"/>
  <c r="L408" i="2"/>
  <c r="AF213" i="1" l="1"/>
  <c r="K1275" i="2"/>
  <c r="L1274" i="2"/>
  <c r="K821" i="2"/>
  <c r="L820" i="2"/>
  <c r="K1002" i="2"/>
  <c r="L1001" i="2"/>
  <c r="K649" i="2"/>
  <c r="L648" i="2"/>
  <c r="K218" i="2"/>
  <c r="L217" i="2"/>
  <c r="L32" i="2"/>
  <c r="K33" i="2"/>
  <c r="K410" i="2"/>
  <c r="L409" i="2"/>
  <c r="A41" i="3"/>
  <c r="C40" i="3"/>
  <c r="AC40" i="3"/>
  <c r="K822" i="2" l="1"/>
  <c r="L821" i="2"/>
  <c r="K411" i="2"/>
  <c r="L410" i="2"/>
  <c r="K1276" i="2"/>
  <c r="L1275" i="2"/>
  <c r="K34" i="2"/>
  <c r="L33" i="2"/>
  <c r="K650" i="2"/>
  <c r="L649" i="2"/>
  <c r="K219" i="2"/>
  <c r="L218" i="2"/>
  <c r="K1003" i="2"/>
  <c r="L1002" i="2"/>
  <c r="C41" i="3"/>
  <c r="A42" i="3"/>
  <c r="AC41" i="3"/>
  <c r="AF214" i="1"/>
  <c r="K1004" i="2" l="1"/>
  <c r="L1003" i="2"/>
  <c r="C42" i="3"/>
  <c r="AC42" i="3"/>
  <c r="A43" i="3"/>
  <c r="L34" i="2"/>
  <c r="K35" i="2"/>
  <c r="K651" i="2"/>
  <c r="L650" i="2"/>
  <c r="AF215" i="1"/>
  <c r="K412" i="2"/>
  <c r="L411" i="2"/>
  <c r="K220" i="2"/>
  <c r="L219" i="2"/>
  <c r="K1277" i="2"/>
  <c r="L1276" i="2"/>
  <c r="K823" i="2"/>
  <c r="L822" i="2"/>
  <c r="AF216" i="1" l="1"/>
  <c r="K36" i="2"/>
  <c r="L35" i="2"/>
  <c r="K1278" i="2"/>
  <c r="L1277" i="2"/>
  <c r="AC43" i="3"/>
  <c r="A44" i="3"/>
  <c r="C43" i="3"/>
  <c r="L220" i="2"/>
  <c r="K221" i="2"/>
  <c r="K413" i="2"/>
  <c r="L412" i="2"/>
  <c r="K652" i="2"/>
  <c r="L651" i="2"/>
  <c r="K824" i="2"/>
  <c r="L823" i="2"/>
  <c r="K1005" i="2"/>
  <c r="L1004" i="2"/>
  <c r="K825" i="2" l="1"/>
  <c r="L824" i="2"/>
  <c r="K37" i="2"/>
  <c r="L36" i="2"/>
  <c r="K653" i="2"/>
  <c r="L652" i="2"/>
  <c r="C44" i="3"/>
  <c r="AC44" i="3"/>
  <c r="A45" i="3"/>
  <c r="K414" i="2"/>
  <c r="L413" i="2"/>
  <c r="K222" i="2"/>
  <c r="L221" i="2"/>
  <c r="K1279" i="2"/>
  <c r="L1278" i="2"/>
  <c r="K1006" i="2"/>
  <c r="L1005" i="2"/>
  <c r="AF217" i="1"/>
  <c r="K1007" i="2" l="1"/>
  <c r="L1006" i="2"/>
  <c r="K223" i="2"/>
  <c r="L222" i="2"/>
  <c r="K1280" i="2"/>
  <c r="L1279" i="2"/>
  <c r="K415" i="2"/>
  <c r="L414" i="2"/>
  <c r="L37" i="2"/>
  <c r="K38" i="2"/>
  <c r="AC45" i="3"/>
  <c r="A46" i="3"/>
  <c r="C45" i="3"/>
  <c r="K654" i="2"/>
  <c r="L653" i="2"/>
  <c r="AF218" i="1"/>
  <c r="K826" i="2"/>
  <c r="L825" i="2"/>
  <c r="AF219" i="1" l="1"/>
  <c r="K416" i="2"/>
  <c r="L415" i="2"/>
  <c r="K655" i="2"/>
  <c r="L654" i="2"/>
  <c r="K1281" i="2"/>
  <c r="L1280" i="2"/>
  <c r="AC46" i="3"/>
  <c r="A47" i="3"/>
  <c r="C46" i="3"/>
  <c r="K39" i="2"/>
  <c r="L38" i="2"/>
  <c r="K224" i="2"/>
  <c r="L223" i="2"/>
  <c r="K827" i="2"/>
  <c r="L826" i="2"/>
  <c r="K1008" i="2"/>
  <c r="L1007" i="2"/>
  <c r="L39" i="2" l="1"/>
  <c r="K40" i="2"/>
  <c r="K417" i="2"/>
  <c r="L416" i="2"/>
  <c r="K828" i="2"/>
  <c r="L827" i="2"/>
  <c r="K1282" i="2"/>
  <c r="L1281" i="2"/>
  <c r="K656" i="2"/>
  <c r="L655" i="2"/>
  <c r="K1009" i="2"/>
  <c r="L1008" i="2"/>
  <c r="AF220" i="1"/>
  <c r="K225" i="2"/>
  <c r="L224" i="2"/>
  <c r="AC47" i="3"/>
  <c r="C47" i="3"/>
  <c r="A48" i="3"/>
  <c r="K829" i="2" l="1"/>
  <c r="L828" i="2"/>
  <c r="K418" i="2"/>
  <c r="L417" i="2"/>
  <c r="K41" i="2"/>
  <c r="L40" i="2"/>
  <c r="K226" i="2"/>
  <c r="L225" i="2"/>
  <c r="AF221" i="1"/>
  <c r="K1010" i="2"/>
  <c r="L1009" i="2"/>
  <c r="K657" i="2"/>
  <c r="L656" i="2"/>
  <c r="K1283" i="2"/>
  <c r="L1282" i="2"/>
  <c r="AC48" i="3"/>
  <c r="A49" i="3"/>
  <c r="C48" i="3"/>
  <c r="K42" i="2" l="1"/>
  <c r="L41" i="2"/>
  <c r="K1011" i="2"/>
  <c r="L1010" i="2"/>
  <c r="AF222" i="1"/>
  <c r="K419" i="2"/>
  <c r="L418" i="2"/>
  <c r="K658" i="2"/>
  <c r="L657" i="2"/>
  <c r="K1284" i="2"/>
  <c r="L1283" i="2"/>
  <c r="L226" i="2"/>
  <c r="K227" i="2"/>
  <c r="AC49" i="3"/>
  <c r="A50" i="3"/>
  <c r="C49" i="3"/>
  <c r="K830" i="2"/>
  <c r="L829" i="2"/>
  <c r="K228" i="2" l="1"/>
  <c r="L227" i="2"/>
  <c r="AF223" i="1"/>
  <c r="K1012" i="2"/>
  <c r="L1011" i="2"/>
  <c r="K659" i="2"/>
  <c r="L658" i="2"/>
  <c r="L419" i="2"/>
  <c r="K420" i="2"/>
  <c r="K831" i="2"/>
  <c r="L830" i="2"/>
  <c r="A51" i="3"/>
  <c r="AC50" i="3"/>
  <c r="C50" i="3"/>
  <c r="K1285" i="2"/>
  <c r="L1284" i="2"/>
  <c r="K43" i="2"/>
  <c r="L42" i="2"/>
  <c r="AC51" i="3" l="1"/>
  <c r="C51" i="3"/>
  <c r="A52" i="3"/>
  <c r="K1286" i="2"/>
  <c r="L1285" i="2"/>
  <c r="K660" i="2"/>
  <c r="L659" i="2"/>
  <c r="K832" i="2"/>
  <c r="L831" i="2"/>
  <c r="AF224" i="1"/>
  <c r="K44" i="2"/>
  <c r="L43" i="2"/>
  <c r="K421" i="2"/>
  <c r="L420" i="2"/>
  <c r="K1013" i="2"/>
  <c r="L1012" i="2"/>
  <c r="K229" i="2"/>
  <c r="L228" i="2"/>
  <c r="K833" i="2" l="1"/>
  <c r="L832" i="2"/>
  <c r="A53" i="3"/>
  <c r="AC52" i="3"/>
  <c r="C52" i="3"/>
  <c r="K1014" i="2"/>
  <c r="L1013" i="2"/>
  <c r="K422" i="2"/>
  <c r="L421" i="2"/>
  <c r="K45" i="2"/>
  <c r="L44" i="2"/>
  <c r="AF225" i="1"/>
  <c r="K661" i="2"/>
  <c r="L660" i="2"/>
  <c r="K1287" i="2"/>
  <c r="L1286" i="2"/>
  <c r="L229" i="2"/>
  <c r="K230" i="2"/>
  <c r="K662" i="2" l="1"/>
  <c r="L661" i="2"/>
  <c r="K423" i="2"/>
  <c r="L422" i="2"/>
  <c r="K1015" i="2"/>
  <c r="L1014" i="2"/>
  <c r="K1288" i="2"/>
  <c r="L1287" i="2"/>
  <c r="AF226" i="1"/>
  <c r="AC53" i="3"/>
  <c r="C53" i="3"/>
  <c r="A54" i="3"/>
  <c r="K46" i="2"/>
  <c r="L45" i="2"/>
  <c r="K231" i="2"/>
  <c r="L230" i="2"/>
  <c r="K834" i="2"/>
  <c r="L833" i="2"/>
  <c r="K47" i="2" l="1"/>
  <c r="L46" i="2"/>
  <c r="AF227" i="1"/>
  <c r="K1289" i="2"/>
  <c r="L1288" i="2"/>
  <c r="K424" i="2"/>
  <c r="L423" i="2"/>
  <c r="AC54" i="3"/>
  <c r="A55" i="3"/>
  <c r="C54" i="3"/>
  <c r="K232" i="2"/>
  <c r="L231" i="2"/>
  <c r="K1016" i="2"/>
  <c r="L1015" i="2"/>
  <c r="K835" i="2"/>
  <c r="L834" i="2"/>
  <c r="K663" i="2"/>
  <c r="L662" i="2"/>
  <c r="K836" i="2" l="1"/>
  <c r="L835" i="2"/>
  <c r="K1290" i="2"/>
  <c r="L1289" i="2"/>
  <c r="K1017" i="2"/>
  <c r="L1016" i="2"/>
  <c r="K233" i="2"/>
  <c r="L232" i="2"/>
  <c r="AC55" i="3"/>
  <c r="A56" i="3"/>
  <c r="C55" i="3"/>
  <c r="K425" i="2"/>
  <c r="L424" i="2"/>
  <c r="AF228" i="1"/>
  <c r="K664" i="2"/>
  <c r="L663" i="2"/>
  <c r="L47" i="2"/>
  <c r="K48" i="2"/>
  <c r="AF229" i="1" l="1"/>
  <c r="K426" i="2"/>
  <c r="L425" i="2"/>
  <c r="K665" i="2"/>
  <c r="L664" i="2"/>
  <c r="C56" i="3"/>
  <c r="AC56" i="3"/>
  <c r="A57" i="3"/>
  <c r="K234" i="2"/>
  <c r="L233" i="2"/>
  <c r="K1018" i="2"/>
  <c r="L1017" i="2"/>
  <c r="K49" i="2"/>
  <c r="L48" i="2"/>
  <c r="K1291" i="2"/>
  <c r="L1290" i="2"/>
  <c r="K837" i="2"/>
  <c r="L836" i="2"/>
  <c r="A58" i="3" l="1"/>
  <c r="AC57" i="3"/>
  <c r="C57" i="3"/>
  <c r="K1292" i="2"/>
  <c r="L1291" i="2"/>
  <c r="K50" i="2"/>
  <c r="L49" i="2"/>
  <c r="K1019" i="2"/>
  <c r="L1018" i="2"/>
  <c r="K427" i="2"/>
  <c r="L426" i="2"/>
  <c r="K235" i="2"/>
  <c r="L234" i="2"/>
  <c r="K838" i="2"/>
  <c r="L837" i="2"/>
  <c r="AF230" i="1"/>
  <c r="K666" i="2"/>
  <c r="L665" i="2"/>
  <c r="L50" i="2" l="1"/>
  <c r="K51" i="2"/>
  <c r="K839" i="2"/>
  <c r="L838" i="2"/>
  <c r="K428" i="2"/>
  <c r="L427" i="2"/>
  <c r="K1293" i="2"/>
  <c r="L1292" i="2"/>
  <c r="K236" i="2"/>
  <c r="L235" i="2"/>
  <c r="K1020" i="2"/>
  <c r="L1019" i="2"/>
  <c r="K667" i="2"/>
  <c r="L666" i="2"/>
  <c r="AF231" i="1"/>
  <c r="A59" i="3"/>
  <c r="AC58" i="3"/>
  <c r="C58" i="3"/>
  <c r="K429" i="2" l="1"/>
  <c r="L428" i="2"/>
  <c r="K668" i="2"/>
  <c r="L667" i="2"/>
  <c r="K1021" i="2"/>
  <c r="L1020" i="2"/>
  <c r="K237" i="2"/>
  <c r="L236" i="2"/>
  <c r="K840" i="2"/>
  <c r="L839" i="2"/>
  <c r="K52" i="2"/>
  <c r="L51" i="2"/>
  <c r="AF232" i="1"/>
  <c r="K1294" i="2"/>
  <c r="L1293" i="2"/>
  <c r="A60" i="3"/>
  <c r="C59" i="3"/>
  <c r="AC59" i="3"/>
  <c r="AF233" i="1" l="1"/>
  <c r="K53" i="2"/>
  <c r="L52" i="2"/>
  <c r="K841" i="2"/>
  <c r="L840" i="2"/>
  <c r="K669" i="2"/>
  <c r="L668" i="2"/>
  <c r="K238" i="2"/>
  <c r="L237" i="2"/>
  <c r="K1295" i="2"/>
  <c r="L1294" i="2"/>
  <c r="K1022" i="2"/>
  <c r="L1021" i="2"/>
  <c r="AC60" i="3"/>
  <c r="C60" i="3"/>
  <c r="A61" i="3"/>
  <c r="K430" i="2"/>
  <c r="L429" i="2"/>
  <c r="K842" i="2" l="1"/>
  <c r="L841" i="2"/>
  <c r="L53" i="2"/>
  <c r="K54" i="2"/>
  <c r="K1023" i="2"/>
  <c r="L1022" i="2"/>
  <c r="K1296" i="2"/>
  <c r="L1295" i="2"/>
  <c r="K239" i="2"/>
  <c r="L238" i="2"/>
  <c r="K670" i="2"/>
  <c r="L669" i="2"/>
  <c r="K431" i="2"/>
  <c r="L430" i="2"/>
  <c r="AF234" i="1"/>
  <c r="AC61" i="3"/>
  <c r="C61" i="3"/>
  <c r="A62" i="3"/>
  <c r="K671" i="2" l="1"/>
  <c r="L670" i="2"/>
  <c r="AF235" i="1"/>
  <c r="K240" i="2"/>
  <c r="L239" i="2"/>
  <c r="K432" i="2"/>
  <c r="L431" i="2"/>
  <c r="K1297" i="2"/>
  <c r="L1296" i="2"/>
  <c r="K1024" i="2"/>
  <c r="L1023" i="2"/>
  <c r="K55" i="2"/>
  <c r="L54" i="2"/>
  <c r="A63" i="3"/>
  <c r="AC62" i="3"/>
  <c r="C62" i="3"/>
  <c r="K843" i="2"/>
  <c r="L842" i="2"/>
  <c r="AC63" i="3" l="1"/>
  <c r="C63" i="3"/>
  <c r="A64" i="3"/>
  <c r="L55" i="2"/>
  <c r="K56" i="2"/>
  <c r="K1298" i="2"/>
  <c r="L1297" i="2"/>
  <c r="K241" i="2"/>
  <c r="L240" i="2"/>
  <c r="K1025" i="2"/>
  <c r="L1024" i="2"/>
  <c r="K433" i="2"/>
  <c r="L432" i="2"/>
  <c r="AF236" i="1"/>
  <c r="K844" i="2"/>
  <c r="L843" i="2"/>
  <c r="K672" i="2"/>
  <c r="L671" i="2"/>
  <c r="K845" i="2" l="1"/>
  <c r="L844" i="2"/>
  <c r="K242" i="2"/>
  <c r="L241" i="2"/>
  <c r="AC64" i="3"/>
  <c r="A65" i="3"/>
  <c r="C64" i="3"/>
  <c r="AF237" i="1"/>
  <c r="K434" i="2"/>
  <c r="L433" i="2"/>
  <c r="K1026" i="2"/>
  <c r="L1025" i="2"/>
  <c r="K673" i="2"/>
  <c r="L672" i="2"/>
  <c r="K1299" i="2"/>
  <c r="L1298" i="2"/>
  <c r="L56" i="2"/>
  <c r="K57" i="2"/>
  <c r="K674" i="2" l="1"/>
  <c r="L673" i="2"/>
  <c r="A66" i="3"/>
  <c r="AC65" i="3"/>
  <c r="C65" i="3"/>
  <c r="K58" i="2"/>
  <c r="L57" i="2"/>
  <c r="K243" i="2"/>
  <c r="L242" i="2"/>
  <c r="K1027" i="2"/>
  <c r="L1026" i="2"/>
  <c r="K435" i="2"/>
  <c r="L434" i="2"/>
  <c r="AF238" i="1"/>
  <c r="K1300" i="2"/>
  <c r="L1299" i="2"/>
  <c r="K846" i="2"/>
  <c r="L845" i="2"/>
  <c r="K436" i="2" l="1"/>
  <c r="L435" i="2"/>
  <c r="K1301" i="2"/>
  <c r="L1300" i="2"/>
  <c r="AF239" i="1"/>
  <c r="K1028" i="2"/>
  <c r="L1027" i="2"/>
  <c r="L243" i="2"/>
  <c r="K244" i="2"/>
  <c r="L58" i="2"/>
  <c r="K59" i="2"/>
  <c r="AC66" i="3"/>
  <c r="A67" i="3"/>
  <c r="C66" i="3"/>
  <c r="K847" i="2"/>
  <c r="L846" i="2"/>
  <c r="K675" i="2"/>
  <c r="L674" i="2"/>
  <c r="K848" i="2" l="1"/>
  <c r="L847" i="2"/>
  <c r="AF240" i="1"/>
  <c r="AC67" i="3"/>
  <c r="A68" i="3"/>
  <c r="C67" i="3"/>
  <c r="K60" i="2"/>
  <c r="L59" i="2"/>
  <c r="K245" i="2"/>
  <c r="L244" i="2"/>
  <c r="K1029" i="2"/>
  <c r="L1028" i="2"/>
  <c r="K1302" i="2"/>
  <c r="L1301" i="2"/>
  <c r="L675" i="2"/>
  <c r="K676" i="2"/>
  <c r="K437" i="2"/>
  <c r="L436" i="2"/>
  <c r="K1030" i="2" l="1"/>
  <c r="L1029" i="2"/>
  <c r="K246" i="2"/>
  <c r="L245" i="2"/>
  <c r="K1303" i="2"/>
  <c r="L1302" i="2"/>
  <c r="K61" i="2"/>
  <c r="L60" i="2"/>
  <c r="A69" i="3"/>
  <c r="C68" i="3"/>
  <c r="AC68" i="3"/>
  <c r="AF241" i="1"/>
  <c r="K438" i="2"/>
  <c r="L437" i="2"/>
  <c r="K677" i="2"/>
  <c r="L676" i="2"/>
  <c r="K849" i="2"/>
  <c r="L848" i="2"/>
  <c r="K439" i="2" l="1"/>
  <c r="L438" i="2"/>
  <c r="L61" i="2"/>
  <c r="K62" i="2"/>
  <c r="L246" i="2"/>
  <c r="K247" i="2"/>
  <c r="K678" i="2"/>
  <c r="L677" i="2"/>
  <c r="K1304" i="2"/>
  <c r="L1303" i="2"/>
  <c r="K850" i="2"/>
  <c r="L849" i="2"/>
  <c r="AF242" i="1"/>
  <c r="AC69" i="3"/>
  <c r="C69" i="3"/>
  <c r="A70" i="3"/>
  <c r="K1031" i="2"/>
  <c r="L1030" i="2"/>
  <c r="K1032" i="2" l="1"/>
  <c r="L1031" i="2"/>
  <c r="K851" i="2"/>
  <c r="L850" i="2"/>
  <c r="K679" i="2"/>
  <c r="L678" i="2"/>
  <c r="K248" i="2"/>
  <c r="L247" i="2"/>
  <c r="K63" i="2"/>
  <c r="L62" i="2"/>
  <c r="AF243" i="1"/>
  <c r="K1305" i="2"/>
  <c r="L1304" i="2"/>
  <c r="AC70" i="3"/>
  <c r="A71" i="3"/>
  <c r="C70" i="3"/>
  <c r="K440" i="2"/>
  <c r="L439" i="2"/>
  <c r="A72" i="3" l="1"/>
  <c r="AC71" i="3"/>
  <c r="C71" i="3"/>
  <c r="K1306" i="2"/>
  <c r="L1305" i="2"/>
  <c r="K852" i="2"/>
  <c r="L851" i="2"/>
  <c r="AF244" i="1"/>
  <c r="L63" i="2"/>
  <c r="K64" i="2"/>
  <c r="K249" i="2"/>
  <c r="L248" i="2"/>
  <c r="K680" i="2"/>
  <c r="L679" i="2"/>
  <c r="K441" i="2"/>
  <c r="L440" i="2"/>
  <c r="K1033" i="2"/>
  <c r="L1032" i="2"/>
  <c r="K681" i="2" l="1"/>
  <c r="L680" i="2"/>
  <c r="K442" i="2"/>
  <c r="L441" i="2"/>
  <c r="L249" i="2"/>
  <c r="K250" i="2"/>
  <c r="K1034" i="2"/>
  <c r="L1033" i="2"/>
  <c r="L64" i="2"/>
  <c r="K65" i="2"/>
  <c r="AF245" i="1"/>
  <c r="K853" i="2"/>
  <c r="L852" i="2"/>
  <c r="K1307" i="2"/>
  <c r="L1306" i="2"/>
  <c r="AC72" i="3"/>
  <c r="C72" i="3"/>
  <c r="A73" i="3"/>
  <c r="K854" i="2" l="1"/>
  <c r="L853" i="2"/>
  <c r="K1035" i="2"/>
  <c r="L1034" i="2"/>
  <c r="C73" i="3"/>
  <c r="AC73" i="3"/>
  <c r="A74" i="3"/>
  <c r="K1308" i="2"/>
  <c r="L1307" i="2"/>
  <c r="AF246" i="1"/>
  <c r="K66" i="2"/>
  <c r="L65" i="2"/>
  <c r="K251" i="2"/>
  <c r="L250" i="2"/>
  <c r="K443" i="2"/>
  <c r="L442" i="2"/>
  <c r="K682" i="2"/>
  <c r="L681" i="2"/>
  <c r="L443" i="2" l="1"/>
  <c r="K444" i="2"/>
  <c r="L66" i="2"/>
  <c r="K67" i="2"/>
  <c r="C74" i="3"/>
  <c r="AC74" i="3"/>
  <c r="A75" i="3"/>
  <c r="K252" i="2"/>
  <c r="L251" i="2"/>
  <c r="AF247" i="1"/>
  <c r="K1309" i="2"/>
  <c r="L1308" i="2"/>
  <c r="K1036" i="2"/>
  <c r="L1035" i="2"/>
  <c r="K683" i="2"/>
  <c r="L682" i="2"/>
  <c r="K855" i="2"/>
  <c r="L854" i="2"/>
  <c r="K1037" i="2" l="1"/>
  <c r="L1036" i="2"/>
  <c r="C75" i="3"/>
  <c r="AC75" i="3"/>
  <c r="A76" i="3"/>
  <c r="K1310" i="2"/>
  <c r="L1309" i="2"/>
  <c r="AF248" i="1"/>
  <c r="K253" i="2"/>
  <c r="L252" i="2"/>
  <c r="K445" i="2"/>
  <c r="L444" i="2"/>
  <c r="K684" i="2"/>
  <c r="L683" i="2"/>
  <c r="K68" i="2"/>
  <c r="L67" i="2"/>
  <c r="K856" i="2"/>
  <c r="L855" i="2"/>
  <c r="K446" i="2" l="1"/>
  <c r="L445" i="2"/>
  <c r="AF249" i="1"/>
  <c r="K1311" i="2"/>
  <c r="L1310" i="2"/>
  <c r="K685" i="2"/>
  <c r="L684" i="2"/>
  <c r="AC76" i="3"/>
  <c r="C76" i="3"/>
  <c r="A77" i="3"/>
  <c r="K69" i="2"/>
  <c r="L68" i="2"/>
  <c r="K254" i="2"/>
  <c r="L253" i="2"/>
  <c r="K857" i="2"/>
  <c r="L856" i="2"/>
  <c r="K1038" i="2"/>
  <c r="L1037" i="2"/>
  <c r="L254" i="2" l="1"/>
  <c r="K255" i="2"/>
  <c r="C77" i="3"/>
  <c r="AC77" i="3"/>
  <c r="A78" i="3"/>
  <c r="K686" i="2"/>
  <c r="L685" i="2"/>
  <c r="K858" i="2"/>
  <c r="L857" i="2"/>
  <c r="L69" i="2"/>
  <c r="K70" i="2"/>
  <c r="K1312" i="2"/>
  <c r="L1311" i="2"/>
  <c r="AF250" i="1"/>
  <c r="K1039" i="2"/>
  <c r="L1038" i="2"/>
  <c r="K447" i="2"/>
  <c r="L446" i="2"/>
  <c r="AF251" i="1" l="1"/>
  <c r="K71" i="2"/>
  <c r="L70" i="2"/>
  <c r="K859" i="2"/>
  <c r="L858" i="2"/>
  <c r="K687" i="2"/>
  <c r="L686" i="2"/>
  <c r="K1040" i="2"/>
  <c r="L1039" i="2"/>
  <c r="K448" i="2"/>
  <c r="L447" i="2"/>
  <c r="K256" i="2"/>
  <c r="L255" i="2"/>
  <c r="K1313" i="2"/>
  <c r="L1312" i="2"/>
  <c r="AC78" i="3"/>
  <c r="A79" i="3"/>
  <c r="C78" i="3"/>
  <c r="K257" i="2" l="1"/>
  <c r="L256" i="2"/>
  <c r="K1041" i="2"/>
  <c r="L1040" i="2"/>
  <c r="K688" i="2"/>
  <c r="L687" i="2"/>
  <c r="L71" i="2"/>
  <c r="K72" i="2"/>
  <c r="K1314" i="2"/>
  <c r="L1313" i="2"/>
  <c r="K860" i="2"/>
  <c r="L859" i="2"/>
  <c r="AF252" i="1"/>
  <c r="K449" i="2"/>
  <c r="L448" i="2"/>
  <c r="AC79" i="3"/>
  <c r="C79" i="3"/>
  <c r="A80" i="3"/>
  <c r="K1315" i="2" l="1"/>
  <c r="L1314" i="2"/>
  <c r="AF253" i="1"/>
  <c r="K861" i="2"/>
  <c r="L860" i="2"/>
  <c r="K689" i="2"/>
  <c r="L688" i="2"/>
  <c r="K1042" i="2"/>
  <c r="L1041" i="2"/>
  <c r="K450" i="2"/>
  <c r="L449" i="2"/>
  <c r="L72" i="2"/>
  <c r="K73" i="2"/>
  <c r="AC80" i="3"/>
  <c r="A81" i="3"/>
  <c r="C80" i="3"/>
  <c r="K258" i="2"/>
  <c r="L257" i="2"/>
  <c r="C81" i="3" l="1"/>
  <c r="AC81" i="3"/>
  <c r="A82" i="3"/>
  <c r="L73" i="2"/>
  <c r="K74" i="2"/>
  <c r="L450" i="2"/>
  <c r="K451" i="2"/>
  <c r="K862" i="2"/>
  <c r="L861" i="2"/>
  <c r="AF254" i="1"/>
  <c r="K259" i="2"/>
  <c r="L258" i="2"/>
  <c r="K1043" i="2"/>
  <c r="L1042" i="2"/>
  <c r="K690" i="2"/>
  <c r="L689" i="2"/>
  <c r="K1316" i="2"/>
  <c r="L1315" i="2"/>
  <c r="K1044" i="2" l="1"/>
  <c r="L1043" i="2"/>
  <c r="L259" i="2"/>
  <c r="K260" i="2"/>
  <c r="K452" i="2"/>
  <c r="L451" i="2"/>
  <c r="AC82" i="3"/>
  <c r="A83" i="3"/>
  <c r="C82" i="3"/>
  <c r="K691" i="2"/>
  <c r="L690" i="2"/>
  <c r="K863" i="2"/>
  <c r="L862" i="2"/>
  <c r="L74" i="2"/>
  <c r="K75" i="2"/>
  <c r="K1317" i="2"/>
  <c r="L1316" i="2"/>
  <c r="AF255" i="1"/>
  <c r="K864" i="2" l="1"/>
  <c r="L863" i="2"/>
  <c r="K1318" i="2"/>
  <c r="L1317" i="2"/>
  <c r="C83" i="3"/>
  <c r="AC83" i="3"/>
  <c r="A84" i="3"/>
  <c r="L75" i="2"/>
  <c r="K76" i="2"/>
  <c r="K692" i="2"/>
  <c r="L691" i="2"/>
  <c r="AF256" i="1"/>
  <c r="AG255" i="1"/>
  <c r="K453" i="2"/>
  <c r="L452" i="2"/>
  <c r="K261" i="2"/>
  <c r="L260" i="2"/>
  <c r="K1045" i="2"/>
  <c r="L1044" i="2"/>
  <c r="CC255" i="1" l="1"/>
  <c r="CD255" i="1"/>
  <c r="AJ255" i="1"/>
  <c r="CB255" i="1"/>
  <c r="AH255" i="1"/>
  <c r="AG169" i="1"/>
  <c r="AG186" i="1"/>
  <c r="AG164" i="1"/>
  <c r="AG187" i="1"/>
  <c r="AG158" i="1"/>
  <c r="AG188" i="1"/>
  <c r="AG159" i="1"/>
  <c r="AG173" i="1"/>
  <c r="AG189" i="1"/>
  <c r="AG162" i="1"/>
  <c r="AG174" i="1"/>
  <c r="AG190" i="1"/>
  <c r="AG157" i="1"/>
  <c r="AG175" i="1"/>
  <c r="AG191" i="1"/>
  <c r="AG160" i="1"/>
  <c r="AG176" i="1"/>
  <c r="AG192" i="1"/>
  <c r="AG167" i="1"/>
  <c r="AG177" i="1"/>
  <c r="AG193" i="1"/>
  <c r="AG170" i="1"/>
  <c r="AG178" i="1"/>
  <c r="AG194" i="1"/>
  <c r="AG166" i="1"/>
  <c r="AG179" i="1"/>
  <c r="AG161" i="1"/>
  <c r="AG180" i="1"/>
  <c r="AG163" i="1"/>
  <c r="AG181" i="1"/>
  <c r="AG168" i="1"/>
  <c r="AG182" i="1"/>
  <c r="AG165" i="1"/>
  <c r="AG171" i="1"/>
  <c r="AG172" i="1"/>
  <c r="AG183" i="1"/>
  <c r="AG184" i="1"/>
  <c r="AG185"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K693" i="2"/>
  <c r="L692" i="2"/>
  <c r="K77" i="2"/>
  <c r="L76" i="2"/>
  <c r="A85" i="3"/>
  <c r="AC84" i="3"/>
  <c r="C84" i="3"/>
  <c r="K1319" i="2"/>
  <c r="L1318" i="2"/>
  <c r="K1046" i="2"/>
  <c r="L1045" i="2"/>
  <c r="L261" i="2"/>
  <c r="K262" i="2"/>
  <c r="K454" i="2"/>
  <c r="L453" i="2"/>
  <c r="K865" i="2"/>
  <c r="L864" i="2"/>
  <c r="AJ214" i="1" l="1"/>
  <c r="CD214" i="1"/>
  <c r="AH214" i="1"/>
  <c r="CC214" i="1"/>
  <c r="CB214" i="1"/>
  <c r="AH162" i="1"/>
  <c r="CC162" i="1"/>
  <c r="CB162" i="1"/>
  <c r="CD162" i="1"/>
  <c r="AJ162" i="1"/>
  <c r="AJ197" i="1"/>
  <c r="AH197" i="1"/>
  <c r="CC197" i="1"/>
  <c r="CD197" i="1"/>
  <c r="CB197" i="1"/>
  <c r="CD189" i="1"/>
  <c r="CC189" i="1"/>
  <c r="CB189" i="1"/>
  <c r="AJ189" i="1"/>
  <c r="AH189" i="1"/>
  <c r="CD174" i="1"/>
  <c r="AH174" i="1"/>
  <c r="AJ174" i="1"/>
  <c r="CB174" i="1"/>
  <c r="CC174" i="1"/>
  <c r="CB228" i="1"/>
  <c r="CD228" i="1"/>
  <c r="CC228" i="1"/>
  <c r="AH228" i="1"/>
  <c r="AJ228" i="1"/>
  <c r="AH194" i="1"/>
  <c r="AJ194" i="1"/>
  <c r="CB194" i="1"/>
  <c r="CC194" i="1"/>
  <c r="CD194" i="1"/>
  <c r="CC173" i="1"/>
  <c r="CB173" i="1"/>
  <c r="CD173" i="1"/>
  <c r="AJ173" i="1"/>
  <c r="AH173" i="1"/>
  <c r="AH230" i="1"/>
  <c r="CC230" i="1"/>
  <c r="CD230" i="1"/>
  <c r="CB230" i="1"/>
  <c r="AJ230" i="1"/>
  <c r="CB245" i="1"/>
  <c r="CD245" i="1"/>
  <c r="AH245" i="1"/>
  <c r="AJ245" i="1"/>
  <c r="CC245" i="1"/>
  <c r="CB195" i="1"/>
  <c r="AH195" i="1"/>
  <c r="CC195" i="1"/>
  <c r="CD195" i="1"/>
  <c r="AJ195" i="1"/>
  <c r="CC178" i="1"/>
  <c r="AJ178" i="1"/>
  <c r="AH178" i="1"/>
  <c r="CB178" i="1"/>
  <c r="CD178" i="1"/>
  <c r="CC159" i="1"/>
  <c r="CD159" i="1"/>
  <c r="CB159" i="1"/>
  <c r="AJ159" i="1"/>
  <c r="AH159" i="1"/>
  <c r="CD199" i="1"/>
  <c r="AJ199" i="1"/>
  <c r="CB199" i="1"/>
  <c r="CC199" i="1"/>
  <c r="AH199" i="1"/>
  <c r="CB242" i="1"/>
  <c r="CC242" i="1"/>
  <c r="CD242" i="1"/>
  <c r="AJ242" i="1"/>
  <c r="AH242" i="1"/>
  <c r="CC210" i="1"/>
  <c r="AH210" i="1"/>
  <c r="AJ210" i="1"/>
  <c r="CB210" i="1"/>
  <c r="CD210" i="1"/>
  <c r="CB185" i="1"/>
  <c r="AH185" i="1"/>
  <c r="CC185" i="1"/>
  <c r="CD185" i="1"/>
  <c r="AJ185" i="1"/>
  <c r="CC170" i="1"/>
  <c r="AJ170" i="1"/>
  <c r="AH170" i="1"/>
  <c r="CB170" i="1"/>
  <c r="CD170" i="1"/>
  <c r="CC188" i="1"/>
  <c r="AH188" i="1"/>
  <c r="AJ188" i="1"/>
  <c r="CB188" i="1"/>
  <c r="CD188" i="1"/>
  <c r="CB161" i="1"/>
  <c r="CC161" i="1"/>
  <c r="CD161" i="1"/>
  <c r="AJ161" i="1"/>
  <c r="AH161" i="1"/>
  <c r="L77" i="2"/>
  <c r="K78" i="2"/>
  <c r="AJ209" i="1"/>
  <c r="AH209" i="1"/>
  <c r="CD209" i="1"/>
  <c r="CB209" i="1"/>
  <c r="CC209" i="1"/>
  <c r="AH184" i="1"/>
  <c r="CC184" i="1"/>
  <c r="AJ184" i="1"/>
  <c r="CD184" i="1"/>
  <c r="CB184" i="1"/>
  <c r="AJ193" i="1"/>
  <c r="AH193" i="1"/>
  <c r="CC193" i="1"/>
  <c r="CB193" i="1"/>
  <c r="CD193" i="1"/>
  <c r="AJ158" i="1"/>
  <c r="AH158" i="1"/>
  <c r="CC158" i="1"/>
  <c r="CB158" i="1"/>
  <c r="CD158" i="1"/>
  <c r="CB213" i="1"/>
  <c r="CD213" i="1"/>
  <c r="CC213" i="1"/>
  <c r="AJ213" i="1"/>
  <c r="AH213" i="1"/>
  <c r="CD208" i="1"/>
  <c r="AJ208" i="1"/>
  <c r="CC208" i="1"/>
  <c r="AH208" i="1"/>
  <c r="CB208" i="1"/>
  <c r="CD183" i="1"/>
  <c r="AJ183" i="1"/>
  <c r="CC183" i="1"/>
  <c r="CB183" i="1"/>
  <c r="AH183" i="1"/>
  <c r="CD177" i="1"/>
  <c r="CB177" i="1"/>
  <c r="AJ177" i="1"/>
  <c r="AH177" i="1"/>
  <c r="CC177" i="1"/>
  <c r="AJ187" i="1"/>
  <c r="CD187" i="1"/>
  <c r="CC187" i="1"/>
  <c r="CB187" i="1"/>
  <c r="AH187" i="1"/>
  <c r="CD247" i="1"/>
  <c r="AJ247" i="1"/>
  <c r="CC247" i="1"/>
  <c r="CB247" i="1"/>
  <c r="AH247" i="1"/>
  <c r="CC227" i="1"/>
  <c r="AJ227" i="1"/>
  <c r="CD227" i="1"/>
  <c r="AH227" i="1"/>
  <c r="CB227" i="1"/>
  <c r="CB239" i="1"/>
  <c r="AH239" i="1"/>
  <c r="CD239" i="1"/>
  <c r="AJ239" i="1"/>
  <c r="CC239" i="1"/>
  <c r="CD223" i="1"/>
  <c r="AJ223" i="1"/>
  <c r="CB223" i="1"/>
  <c r="CC223" i="1"/>
  <c r="AH223" i="1"/>
  <c r="CC207" i="1"/>
  <c r="CB207" i="1"/>
  <c r="AH207" i="1"/>
  <c r="CD207" i="1"/>
  <c r="AJ207" i="1"/>
  <c r="CC172" i="1"/>
  <c r="AH172" i="1"/>
  <c r="AJ172" i="1"/>
  <c r="CB172" i="1"/>
  <c r="CD172" i="1"/>
  <c r="CC167" i="1"/>
  <c r="AH167" i="1"/>
  <c r="AJ167" i="1"/>
  <c r="CD167" i="1"/>
  <c r="CB167" i="1"/>
  <c r="CC164" i="1"/>
  <c r="CB164" i="1"/>
  <c r="CD164" i="1"/>
  <c r="AH164" i="1"/>
  <c r="AJ164" i="1"/>
  <c r="K1320" i="2"/>
  <c r="L1319" i="2"/>
  <c r="AC85" i="3"/>
  <c r="C85" i="3"/>
  <c r="A86" i="3"/>
  <c r="CB241" i="1"/>
  <c r="CC241" i="1"/>
  <c r="CD241" i="1"/>
  <c r="AH241" i="1"/>
  <c r="AJ241" i="1"/>
  <c r="CD238" i="1"/>
  <c r="CB238" i="1"/>
  <c r="AJ238" i="1"/>
  <c r="AH238" i="1"/>
  <c r="CC238" i="1"/>
  <c r="AJ222" i="1"/>
  <c r="CC222" i="1"/>
  <c r="CD222" i="1"/>
  <c r="CB222" i="1"/>
  <c r="AH222" i="1"/>
  <c r="AH206" i="1"/>
  <c r="CD206" i="1"/>
  <c r="AJ206" i="1"/>
  <c r="CC206" i="1"/>
  <c r="CB206" i="1"/>
  <c r="CB171" i="1"/>
  <c r="AJ171" i="1"/>
  <c r="AH171" i="1"/>
  <c r="CD171" i="1"/>
  <c r="CC171" i="1"/>
  <c r="CD192" i="1"/>
  <c r="AH192" i="1"/>
  <c r="CB192" i="1"/>
  <c r="CC192" i="1"/>
  <c r="AJ192" i="1"/>
  <c r="AH186" i="1"/>
  <c r="CB186" i="1"/>
  <c r="CD186" i="1"/>
  <c r="AJ186" i="1"/>
  <c r="CC186" i="1"/>
  <c r="AJ196" i="1"/>
  <c r="CB196" i="1"/>
  <c r="AH196" i="1"/>
  <c r="CD196" i="1"/>
  <c r="CC196" i="1"/>
  <c r="CD221" i="1"/>
  <c r="CB221" i="1"/>
  <c r="AJ221" i="1"/>
  <c r="CC221" i="1"/>
  <c r="AH221" i="1"/>
  <c r="AH205" i="1"/>
  <c r="CB205" i="1"/>
  <c r="CC205" i="1"/>
  <c r="CD205" i="1"/>
  <c r="AJ205" i="1"/>
  <c r="CC165" i="1"/>
  <c r="CB165" i="1"/>
  <c r="AJ165" i="1"/>
  <c r="CD165" i="1"/>
  <c r="AH165" i="1"/>
  <c r="CC176" i="1"/>
  <c r="AH176" i="1"/>
  <c r="AJ176" i="1"/>
  <c r="CB176" i="1"/>
  <c r="CD176" i="1"/>
  <c r="CD169" i="1"/>
  <c r="CC169" i="1"/>
  <c r="AJ169" i="1"/>
  <c r="AH169" i="1"/>
  <c r="CB169" i="1"/>
  <c r="AH244" i="1"/>
  <c r="AJ244" i="1"/>
  <c r="CB244" i="1"/>
  <c r="CC244" i="1"/>
  <c r="CD244" i="1"/>
  <c r="CC240" i="1"/>
  <c r="CD240" i="1"/>
  <c r="AH240" i="1"/>
  <c r="AJ240" i="1"/>
  <c r="CB240" i="1"/>
  <c r="K455" i="2"/>
  <c r="L454" i="2"/>
  <c r="AH252" i="1"/>
  <c r="AJ252" i="1"/>
  <c r="CC252" i="1"/>
  <c r="CF252" i="1" s="1"/>
  <c r="CB252" i="1"/>
  <c r="CD252" i="1"/>
  <c r="AJ236" i="1"/>
  <c r="CC236" i="1"/>
  <c r="AH236" i="1"/>
  <c r="CB236" i="1"/>
  <c r="CD236" i="1"/>
  <c r="AH220" i="1"/>
  <c r="AJ220" i="1"/>
  <c r="CB220" i="1"/>
  <c r="CD220" i="1"/>
  <c r="CC220" i="1"/>
  <c r="CB204" i="1"/>
  <c r="AJ204" i="1"/>
  <c r="CD204" i="1"/>
  <c r="AH204" i="1"/>
  <c r="CC204" i="1"/>
  <c r="CC182" i="1"/>
  <c r="AH182" i="1"/>
  <c r="AJ182" i="1"/>
  <c r="CD182" i="1"/>
  <c r="CB182" i="1"/>
  <c r="CC160" i="1"/>
  <c r="AH160" i="1"/>
  <c r="CD160" i="1"/>
  <c r="CB160" i="1"/>
  <c r="AJ160" i="1"/>
  <c r="CB198" i="1"/>
  <c r="AJ198" i="1"/>
  <c r="CC198" i="1"/>
  <c r="AH198" i="1"/>
  <c r="CD198" i="1"/>
  <c r="CD243" i="1"/>
  <c r="AJ243" i="1"/>
  <c r="AH243" i="1"/>
  <c r="CB243" i="1"/>
  <c r="CC243" i="1"/>
  <c r="K866" i="2"/>
  <c r="L865" i="2"/>
  <c r="CD251" i="1"/>
  <c r="CC251" i="1"/>
  <c r="AH251" i="1"/>
  <c r="AJ251" i="1"/>
  <c r="CB251" i="1"/>
  <c r="AH235" i="1"/>
  <c r="CD235" i="1"/>
  <c r="CC235" i="1"/>
  <c r="AJ235" i="1"/>
  <c r="CB235" i="1"/>
  <c r="CD219" i="1"/>
  <c r="AH219" i="1"/>
  <c r="AJ219" i="1"/>
  <c r="CC219" i="1"/>
  <c r="CB219" i="1"/>
  <c r="CC203" i="1"/>
  <c r="CB203" i="1"/>
  <c r="CD203" i="1"/>
  <c r="AH203" i="1"/>
  <c r="AJ203" i="1"/>
  <c r="CD168" i="1"/>
  <c r="CC168" i="1"/>
  <c r="CB168" i="1"/>
  <c r="AJ168" i="1"/>
  <c r="AH168" i="1"/>
  <c r="AJ191" i="1"/>
  <c r="CB191" i="1"/>
  <c r="AH191" i="1"/>
  <c r="CC191" i="1"/>
  <c r="CD191" i="1"/>
  <c r="CF255" i="1"/>
  <c r="CK255" i="1"/>
  <c r="CD231" i="1"/>
  <c r="AJ231" i="1"/>
  <c r="CC231" i="1"/>
  <c r="CB231" i="1"/>
  <c r="AH231" i="1"/>
  <c r="CC246" i="1"/>
  <c r="CB246" i="1"/>
  <c r="CD246" i="1"/>
  <c r="AJ246" i="1"/>
  <c r="AH246" i="1"/>
  <c r="CB229" i="1"/>
  <c r="CD229" i="1"/>
  <c r="AJ229" i="1"/>
  <c r="AH229" i="1"/>
  <c r="CC229" i="1"/>
  <c r="AH211" i="1"/>
  <c r="AJ211" i="1"/>
  <c r="CB211" i="1"/>
  <c r="CD211" i="1"/>
  <c r="CC211" i="1"/>
  <c r="CC224" i="1"/>
  <c r="CD224" i="1"/>
  <c r="AH224" i="1"/>
  <c r="CB224" i="1"/>
  <c r="AJ224" i="1"/>
  <c r="CC254" i="1"/>
  <c r="CD254" i="1"/>
  <c r="AH254" i="1"/>
  <c r="AJ254" i="1"/>
  <c r="CB254" i="1"/>
  <c r="AH250" i="1"/>
  <c r="CB250" i="1"/>
  <c r="CD250" i="1"/>
  <c r="AJ250" i="1"/>
  <c r="CC250" i="1"/>
  <c r="CB234" i="1"/>
  <c r="CD234" i="1"/>
  <c r="AJ234" i="1"/>
  <c r="AH234" i="1"/>
  <c r="CC234" i="1"/>
  <c r="AJ218" i="1"/>
  <c r="CB218" i="1"/>
  <c r="CD218" i="1"/>
  <c r="CC218" i="1"/>
  <c r="AH218" i="1"/>
  <c r="CB202" i="1"/>
  <c r="CC202" i="1"/>
  <c r="AH202" i="1"/>
  <c r="AJ202" i="1"/>
  <c r="CD202" i="1"/>
  <c r="CC181" i="1"/>
  <c r="CB181" i="1"/>
  <c r="CD181" i="1"/>
  <c r="AJ181" i="1"/>
  <c r="AH181" i="1"/>
  <c r="CB175" i="1"/>
  <c r="CK175" i="1" s="1"/>
  <c r="AJ175" i="1"/>
  <c r="CD175" i="1"/>
  <c r="CC175" i="1"/>
  <c r="AH175" i="1"/>
  <c r="AQ255" i="1"/>
  <c r="AS255" i="1" s="1"/>
  <c r="BJ255" i="1"/>
  <c r="BL255" i="1" s="1"/>
  <c r="BK255" i="1"/>
  <c r="BM255" i="1" s="1"/>
  <c r="AO255" i="1"/>
  <c r="AL255" i="1"/>
  <c r="AN255" i="1"/>
  <c r="BI255" i="1"/>
  <c r="BH255" i="1"/>
  <c r="AP255" i="1"/>
  <c r="AR255" i="1" s="1"/>
  <c r="CD215" i="1"/>
  <c r="AJ215" i="1"/>
  <c r="CC215" i="1"/>
  <c r="CB215" i="1"/>
  <c r="AH215" i="1"/>
  <c r="CD166" i="1"/>
  <c r="AJ166" i="1"/>
  <c r="CB166" i="1"/>
  <c r="AH166" i="1"/>
  <c r="CC166" i="1"/>
  <c r="CC226" i="1"/>
  <c r="AJ226" i="1"/>
  <c r="AH226" i="1"/>
  <c r="CB226" i="1"/>
  <c r="CD226" i="1"/>
  <c r="K694" i="2"/>
  <c r="L693" i="2"/>
  <c r="CB253" i="1"/>
  <c r="CD253" i="1"/>
  <c r="AJ253" i="1"/>
  <c r="AH253" i="1"/>
  <c r="CC253" i="1"/>
  <c r="CD249" i="1"/>
  <c r="CB249" i="1"/>
  <c r="CC249" i="1"/>
  <c r="AJ249" i="1"/>
  <c r="AH249" i="1"/>
  <c r="AJ233" i="1"/>
  <c r="AH233" i="1"/>
  <c r="CB233" i="1"/>
  <c r="CD233" i="1"/>
  <c r="CC233" i="1"/>
  <c r="AJ217" i="1"/>
  <c r="AH217" i="1"/>
  <c r="CD217" i="1"/>
  <c r="CB217" i="1"/>
  <c r="CC217" i="1"/>
  <c r="AJ201" i="1"/>
  <c r="AH201" i="1"/>
  <c r="CD201" i="1"/>
  <c r="CB201" i="1"/>
  <c r="CC201" i="1"/>
  <c r="CC163" i="1"/>
  <c r="CB163" i="1"/>
  <c r="CD163" i="1"/>
  <c r="AJ163" i="1"/>
  <c r="AH163" i="1"/>
  <c r="CC157" i="1"/>
  <c r="CB157" i="1"/>
  <c r="AJ157" i="1"/>
  <c r="CD157" i="1"/>
  <c r="AH157" i="1"/>
  <c r="AH179" i="1"/>
  <c r="CB179" i="1"/>
  <c r="CD179" i="1"/>
  <c r="CC179" i="1"/>
  <c r="AJ179" i="1"/>
  <c r="CB212" i="1"/>
  <c r="CD212" i="1"/>
  <c r="CC212" i="1"/>
  <c r="AJ212" i="1"/>
  <c r="AH212" i="1"/>
  <c r="AJ225" i="1"/>
  <c r="AH225" i="1"/>
  <c r="CD225" i="1"/>
  <c r="CB225" i="1"/>
  <c r="CC225" i="1"/>
  <c r="CD237" i="1"/>
  <c r="CB237" i="1"/>
  <c r="AJ237" i="1"/>
  <c r="AH237" i="1"/>
  <c r="CC237" i="1"/>
  <c r="K263" i="2"/>
  <c r="L262" i="2"/>
  <c r="K1047" i="2"/>
  <c r="L1046" i="2"/>
  <c r="CD248" i="1"/>
  <c r="CB248" i="1"/>
  <c r="AJ248" i="1"/>
  <c r="AH248" i="1"/>
  <c r="CC248" i="1"/>
  <c r="CD232" i="1"/>
  <c r="AJ232" i="1"/>
  <c r="AH232" i="1"/>
  <c r="CB232" i="1"/>
  <c r="CC232" i="1"/>
  <c r="AH216" i="1"/>
  <c r="CB216" i="1"/>
  <c r="AJ216" i="1"/>
  <c r="CC216" i="1"/>
  <c r="CD216" i="1"/>
  <c r="CD200" i="1"/>
  <c r="CC200" i="1"/>
  <c r="AJ200" i="1"/>
  <c r="AH200" i="1"/>
  <c r="CB200" i="1"/>
  <c r="AH180" i="1"/>
  <c r="CC180" i="1"/>
  <c r="AJ180" i="1"/>
  <c r="CB180" i="1"/>
  <c r="CD180" i="1"/>
  <c r="AH190" i="1"/>
  <c r="CB190" i="1"/>
  <c r="CD190" i="1"/>
  <c r="CC190" i="1"/>
  <c r="AJ190" i="1"/>
  <c r="CK165" i="1" l="1"/>
  <c r="CF207" i="1"/>
  <c r="CF249" i="1"/>
  <c r="CF209" i="1"/>
  <c r="CF188" i="1"/>
  <c r="CF221" i="1"/>
  <c r="CF183" i="1"/>
  <c r="CK195" i="1"/>
  <c r="BH175" i="1"/>
  <c r="AN175" i="1"/>
  <c r="AO175" i="1"/>
  <c r="BI175" i="1"/>
  <c r="BR175" i="1" s="1"/>
  <c r="BJ175" i="1"/>
  <c r="BL175" i="1" s="1"/>
  <c r="AL175" i="1"/>
  <c r="BK175" i="1"/>
  <c r="BM175" i="1" s="1"/>
  <c r="AQ175" i="1"/>
  <c r="AS175" i="1" s="1"/>
  <c r="AP175" i="1"/>
  <c r="AR175" i="1" s="1"/>
  <c r="AC86" i="3"/>
  <c r="A87" i="3"/>
  <c r="C86" i="3"/>
  <c r="BH180" i="1"/>
  <c r="AN180" i="1"/>
  <c r="AL180" i="1"/>
  <c r="BI180" i="1"/>
  <c r="AO180" i="1"/>
  <c r="BK180" i="1"/>
  <c r="BM180" i="1" s="1"/>
  <c r="BJ180" i="1"/>
  <c r="BL180" i="1" s="1"/>
  <c r="AQ180" i="1"/>
  <c r="AS180" i="1" s="1"/>
  <c r="AP180" i="1"/>
  <c r="AR180" i="1" s="1"/>
  <c r="CF224" i="1"/>
  <c r="CK224" i="1"/>
  <c r="AQ168" i="1"/>
  <c r="AS168" i="1" s="1"/>
  <c r="BJ168" i="1"/>
  <c r="BL168" i="1" s="1"/>
  <c r="AN168" i="1"/>
  <c r="AP168" i="1"/>
  <c r="AR168" i="1" s="1"/>
  <c r="BK168" i="1"/>
  <c r="BM168" i="1" s="1"/>
  <c r="BI168" i="1"/>
  <c r="BH168" i="1"/>
  <c r="AL168" i="1"/>
  <c r="AO168" i="1"/>
  <c r="AL252" i="1"/>
  <c r="BI252" i="1"/>
  <c r="AN252" i="1"/>
  <c r="BK252" i="1"/>
  <c r="BM252" i="1" s="1"/>
  <c r="BH252" i="1"/>
  <c r="AO252" i="1"/>
  <c r="BJ252" i="1"/>
  <c r="BL252" i="1" s="1"/>
  <c r="AP252" i="1"/>
  <c r="AR252" i="1" s="1"/>
  <c r="AQ252" i="1"/>
  <c r="AS252" i="1" s="1"/>
  <c r="BK169" i="1"/>
  <c r="BM169" i="1" s="1"/>
  <c r="AL169" i="1"/>
  <c r="AO169" i="1"/>
  <c r="AN169" i="1"/>
  <c r="BJ169" i="1"/>
  <c r="BL169" i="1" s="1"/>
  <c r="BI169" i="1"/>
  <c r="BH169" i="1"/>
  <c r="AQ169" i="1"/>
  <c r="AS169" i="1" s="1"/>
  <c r="AP169" i="1"/>
  <c r="AR169" i="1" s="1"/>
  <c r="CK205" i="1"/>
  <c r="CF205" i="1"/>
  <c r="AL172" i="1"/>
  <c r="AO172" i="1"/>
  <c r="AN172" i="1"/>
  <c r="BH172" i="1"/>
  <c r="BI172" i="1"/>
  <c r="BJ172" i="1"/>
  <c r="BL172" i="1" s="1"/>
  <c r="BK172" i="1"/>
  <c r="BM172" i="1" s="1"/>
  <c r="AQ172" i="1"/>
  <c r="AS172" i="1" s="1"/>
  <c r="AP172" i="1"/>
  <c r="AR172" i="1" s="1"/>
  <c r="BK187" i="1"/>
  <c r="BM187" i="1" s="1"/>
  <c r="BJ187" i="1"/>
  <c r="BL187" i="1" s="1"/>
  <c r="AL187" i="1"/>
  <c r="BI187" i="1"/>
  <c r="AN187" i="1"/>
  <c r="BH187" i="1"/>
  <c r="AO187" i="1"/>
  <c r="AP187" i="1"/>
  <c r="AR187" i="1" s="1"/>
  <c r="AQ187" i="1"/>
  <c r="AS187" i="1" s="1"/>
  <c r="CK210" i="1"/>
  <c r="CF210" i="1"/>
  <c r="CK159" i="1"/>
  <c r="CK197" i="1"/>
  <c r="CF197" i="1"/>
  <c r="BI253" i="1"/>
  <c r="BH253" i="1"/>
  <c r="BJ253" i="1"/>
  <c r="BL253" i="1" s="1"/>
  <c r="AO253" i="1"/>
  <c r="BK253" i="1"/>
  <c r="BM253" i="1" s="1"/>
  <c r="AL253" i="1"/>
  <c r="AN253" i="1"/>
  <c r="AP253" i="1"/>
  <c r="AR253" i="1" s="1"/>
  <c r="AQ253" i="1"/>
  <c r="AS253" i="1" s="1"/>
  <c r="CK168" i="1"/>
  <c r="CF168" i="1"/>
  <c r="BJ204" i="1"/>
  <c r="BL204" i="1" s="1"/>
  <c r="BI204" i="1"/>
  <c r="BH204" i="1"/>
  <c r="BK204" i="1"/>
  <c r="BM204" i="1" s="1"/>
  <c r="AL204" i="1"/>
  <c r="AO204" i="1"/>
  <c r="AN204" i="1"/>
  <c r="AQ204" i="1"/>
  <c r="AS204" i="1" s="1"/>
  <c r="AP204" i="1"/>
  <c r="AR204" i="1" s="1"/>
  <c r="AL192" i="1"/>
  <c r="BK192" i="1"/>
  <c r="BM192" i="1" s="1"/>
  <c r="AO192" i="1"/>
  <c r="AP192" i="1"/>
  <c r="AR192" i="1" s="1"/>
  <c r="BH192" i="1"/>
  <c r="BJ192" i="1"/>
  <c r="BL192" i="1" s="1"/>
  <c r="AN192" i="1"/>
  <c r="AQ192" i="1"/>
  <c r="AS192" i="1" s="1"/>
  <c r="BI192" i="1"/>
  <c r="CK222" i="1"/>
  <c r="CF222" i="1"/>
  <c r="CK239" i="1"/>
  <c r="CF239" i="1"/>
  <c r="CP239" i="1" s="1"/>
  <c r="AN213" i="1"/>
  <c r="BJ213" i="1"/>
  <c r="BL213" i="1" s="1"/>
  <c r="BI213" i="1"/>
  <c r="BH213" i="1"/>
  <c r="BK213" i="1"/>
  <c r="BM213" i="1" s="1"/>
  <c r="AL213" i="1"/>
  <c r="AO213" i="1"/>
  <c r="AP213" i="1"/>
  <c r="AR213" i="1" s="1"/>
  <c r="AQ213" i="1"/>
  <c r="AS213" i="1" s="1"/>
  <c r="AO184" i="1"/>
  <c r="BI184" i="1"/>
  <c r="BH184" i="1"/>
  <c r="AQ184" i="1"/>
  <c r="AS184" i="1" s="1"/>
  <c r="AP184" i="1"/>
  <c r="AR184" i="1" s="1"/>
  <c r="BJ184" i="1"/>
  <c r="BL184" i="1" s="1"/>
  <c r="AL184" i="1"/>
  <c r="AN184" i="1"/>
  <c r="BK184" i="1"/>
  <c r="BM184" i="1" s="1"/>
  <c r="AP210" i="1"/>
  <c r="AR210" i="1" s="1"/>
  <c r="AO210" i="1"/>
  <c r="BI210" i="1"/>
  <c r="AQ210" i="1"/>
  <c r="AS210" i="1" s="1"/>
  <c r="BJ210" i="1"/>
  <c r="BL210" i="1" s="1"/>
  <c r="BH210" i="1"/>
  <c r="AN210" i="1"/>
  <c r="BK210" i="1"/>
  <c r="BM210" i="1" s="1"/>
  <c r="AL210" i="1"/>
  <c r="CF245" i="1"/>
  <c r="CK245" i="1"/>
  <c r="BK228" i="1"/>
  <c r="BM228" i="1" s="1"/>
  <c r="BJ228" i="1"/>
  <c r="BL228" i="1" s="1"/>
  <c r="BI228" i="1"/>
  <c r="AL228" i="1"/>
  <c r="AN228" i="1"/>
  <c r="AO228" i="1"/>
  <c r="BH228" i="1"/>
  <c r="AQ228" i="1"/>
  <c r="AS228" i="1" s="1"/>
  <c r="AP228" i="1"/>
  <c r="AR228" i="1" s="1"/>
  <c r="BJ224" i="1"/>
  <c r="BL224" i="1" s="1"/>
  <c r="AP224" i="1"/>
  <c r="AR224" i="1" s="1"/>
  <c r="AL224" i="1"/>
  <c r="AQ224" i="1"/>
  <c r="AS224" i="1" s="1"/>
  <c r="AN224" i="1"/>
  <c r="BK224" i="1"/>
  <c r="BM224" i="1" s="1"/>
  <c r="AO224" i="1"/>
  <c r="BI224" i="1"/>
  <c r="BH224" i="1"/>
  <c r="AL159" i="1"/>
  <c r="BI159" i="1"/>
  <c r="BK159" i="1"/>
  <c r="BM159" i="1" s="1"/>
  <c r="AO159" i="1"/>
  <c r="BH159" i="1"/>
  <c r="AN159" i="1"/>
  <c r="BJ159" i="1"/>
  <c r="BL159" i="1" s="1"/>
  <c r="AP159" i="1"/>
  <c r="AR159" i="1" s="1"/>
  <c r="AQ159" i="1"/>
  <c r="AS159" i="1" s="1"/>
  <c r="CK157" i="1"/>
  <c r="CF157" i="1"/>
  <c r="AN217" i="1"/>
  <c r="BH217" i="1"/>
  <c r="BI217" i="1"/>
  <c r="BJ217" i="1"/>
  <c r="BL217" i="1" s="1"/>
  <c r="BK217" i="1"/>
  <c r="BM217" i="1" s="1"/>
  <c r="AL217" i="1"/>
  <c r="AO217" i="1"/>
  <c r="AP217" i="1"/>
  <c r="AR217" i="1" s="1"/>
  <c r="AQ217" i="1"/>
  <c r="AS217" i="1" s="1"/>
  <c r="BH181" i="1"/>
  <c r="BI181" i="1"/>
  <c r="BJ181" i="1"/>
  <c r="BL181" i="1" s="1"/>
  <c r="BK181" i="1"/>
  <c r="BM181" i="1" s="1"/>
  <c r="AL181" i="1"/>
  <c r="AO181" i="1"/>
  <c r="AN181" i="1"/>
  <c r="AQ181" i="1"/>
  <c r="AS181" i="1" s="1"/>
  <c r="AP181" i="1"/>
  <c r="AR181" i="1" s="1"/>
  <c r="BH234" i="1"/>
  <c r="AL234" i="1"/>
  <c r="AO234" i="1"/>
  <c r="AN234" i="1"/>
  <c r="BJ234" i="1"/>
  <c r="BL234" i="1" s="1"/>
  <c r="BK234" i="1"/>
  <c r="BM234" i="1" s="1"/>
  <c r="BI234" i="1"/>
  <c r="AP234" i="1"/>
  <c r="AR234" i="1" s="1"/>
  <c r="AQ234" i="1"/>
  <c r="AS234" i="1" s="1"/>
  <c r="AQ198" i="1"/>
  <c r="AS198" i="1" s="1"/>
  <c r="BJ198" i="1"/>
  <c r="BL198" i="1" s="1"/>
  <c r="BH198" i="1"/>
  <c r="AL198" i="1"/>
  <c r="AO198" i="1"/>
  <c r="AN198" i="1"/>
  <c r="BK198" i="1"/>
  <c r="BM198" i="1" s="1"/>
  <c r="BI198" i="1"/>
  <c r="AP198" i="1"/>
  <c r="AR198" i="1" s="1"/>
  <c r="CK204" i="1"/>
  <c r="CF204" i="1"/>
  <c r="CF227" i="1"/>
  <c r="CK227" i="1"/>
  <c r="BJ188" i="1"/>
  <c r="BL188" i="1" s="1"/>
  <c r="AL188" i="1"/>
  <c r="AO188" i="1"/>
  <c r="AN188" i="1"/>
  <c r="BK188" i="1"/>
  <c r="BM188" i="1" s="1"/>
  <c r="BI188" i="1"/>
  <c r="BH188" i="1"/>
  <c r="AQ188" i="1"/>
  <c r="AS188" i="1" s="1"/>
  <c r="AP188" i="1"/>
  <c r="AR188" i="1" s="1"/>
  <c r="CF159" i="1"/>
  <c r="CP159" i="1" s="1"/>
  <c r="BJ230" i="1"/>
  <c r="BL230" i="1" s="1"/>
  <c r="AO230" i="1"/>
  <c r="BI230" i="1"/>
  <c r="AN230" i="1"/>
  <c r="AP230" i="1"/>
  <c r="AR230" i="1" s="1"/>
  <c r="BK230" i="1"/>
  <c r="BM230" i="1" s="1"/>
  <c r="BH230" i="1"/>
  <c r="AL230" i="1"/>
  <c r="AQ230" i="1"/>
  <c r="AS230" i="1" s="1"/>
  <c r="CF184" i="1"/>
  <c r="CK184" i="1"/>
  <c r="AP232" i="1"/>
  <c r="AR232" i="1" s="1"/>
  <c r="AQ232" i="1"/>
  <c r="AS232" i="1" s="1"/>
  <c r="BJ232" i="1"/>
  <c r="BL232" i="1" s="1"/>
  <c r="AN232" i="1"/>
  <c r="BI232" i="1"/>
  <c r="BK232" i="1"/>
  <c r="BM232" i="1" s="1"/>
  <c r="BH232" i="1"/>
  <c r="AL232" i="1"/>
  <c r="AO232" i="1"/>
  <c r="CF251" i="1"/>
  <c r="CK251" i="1"/>
  <c r="CF198" i="1"/>
  <c r="CP198" i="1" s="1"/>
  <c r="CK198" i="1"/>
  <c r="L455" i="2"/>
  <c r="K456" i="2"/>
  <c r="CF192" i="1"/>
  <c r="CK192" i="1"/>
  <c r="K1321" i="2"/>
  <c r="L1320" i="2"/>
  <c r="BJ207" i="1"/>
  <c r="BL207" i="1" s="1"/>
  <c r="AQ207" i="1"/>
  <c r="AS207" i="1" s="1"/>
  <c r="BI207" i="1"/>
  <c r="BH207" i="1"/>
  <c r="BK207" i="1"/>
  <c r="BM207" i="1" s="1"/>
  <c r="AL207" i="1"/>
  <c r="AO207" i="1"/>
  <c r="AP207" i="1"/>
  <c r="AR207" i="1" s="1"/>
  <c r="AN207" i="1"/>
  <c r="AO177" i="1"/>
  <c r="AN177" i="1"/>
  <c r="BJ177" i="1"/>
  <c r="BL177" i="1" s="1"/>
  <c r="BH177" i="1"/>
  <c r="BK177" i="1"/>
  <c r="BM177" i="1" s="1"/>
  <c r="BI177" i="1"/>
  <c r="AL177" i="1"/>
  <c r="AQ177" i="1"/>
  <c r="AS177" i="1" s="1"/>
  <c r="AP177" i="1"/>
  <c r="AR177" i="1" s="1"/>
  <c r="CF230" i="1"/>
  <c r="CK230" i="1"/>
  <c r="BJ235" i="1"/>
  <c r="BL235" i="1" s="1"/>
  <c r="BI235" i="1"/>
  <c r="AP235" i="1"/>
  <c r="AR235" i="1" s="1"/>
  <c r="BH235" i="1"/>
  <c r="AL235" i="1"/>
  <c r="BK235" i="1"/>
  <c r="BM235" i="1" s="1"/>
  <c r="AN235" i="1"/>
  <c r="AO235" i="1"/>
  <c r="AQ235" i="1"/>
  <c r="AS235" i="1" s="1"/>
  <c r="CK225" i="1"/>
  <c r="CF225" i="1"/>
  <c r="CF200" i="1"/>
  <c r="CK200" i="1"/>
  <c r="CK181" i="1"/>
  <c r="CF181" i="1"/>
  <c r="CK234" i="1"/>
  <c r="CF234" i="1"/>
  <c r="CF231" i="1"/>
  <c r="CK231" i="1"/>
  <c r="BH203" i="1"/>
  <c r="AL203" i="1"/>
  <c r="AO203" i="1"/>
  <c r="AN203" i="1"/>
  <c r="BK203" i="1"/>
  <c r="BM203" i="1" s="1"/>
  <c r="BI203" i="1"/>
  <c r="BJ203" i="1"/>
  <c r="BL203" i="1" s="1"/>
  <c r="AP203" i="1"/>
  <c r="AR203" i="1" s="1"/>
  <c r="AQ203" i="1"/>
  <c r="AS203" i="1" s="1"/>
  <c r="AO251" i="1"/>
  <c r="AN251" i="1"/>
  <c r="BJ251" i="1"/>
  <c r="BL251" i="1" s="1"/>
  <c r="BK251" i="1"/>
  <c r="BM251" i="1" s="1"/>
  <c r="BI251" i="1"/>
  <c r="BH251" i="1"/>
  <c r="AL251" i="1"/>
  <c r="AP251" i="1"/>
  <c r="AR251" i="1" s="1"/>
  <c r="AQ251" i="1"/>
  <c r="AS251" i="1" s="1"/>
  <c r="BH160" i="1"/>
  <c r="AQ160" i="1"/>
  <c r="AS160" i="1" s="1"/>
  <c r="BJ160" i="1"/>
  <c r="BL160" i="1" s="1"/>
  <c r="AP160" i="1"/>
  <c r="AR160" i="1" s="1"/>
  <c r="AL160" i="1"/>
  <c r="BK160" i="1"/>
  <c r="BM160" i="1" s="1"/>
  <c r="AN160" i="1"/>
  <c r="AO160" i="1"/>
  <c r="BI160" i="1"/>
  <c r="CF240" i="1"/>
  <c r="CK240" i="1"/>
  <c r="CF176" i="1"/>
  <c r="CK176" i="1"/>
  <c r="BH221" i="1"/>
  <c r="BI221" i="1"/>
  <c r="AL221" i="1"/>
  <c r="AO221" i="1"/>
  <c r="AN221" i="1"/>
  <c r="BJ221" i="1"/>
  <c r="BL221" i="1" s="1"/>
  <c r="BK221" i="1"/>
  <c r="BM221" i="1" s="1"/>
  <c r="AP221" i="1"/>
  <c r="AR221" i="1" s="1"/>
  <c r="AQ221" i="1"/>
  <c r="AS221" i="1" s="1"/>
  <c r="BJ222" i="1"/>
  <c r="BL222" i="1" s="1"/>
  <c r="AL222" i="1"/>
  <c r="BK222" i="1"/>
  <c r="BM222" i="1" s="1"/>
  <c r="BI222" i="1"/>
  <c r="BH222" i="1"/>
  <c r="AO222" i="1"/>
  <c r="AN222" i="1"/>
  <c r="AQ222" i="1"/>
  <c r="AS222" i="1" s="1"/>
  <c r="AP222" i="1"/>
  <c r="AR222" i="1" s="1"/>
  <c r="AQ164" i="1"/>
  <c r="AS164" i="1" s="1"/>
  <c r="BI164" i="1"/>
  <c r="BK164" i="1"/>
  <c r="BM164" i="1" s="1"/>
  <c r="BH164" i="1"/>
  <c r="AP164" i="1"/>
  <c r="AR164" i="1" s="1"/>
  <c r="AL164" i="1"/>
  <c r="AN164" i="1"/>
  <c r="AO164" i="1"/>
  <c r="BJ164" i="1"/>
  <c r="BL164" i="1" s="1"/>
  <c r="CK177" i="1"/>
  <c r="CF177" i="1"/>
  <c r="CF213" i="1"/>
  <c r="CK213" i="1"/>
  <c r="CK188" i="1"/>
  <c r="CP188" i="1" s="1"/>
  <c r="CF178" i="1"/>
  <c r="CK178" i="1"/>
  <c r="BK197" i="1"/>
  <c r="BM197" i="1" s="1"/>
  <c r="BJ197" i="1"/>
  <c r="BL197" i="1" s="1"/>
  <c r="BH197" i="1"/>
  <c r="AO197" i="1"/>
  <c r="AL197" i="1"/>
  <c r="AN197" i="1"/>
  <c r="BI197" i="1"/>
  <c r="AQ197" i="1"/>
  <c r="AS197" i="1" s="1"/>
  <c r="AP197" i="1"/>
  <c r="AR197" i="1" s="1"/>
  <c r="AP246" i="1"/>
  <c r="AR246" i="1" s="1"/>
  <c r="AN246" i="1"/>
  <c r="AQ246" i="1"/>
  <c r="AS246" i="1" s="1"/>
  <c r="BI246" i="1"/>
  <c r="BH246" i="1"/>
  <c r="BK246" i="1"/>
  <c r="BM246" i="1" s="1"/>
  <c r="BJ246" i="1"/>
  <c r="BL246" i="1" s="1"/>
  <c r="AL246" i="1"/>
  <c r="AO246" i="1"/>
  <c r="CF186" i="1"/>
  <c r="CK186" i="1"/>
  <c r="CK246" i="1"/>
  <c r="CF246" i="1"/>
  <c r="BR255" i="1"/>
  <c r="BN255" i="1"/>
  <c r="AO200" i="1"/>
  <c r="AN200" i="1"/>
  <c r="AP200" i="1"/>
  <c r="AR200" i="1" s="1"/>
  <c r="BJ200" i="1"/>
  <c r="BL200" i="1" s="1"/>
  <c r="AQ200" i="1"/>
  <c r="AS200" i="1" s="1"/>
  <c r="BI200" i="1"/>
  <c r="BK200" i="1"/>
  <c r="BM200" i="1" s="1"/>
  <c r="BH200" i="1"/>
  <c r="AL200" i="1"/>
  <c r="CK248" i="1"/>
  <c r="CF248" i="1"/>
  <c r="BI163" i="1"/>
  <c r="BH163" i="1"/>
  <c r="AL163" i="1"/>
  <c r="BK163" i="1"/>
  <c r="BM163" i="1" s="1"/>
  <c r="AO163" i="1"/>
  <c r="AN163" i="1"/>
  <c r="BJ163" i="1"/>
  <c r="BL163" i="1" s="1"/>
  <c r="AQ163" i="1"/>
  <c r="AS163" i="1" s="1"/>
  <c r="AP163" i="1"/>
  <c r="AR163" i="1" s="1"/>
  <c r="CF233" i="1"/>
  <c r="CK233" i="1"/>
  <c r="CF226" i="1"/>
  <c r="CK226" i="1"/>
  <c r="CK160" i="1"/>
  <c r="CF160" i="1"/>
  <c r="CK220" i="1"/>
  <c r="CF220" i="1"/>
  <c r="AN240" i="1"/>
  <c r="AP240" i="1"/>
  <c r="AR240" i="1" s="1"/>
  <c r="AQ240" i="1"/>
  <c r="AS240" i="1" s="1"/>
  <c r="BJ240" i="1"/>
  <c r="BL240" i="1" s="1"/>
  <c r="BI240" i="1"/>
  <c r="AL240" i="1"/>
  <c r="AO240" i="1"/>
  <c r="BK240" i="1"/>
  <c r="BM240" i="1" s="1"/>
  <c r="BH240" i="1"/>
  <c r="BJ176" i="1"/>
  <c r="BL176" i="1" s="1"/>
  <c r="BH176" i="1"/>
  <c r="BK176" i="1"/>
  <c r="BM176" i="1" s="1"/>
  <c r="AL176" i="1"/>
  <c r="AQ176" i="1"/>
  <c r="AS176" i="1" s="1"/>
  <c r="AO176" i="1"/>
  <c r="AN176" i="1"/>
  <c r="BI176" i="1"/>
  <c r="AP176" i="1"/>
  <c r="AR176" i="1" s="1"/>
  <c r="CK221" i="1"/>
  <c r="AO227" i="1"/>
  <c r="AL227" i="1"/>
  <c r="BK227" i="1"/>
  <c r="BM227" i="1" s="1"/>
  <c r="AN227" i="1"/>
  <c r="BJ227" i="1"/>
  <c r="BL227" i="1" s="1"/>
  <c r="BI227" i="1"/>
  <c r="BH227" i="1"/>
  <c r="AP227" i="1"/>
  <c r="AR227" i="1" s="1"/>
  <c r="AQ227" i="1"/>
  <c r="AS227" i="1" s="1"/>
  <c r="CK209" i="1"/>
  <c r="CP209" i="1" s="1"/>
  <c r="BJ242" i="1"/>
  <c r="BL242" i="1" s="1"/>
  <c r="AL242" i="1"/>
  <c r="AO242" i="1"/>
  <c r="AN242" i="1"/>
  <c r="AP242" i="1"/>
  <c r="AR242" i="1" s="1"/>
  <c r="BH242" i="1"/>
  <c r="BI242" i="1"/>
  <c r="BK242" i="1"/>
  <c r="BM242" i="1" s="1"/>
  <c r="AQ242" i="1"/>
  <c r="AS242" i="1" s="1"/>
  <c r="CF228" i="1"/>
  <c r="CK228" i="1"/>
  <c r="AP162" i="1"/>
  <c r="AR162" i="1" s="1"/>
  <c r="BJ162" i="1"/>
  <c r="BL162" i="1" s="1"/>
  <c r="AQ162" i="1"/>
  <c r="AS162" i="1" s="1"/>
  <c r="AL162" i="1"/>
  <c r="AO162" i="1"/>
  <c r="AN162" i="1"/>
  <c r="BI162" i="1"/>
  <c r="BK162" i="1"/>
  <c r="BM162" i="1" s="1"/>
  <c r="BH162" i="1"/>
  <c r="AO194" i="1"/>
  <c r="AQ194" i="1"/>
  <c r="AS194" i="1" s="1"/>
  <c r="AL194" i="1"/>
  <c r="AN194" i="1"/>
  <c r="BJ194" i="1"/>
  <c r="BL194" i="1" s="1"/>
  <c r="BK194" i="1"/>
  <c r="BM194" i="1" s="1"/>
  <c r="BH194" i="1"/>
  <c r="BI194" i="1"/>
  <c r="AP194" i="1"/>
  <c r="AR194" i="1" s="1"/>
  <c r="BH248" i="1"/>
  <c r="AQ248" i="1"/>
  <c r="AS248" i="1" s="1"/>
  <c r="BJ248" i="1"/>
  <c r="BL248" i="1" s="1"/>
  <c r="AL248" i="1"/>
  <c r="AP248" i="1"/>
  <c r="AR248" i="1" s="1"/>
  <c r="AN248" i="1"/>
  <c r="AO248" i="1"/>
  <c r="BK248" i="1"/>
  <c r="BM248" i="1" s="1"/>
  <c r="BI248" i="1"/>
  <c r="BK212" i="1"/>
  <c r="BM212" i="1" s="1"/>
  <c r="BJ212" i="1"/>
  <c r="BL212" i="1" s="1"/>
  <c r="AL212" i="1"/>
  <c r="BI212" i="1"/>
  <c r="AN212" i="1"/>
  <c r="BH212" i="1"/>
  <c r="AO212" i="1"/>
  <c r="AP212" i="1"/>
  <c r="AR212" i="1" s="1"/>
  <c r="AQ212" i="1"/>
  <c r="AS212" i="1" s="1"/>
  <c r="AX255" i="1"/>
  <c r="AT255" i="1"/>
  <c r="AP250" i="1"/>
  <c r="AR250" i="1" s="1"/>
  <c r="BJ250" i="1"/>
  <c r="BL250" i="1" s="1"/>
  <c r="BK250" i="1"/>
  <c r="BM250" i="1" s="1"/>
  <c r="BI250" i="1"/>
  <c r="AQ250" i="1"/>
  <c r="AS250" i="1" s="1"/>
  <c r="BH250" i="1"/>
  <c r="AN250" i="1"/>
  <c r="AL250" i="1"/>
  <c r="AO250" i="1"/>
  <c r="CK211" i="1"/>
  <c r="CF211" i="1"/>
  <c r="BH231" i="1"/>
  <c r="AL231" i="1"/>
  <c r="AO231" i="1"/>
  <c r="AN231" i="1"/>
  <c r="BI231" i="1"/>
  <c r="BK231" i="1"/>
  <c r="BM231" i="1" s="1"/>
  <c r="BJ231" i="1"/>
  <c r="BL231" i="1" s="1"/>
  <c r="AQ231" i="1"/>
  <c r="AS231" i="1" s="1"/>
  <c r="AP231" i="1"/>
  <c r="AR231" i="1" s="1"/>
  <c r="BJ220" i="1"/>
  <c r="BL220" i="1" s="1"/>
  <c r="AO220" i="1"/>
  <c r="AN220" i="1"/>
  <c r="BI220" i="1"/>
  <c r="BH220" i="1"/>
  <c r="BK220" i="1"/>
  <c r="BM220" i="1" s="1"/>
  <c r="AL220" i="1"/>
  <c r="AQ220" i="1"/>
  <c r="AS220" i="1" s="1"/>
  <c r="AP220" i="1"/>
  <c r="AR220" i="1" s="1"/>
  <c r="CK207" i="1"/>
  <c r="CK158" i="1"/>
  <c r="CF158" i="1"/>
  <c r="CK170" i="1"/>
  <c r="CF170" i="1"/>
  <c r="CP170" i="1" s="1"/>
  <c r="AP178" i="1"/>
  <c r="AR178" i="1" s="1"/>
  <c r="BJ178" i="1"/>
  <c r="BL178" i="1" s="1"/>
  <c r="AL178" i="1"/>
  <c r="AO178" i="1"/>
  <c r="AN178" i="1"/>
  <c r="BI178" i="1"/>
  <c r="BK178" i="1"/>
  <c r="BM178" i="1" s="1"/>
  <c r="BH178" i="1"/>
  <c r="AQ178" i="1"/>
  <c r="AS178" i="1" s="1"/>
  <c r="BI215" i="1"/>
  <c r="AO215" i="1"/>
  <c r="BH215" i="1"/>
  <c r="AN215" i="1"/>
  <c r="AL215" i="1"/>
  <c r="BK215" i="1"/>
  <c r="BM215" i="1" s="1"/>
  <c r="BJ215" i="1"/>
  <c r="BL215" i="1" s="1"/>
  <c r="AP215" i="1"/>
  <c r="AR215" i="1" s="1"/>
  <c r="AQ215" i="1"/>
  <c r="AS215" i="1" s="1"/>
  <c r="CK163" i="1"/>
  <c r="CF163" i="1"/>
  <c r="BI233" i="1"/>
  <c r="BH233" i="1"/>
  <c r="AL233" i="1"/>
  <c r="AO233" i="1"/>
  <c r="AN233" i="1"/>
  <c r="BK233" i="1"/>
  <c r="BM233" i="1" s="1"/>
  <c r="BJ233" i="1"/>
  <c r="BL233" i="1" s="1"/>
  <c r="AQ233" i="1"/>
  <c r="AS233" i="1" s="1"/>
  <c r="AP233" i="1"/>
  <c r="AR233" i="1" s="1"/>
  <c r="AL226" i="1"/>
  <c r="BI226" i="1"/>
  <c r="BH226" i="1"/>
  <c r="BK226" i="1"/>
  <c r="BM226" i="1" s="1"/>
  <c r="BJ226" i="1"/>
  <c r="BL226" i="1" s="1"/>
  <c r="AO226" i="1"/>
  <c r="AN226" i="1"/>
  <c r="AQ226" i="1"/>
  <c r="AS226" i="1" s="1"/>
  <c r="AP226" i="1"/>
  <c r="AR226" i="1" s="1"/>
  <c r="BC255" i="1"/>
  <c r="BT255" i="1"/>
  <c r="AZ255" i="1"/>
  <c r="BW255" i="1"/>
  <c r="AL202" i="1"/>
  <c r="BJ202" i="1"/>
  <c r="BL202" i="1" s="1"/>
  <c r="BI202" i="1"/>
  <c r="BH202" i="1"/>
  <c r="BK202" i="1"/>
  <c r="BM202" i="1" s="1"/>
  <c r="AN202" i="1"/>
  <c r="AO202" i="1"/>
  <c r="AP202" i="1"/>
  <c r="AR202" i="1" s="1"/>
  <c r="AQ202" i="1"/>
  <c r="AS202" i="1" s="1"/>
  <c r="BK211" i="1"/>
  <c r="BM211" i="1" s="1"/>
  <c r="AL211" i="1"/>
  <c r="AO211" i="1"/>
  <c r="AN211" i="1"/>
  <c r="AP211" i="1"/>
  <c r="AR211" i="1" s="1"/>
  <c r="BJ211" i="1"/>
  <c r="BL211" i="1" s="1"/>
  <c r="BH211" i="1"/>
  <c r="BI211" i="1"/>
  <c r="AQ211" i="1"/>
  <c r="AS211" i="1" s="1"/>
  <c r="CK203" i="1"/>
  <c r="CF203" i="1"/>
  <c r="BJ238" i="1"/>
  <c r="BL238" i="1" s="1"/>
  <c r="BI238" i="1"/>
  <c r="BH238" i="1"/>
  <c r="AL238" i="1"/>
  <c r="AO238" i="1"/>
  <c r="BK238" i="1"/>
  <c r="BM238" i="1" s="1"/>
  <c r="AN238" i="1"/>
  <c r="AP238" i="1"/>
  <c r="AR238" i="1" s="1"/>
  <c r="AQ238" i="1"/>
  <c r="AS238" i="1" s="1"/>
  <c r="CF164" i="1"/>
  <c r="CK164" i="1"/>
  <c r="CK183" i="1"/>
  <c r="CP183" i="1" s="1"/>
  <c r="CF174" i="1"/>
  <c r="CK174" i="1"/>
  <c r="CF162" i="1"/>
  <c r="CK162" i="1"/>
  <c r="CF161" i="1"/>
  <c r="CK161" i="1"/>
  <c r="CK253" i="1"/>
  <c r="CF253" i="1"/>
  <c r="CK250" i="1"/>
  <c r="CF250" i="1"/>
  <c r="CF238" i="1"/>
  <c r="CK238" i="1"/>
  <c r="CF247" i="1"/>
  <c r="CK247" i="1"/>
  <c r="AL209" i="1"/>
  <c r="BJ209" i="1"/>
  <c r="BL209" i="1" s="1"/>
  <c r="AO209" i="1"/>
  <c r="AN209" i="1"/>
  <c r="BH209" i="1"/>
  <c r="BI209" i="1"/>
  <c r="BK209" i="1"/>
  <c r="BM209" i="1" s="1"/>
  <c r="AQ209" i="1"/>
  <c r="AS209" i="1" s="1"/>
  <c r="AP209" i="1"/>
  <c r="AR209" i="1" s="1"/>
  <c r="BI170" i="1"/>
  <c r="BH170" i="1"/>
  <c r="AL170" i="1"/>
  <c r="BK170" i="1"/>
  <c r="BM170" i="1" s="1"/>
  <c r="AO170" i="1"/>
  <c r="AN170" i="1"/>
  <c r="AQ170" i="1"/>
  <c r="AS170" i="1" s="1"/>
  <c r="AP170" i="1"/>
  <c r="AR170" i="1" s="1"/>
  <c r="BJ170" i="1"/>
  <c r="BL170" i="1" s="1"/>
  <c r="CK242" i="1"/>
  <c r="CF242" i="1"/>
  <c r="BH195" i="1"/>
  <c r="AL195" i="1"/>
  <c r="AO195" i="1"/>
  <c r="AN195" i="1"/>
  <c r="BI195" i="1"/>
  <c r="BK195" i="1"/>
  <c r="BM195" i="1" s="1"/>
  <c r="AQ195" i="1"/>
  <c r="AS195" i="1" s="1"/>
  <c r="BJ195" i="1"/>
  <c r="BL195" i="1" s="1"/>
  <c r="AP195" i="1"/>
  <c r="AR195" i="1" s="1"/>
  <c r="AN173" i="1"/>
  <c r="AO173" i="1"/>
  <c r="BK173" i="1"/>
  <c r="BM173" i="1" s="1"/>
  <c r="BI173" i="1"/>
  <c r="BJ173" i="1"/>
  <c r="BL173" i="1" s="1"/>
  <c r="BH173" i="1"/>
  <c r="AL173" i="1"/>
  <c r="AQ173" i="1"/>
  <c r="AS173" i="1" s="1"/>
  <c r="AP173" i="1"/>
  <c r="AR173" i="1" s="1"/>
  <c r="AP174" i="1"/>
  <c r="AR174" i="1" s="1"/>
  <c r="BJ174" i="1"/>
  <c r="BL174" i="1" s="1"/>
  <c r="BI174" i="1"/>
  <c r="BH174" i="1"/>
  <c r="AL174" i="1"/>
  <c r="BK174" i="1"/>
  <c r="BM174" i="1" s="1"/>
  <c r="AQ174" i="1"/>
  <c r="AS174" i="1" s="1"/>
  <c r="AN174" i="1"/>
  <c r="AO174" i="1"/>
  <c r="CF180" i="1"/>
  <c r="CK180" i="1"/>
  <c r="CF172" i="1"/>
  <c r="CK172" i="1"/>
  <c r="CF212" i="1"/>
  <c r="CK212" i="1"/>
  <c r="BH249" i="1"/>
  <c r="BK249" i="1"/>
  <c r="BM249" i="1" s="1"/>
  <c r="AL249" i="1"/>
  <c r="BJ249" i="1"/>
  <c r="BL249" i="1" s="1"/>
  <c r="AO249" i="1"/>
  <c r="AN249" i="1"/>
  <c r="BI249" i="1"/>
  <c r="AQ249" i="1"/>
  <c r="AS249" i="1" s="1"/>
  <c r="AP249" i="1"/>
  <c r="AR249" i="1" s="1"/>
  <c r="CP255" i="1"/>
  <c r="CK219" i="1"/>
  <c r="CF219" i="1"/>
  <c r="K867" i="2"/>
  <c r="L866" i="2"/>
  <c r="CK182" i="1"/>
  <c r="CF182" i="1"/>
  <c r="CF236" i="1"/>
  <c r="CK236" i="1"/>
  <c r="CF244" i="1"/>
  <c r="AO171" i="1"/>
  <c r="AN171" i="1"/>
  <c r="BI171" i="1"/>
  <c r="AP171" i="1"/>
  <c r="AR171" i="1" s="1"/>
  <c r="BJ171" i="1"/>
  <c r="BL171" i="1" s="1"/>
  <c r="AQ171" i="1"/>
  <c r="AS171" i="1" s="1"/>
  <c r="AL171" i="1"/>
  <c r="BK171" i="1"/>
  <c r="BM171" i="1" s="1"/>
  <c r="BH171" i="1"/>
  <c r="CK167" i="1"/>
  <c r="CF167" i="1"/>
  <c r="CP167" i="1" s="1"/>
  <c r="AN183" i="1"/>
  <c r="BJ183" i="1"/>
  <c r="BL183" i="1" s="1"/>
  <c r="BI183" i="1"/>
  <c r="AL183" i="1"/>
  <c r="BK183" i="1"/>
  <c r="BM183" i="1" s="1"/>
  <c r="BH183" i="1"/>
  <c r="AO183" i="1"/>
  <c r="AP183" i="1"/>
  <c r="AR183" i="1" s="1"/>
  <c r="AQ183" i="1"/>
  <c r="AS183" i="1" s="1"/>
  <c r="BI158" i="1"/>
  <c r="BH158" i="1"/>
  <c r="BK158" i="1"/>
  <c r="BM158" i="1" s="1"/>
  <c r="BJ158" i="1"/>
  <c r="BL158" i="1" s="1"/>
  <c r="AL158" i="1"/>
  <c r="AO158" i="1"/>
  <c r="AN158" i="1"/>
  <c r="AQ158" i="1"/>
  <c r="AS158" i="1" s="1"/>
  <c r="AP158" i="1"/>
  <c r="AR158" i="1" s="1"/>
  <c r="L78" i="2"/>
  <c r="K79" i="2"/>
  <c r="CK215" i="1"/>
  <c r="CF215" i="1"/>
  <c r="CF202" i="1"/>
  <c r="CK202" i="1"/>
  <c r="CK254" i="1"/>
  <c r="CF254" i="1"/>
  <c r="BI165" i="1"/>
  <c r="BH165" i="1"/>
  <c r="BJ165" i="1"/>
  <c r="BL165" i="1" s="1"/>
  <c r="AN165" i="1"/>
  <c r="AL165" i="1"/>
  <c r="AO165" i="1"/>
  <c r="BK165" i="1"/>
  <c r="BM165" i="1" s="1"/>
  <c r="AQ165" i="1"/>
  <c r="AS165" i="1" s="1"/>
  <c r="AP165" i="1"/>
  <c r="AR165" i="1" s="1"/>
  <c r="CF196" i="1"/>
  <c r="CK196" i="1"/>
  <c r="CK171" i="1"/>
  <c r="CF171" i="1"/>
  <c r="AL241" i="1"/>
  <c r="BK241" i="1"/>
  <c r="BM241" i="1" s="1"/>
  <c r="AO241" i="1"/>
  <c r="AN241" i="1"/>
  <c r="BJ241" i="1"/>
  <c r="BL241" i="1" s="1"/>
  <c r="BH241" i="1"/>
  <c r="BI241" i="1"/>
  <c r="AP241" i="1"/>
  <c r="AR241" i="1" s="1"/>
  <c r="AQ241" i="1"/>
  <c r="AS241" i="1" s="1"/>
  <c r="CF223" i="1"/>
  <c r="CK223" i="1"/>
  <c r="AL247" i="1"/>
  <c r="AO247" i="1"/>
  <c r="AN247" i="1"/>
  <c r="BI247" i="1"/>
  <c r="BJ247" i="1"/>
  <c r="BL247" i="1" s="1"/>
  <c r="BH247" i="1"/>
  <c r="BK247" i="1"/>
  <c r="BM247" i="1" s="1"/>
  <c r="AP247" i="1"/>
  <c r="AR247" i="1" s="1"/>
  <c r="AQ247" i="1"/>
  <c r="AS247" i="1" s="1"/>
  <c r="BH185" i="1"/>
  <c r="AL185" i="1"/>
  <c r="AO185" i="1"/>
  <c r="AN185" i="1"/>
  <c r="BJ185" i="1"/>
  <c r="BL185" i="1" s="1"/>
  <c r="BK185" i="1"/>
  <c r="BM185" i="1" s="1"/>
  <c r="BI185" i="1"/>
  <c r="AP185" i="1"/>
  <c r="AR185" i="1" s="1"/>
  <c r="AQ185" i="1"/>
  <c r="AS185" i="1" s="1"/>
  <c r="CF173" i="1"/>
  <c r="CK173" i="1"/>
  <c r="CK214" i="1"/>
  <c r="CF214" i="1"/>
  <c r="BJ218" i="1"/>
  <c r="BL218" i="1" s="1"/>
  <c r="BK218" i="1"/>
  <c r="BM218" i="1" s="1"/>
  <c r="AL218" i="1"/>
  <c r="AN218" i="1"/>
  <c r="BI218" i="1"/>
  <c r="BH218" i="1"/>
  <c r="AO218" i="1"/>
  <c r="AP218" i="1"/>
  <c r="AR218" i="1" s="1"/>
  <c r="AQ218" i="1"/>
  <c r="AS218" i="1" s="1"/>
  <c r="AN157" i="1"/>
  <c r="BH157" i="1"/>
  <c r="AO157" i="1"/>
  <c r="AQ157" i="1"/>
  <c r="AS157" i="1" s="1"/>
  <c r="BK157" i="1"/>
  <c r="BM157" i="1" s="1"/>
  <c r="BI157" i="1"/>
  <c r="AP157" i="1"/>
  <c r="AR157" i="1" s="1"/>
  <c r="BJ157" i="1"/>
  <c r="BL157" i="1" s="1"/>
  <c r="AL157" i="1"/>
  <c r="K264" i="2"/>
  <c r="L263" i="2"/>
  <c r="CK216" i="1"/>
  <c r="CF216" i="1"/>
  <c r="CK249" i="1"/>
  <c r="CF166" i="1"/>
  <c r="CK166" i="1"/>
  <c r="AO254" i="1"/>
  <c r="AN254" i="1"/>
  <c r="AQ254" i="1"/>
  <c r="AS254" i="1" s="1"/>
  <c r="BK254" i="1"/>
  <c r="BM254" i="1" s="1"/>
  <c r="BI254" i="1"/>
  <c r="AP254" i="1"/>
  <c r="AR254" i="1" s="1"/>
  <c r="BJ254" i="1"/>
  <c r="BL254" i="1" s="1"/>
  <c r="BH254" i="1"/>
  <c r="AL254" i="1"/>
  <c r="BH229" i="1"/>
  <c r="BI229" i="1"/>
  <c r="BK229" i="1"/>
  <c r="BM229" i="1" s="1"/>
  <c r="AL229" i="1"/>
  <c r="AN229" i="1"/>
  <c r="BJ229" i="1"/>
  <c r="BL229" i="1" s="1"/>
  <c r="AO229" i="1"/>
  <c r="AP229" i="1"/>
  <c r="AR229" i="1" s="1"/>
  <c r="AQ229" i="1"/>
  <c r="AS229" i="1" s="1"/>
  <c r="BI219" i="1"/>
  <c r="AQ219" i="1"/>
  <c r="AS219" i="1" s="1"/>
  <c r="BH219" i="1"/>
  <c r="BJ219" i="1"/>
  <c r="BL219" i="1" s="1"/>
  <c r="AL219" i="1"/>
  <c r="AP219" i="1"/>
  <c r="AR219" i="1" s="1"/>
  <c r="AO219" i="1"/>
  <c r="AN219" i="1"/>
  <c r="BK219" i="1"/>
  <c r="BM219" i="1" s="1"/>
  <c r="CK243" i="1"/>
  <c r="CF243" i="1"/>
  <c r="AP182" i="1"/>
  <c r="AR182" i="1" s="1"/>
  <c r="AQ182" i="1"/>
  <c r="AS182" i="1" s="1"/>
  <c r="BJ182" i="1"/>
  <c r="BL182" i="1" s="1"/>
  <c r="BH182" i="1"/>
  <c r="AL182" i="1"/>
  <c r="AO182" i="1"/>
  <c r="AN182" i="1"/>
  <c r="BK182" i="1"/>
  <c r="BM182" i="1" s="1"/>
  <c r="BI182" i="1"/>
  <c r="CK244" i="1"/>
  <c r="CF165" i="1"/>
  <c r="BJ196" i="1"/>
  <c r="BL196" i="1" s="1"/>
  <c r="BI196" i="1"/>
  <c r="AO196" i="1"/>
  <c r="BH196" i="1"/>
  <c r="AN196" i="1"/>
  <c r="AL196" i="1"/>
  <c r="BK196" i="1"/>
  <c r="BM196" i="1" s="1"/>
  <c r="AQ196" i="1"/>
  <c r="AS196" i="1" s="1"/>
  <c r="AP196" i="1"/>
  <c r="AR196" i="1" s="1"/>
  <c r="CF206" i="1"/>
  <c r="CK206" i="1"/>
  <c r="BK167" i="1"/>
  <c r="BM167" i="1" s="1"/>
  <c r="BJ167" i="1"/>
  <c r="BL167" i="1" s="1"/>
  <c r="BI167" i="1"/>
  <c r="BH167" i="1"/>
  <c r="AO167" i="1"/>
  <c r="AN167" i="1"/>
  <c r="AL167" i="1"/>
  <c r="AQ167" i="1"/>
  <c r="AS167" i="1" s="1"/>
  <c r="AP167" i="1"/>
  <c r="AR167" i="1" s="1"/>
  <c r="AL223" i="1"/>
  <c r="AQ223" i="1"/>
  <c r="AS223" i="1" s="1"/>
  <c r="BJ223" i="1"/>
  <c r="BL223" i="1" s="1"/>
  <c r="AO223" i="1"/>
  <c r="AN223" i="1"/>
  <c r="AP223" i="1"/>
  <c r="AR223" i="1" s="1"/>
  <c r="BK223" i="1"/>
  <c r="BM223" i="1" s="1"/>
  <c r="BH223" i="1"/>
  <c r="BI223" i="1"/>
  <c r="CF208" i="1"/>
  <c r="CK208" i="1"/>
  <c r="CK193" i="1"/>
  <c r="CF193" i="1"/>
  <c r="CK199" i="1"/>
  <c r="CF199" i="1"/>
  <c r="CK217" i="1"/>
  <c r="CF217" i="1"/>
  <c r="BH225" i="1"/>
  <c r="BK225" i="1"/>
  <c r="BM225" i="1" s="1"/>
  <c r="AL225" i="1"/>
  <c r="BJ225" i="1"/>
  <c r="BL225" i="1" s="1"/>
  <c r="AN225" i="1"/>
  <c r="BI225" i="1"/>
  <c r="AO225" i="1"/>
  <c r="AP225" i="1"/>
  <c r="AR225" i="1" s="1"/>
  <c r="AQ225" i="1"/>
  <c r="AS225" i="1" s="1"/>
  <c r="AQ190" i="1"/>
  <c r="AS190" i="1" s="1"/>
  <c r="BJ190" i="1"/>
  <c r="BL190" i="1" s="1"/>
  <c r="AO190" i="1"/>
  <c r="AN190" i="1"/>
  <c r="BI190" i="1"/>
  <c r="BH190" i="1"/>
  <c r="BK190" i="1"/>
  <c r="BM190" i="1" s="1"/>
  <c r="AL190" i="1"/>
  <c r="AP190" i="1"/>
  <c r="AR190" i="1" s="1"/>
  <c r="AP179" i="1"/>
  <c r="AR179" i="1" s="1"/>
  <c r="BK179" i="1"/>
  <c r="BM179" i="1" s="1"/>
  <c r="AL179" i="1"/>
  <c r="AN179" i="1"/>
  <c r="BI179" i="1"/>
  <c r="BJ179" i="1"/>
  <c r="BL179" i="1" s="1"/>
  <c r="BH179" i="1"/>
  <c r="AO179" i="1"/>
  <c r="AQ179" i="1"/>
  <c r="AS179" i="1" s="1"/>
  <c r="CK190" i="1"/>
  <c r="CF190" i="1"/>
  <c r="AO166" i="1"/>
  <c r="AL166" i="1"/>
  <c r="AP166" i="1"/>
  <c r="AR166" i="1" s="1"/>
  <c r="AQ166" i="1"/>
  <c r="AS166" i="1" s="1"/>
  <c r="BK166" i="1"/>
  <c r="BM166" i="1" s="1"/>
  <c r="BI166" i="1"/>
  <c r="BH166" i="1"/>
  <c r="AN166" i="1"/>
  <c r="BJ166" i="1"/>
  <c r="BL166" i="1" s="1"/>
  <c r="CF218" i="1"/>
  <c r="BJ236" i="1"/>
  <c r="BL236" i="1" s="1"/>
  <c r="BI236" i="1"/>
  <c r="BH236" i="1"/>
  <c r="BK236" i="1"/>
  <c r="BM236" i="1" s="1"/>
  <c r="AL236" i="1"/>
  <c r="AO236" i="1"/>
  <c r="AN236" i="1"/>
  <c r="AP236" i="1"/>
  <c r="AR236" i="1" s="1"/>
  <c r="AQ236" i="1"/>
  <c r="AS236" i="1" s="1"/>
  <c r="AO244" i="1"/>
  <c r="AN244" i="1"/>
  <c r="BJ244" i="1"/>
  <c r="BL244" i="1" s="1"/>
  <c r="AL244" i="1"/>
  <c r="BH244" i="1"/>
  <c r="BI244" i="1"/>
  <c r="BK244" i="1"/>
  <c r="BM244" i="1" s="1"/>
  <c r="AQ244" i="1"/>
  <c r="AS244" i="1" s="1"/>
  <c r="AP244" i="1"/>
  <c r="AR244" i="1" s="1"/>
  <c r="AN161" i="1"/>
  <c r="BK161" i="1"/>
  <c r="BM161" i="1" s="1"/>
  <c r="AL161" i="1"/>
  <c r="AO161" i="1"/>
  <c r="BJ161" i="1"/>
  <c r="BL161" i="1" s="1"/>
  <c r="BH161" i="1"/>
  <c r="BI161" i="1"/>
  <c r="AQ161" i="1"/>
  <c r="AS161" i="1" s="1"/>
  <c r="AP161" i="1"/>
  <c r="AR161" i="1" s="1"/>
  <c r="AL199" i="1"/>
  <c r="BJ199" i="1"/>
  <c r="BL199" i="1" s="1"/>
  <c r="BK199" i="1"/>
  <c r="BM199" i="1" s="1"/>
  <c r="BI199" i="1"/>
  <c r="AO199" i="1"/>
  <c r="BH199" i="1"/>
  <c r="AN199" i="1"/>
  <c r="AP199" i="1"/>
  <c r="AR199" i="1" s="1"/>
  <c r="AQ199" i="1"/>
  <c r="AS199" i="1" s="1"/>
  <c r="CF195" i="1"/>
  <c r="BI189" i="1"/>
  <c r="BJ189" i="1"/>
  <c r="BL189" i="1" s="1"/>
  <c r="AN189" i="1"/>
  <c r="BK189" i="1"/>
  <c r="BM189" i="1" s="1"/>
  <c r="AL189" i="1"/>
  <c r="AO189" i="1"/>
  <c r="BH189" i="1"/>
  <c r="AQ189" i="1"/>
  <c r="AS189" i="1" s="1"/>
  <c r="AP189" i="1"/>
  <c r="AR189" i="1" s="1"/>
  <c r="K1048" i="2"/>
  <c r="L1047" i="2"/>
  <c r="BJ216" i="1"/>
  <c r="BL216" i="1" s="1"/>
  <c r="BH216" i="1"/>
  <c r="BK216" i="1"/>
  <c r="BM216" i="1" s="1"/>
  <c r="AL216" i="1"/>
  <c r="AN216" i="1"/>
  <c r="BI216" i="1"/>
  <c r="AO216" i="1"/>
  <c r="AQ216" i="1"/>
  <c r="AS216" i="1" s="1"/>
  <c r="AP216" i="1"/>
  <c r="AR216" i="1" s="1"/>
  <c r="AL237" i="1"/>
  <c r="AO237" i="1"/>
  <c r="AN237" i="1"/>
  <c r="BK237" i="1"/>
  <c r="BM237" i="1" s="1"/>
  <c r="BH237" i="1"/>
  <c r="BI237" i="1"/>
  <c r="BJ237" i="1"/>
  <c r="BL237" i="1" s="1"/>
  <c r="AQ237" i="1"/>
  <c r="AS237" i="1" s="1"/>
  <c r="AP237" i="1"/>
  <c r="AR237" i="1" s="1"/>
  <c r="CK179" i="1"/>
  <c r="CF179" i="1"/>
  <c r="AL201" i="1"/>
  <c r="AO201" i="1"/>
  <c r="AN201" i="1"/>
  <c r="BK201" i="1"/>
  <c r="BM201" i="1" s="1"/>
  <c r="BJ201" i="1"/>
  <c r="BL201" i="1" s="1"/>
  <c r="BI201" i="1"/>
  <c r="BH201" i="1"/>
  <c r="AQ201" i="1"/>
  <c r="AS201" i="1" s="1"/>
  <c r="AP201" i="1"/>
  <c r="AR201" i="1" s="1"/>
  <c r="CF175" i="1"/>
  <c r="CK229" i="1"/>
  <c r="CF229" i="1"/>
  <c r="CF191" i="1"/>
  <c r="CK191" i="1"/>
  <c r="BH243" i="1"/>
  <c r="AL243" i="1"/>
  <c r="BJ243" i="1"/>
  <c r="BL243" i="1" s="1"/>
  <c r="AN243" i="1"/>
  <c r="BK243" i="1"/>
  <c r="BM243" i="1" s="1"/>
  <c r="BI243" i="1"/>
  <c r="AO243" i="1"/>
  <c r="AP243" i="1"/>
  <c r="AR243" i="1" s="1"/>
  <c r="AQ243" i="1"/>
  <c r="AS243" i="1" s="1"/>
  <c r="AL205" i="1"/>
  <c r="AN205" i="1"/>
  <c r="BH205" i="1"/>
  <c r="BI205" i="1"/>
  <c r="BK205" i="1"/>
  <c r="BM205" i="1" s="1"/>
  <c r="BJ205" i="1"/>
  <c r="BL205" i="1" s="1"/>
  <c r="AO205" i="1"/>
  <c r="AP205" i="1"/>
  <c r="AR205" i="1" s="1"/>
  <c r="AQ205" i="1"/>
  <c r="AS205" i="1" s="1"/>
  <c r="BJ186" i="1"/>
  <c r="BL186" i="1" s="1"/>
  <c r="BI186" i="1"/>
  <c r="AP186" i="1"/>
  <c r="AR186" i="1" s="1"/>
  <c r="BH186" i="1"/>
  <c r="BK186" i="1"/>
  <c r="BM186" i="1" s="1"/>
  <c r="AL186" i="1"/>
  <c r="AN186" i="1"/>
  <c r="AO186" i="1"/>
  <c r="AQ186" i="1"/>
  <c r="AS186" i="1" s="1"/>
  <c r="BH206" i="1"/>
  <c r="AO206" i="1"/>
  <c r="AN206" i="1"/>
  <c r="AL206" i="1"/>
  <c r="AQ206" i="1"/>
  <c r="AS206" i="1" s="1"/>
  <c r="AP206" i="1"/>
  <c r="AR206" i="1" s="1"/>
  <c r="BJ206" i="1"/>
  <c r="BL206" i="1" s="1"/>
  <c r="BK206" i="1"/>
  <c r="BM206" i="1" s="1"/>
  <c r="BI206" i="1"/>
  <c r="CF241" i="1"/>
  <c r="CF187" i="1"/>
  <c r="CK187" i="1"/>
  <c r="CK189" i="1"/>
  <c r="K695" i="2"/>
  <c r="L694" i="2"/>
  <c r="CK201" i="1"/>
  <c r="CF201" i="1"/>
  <c r="CK232" i="1"/>
  <c r="CF232" i="1"/>
  <c r="CK237" i="1"/>
  <c r="CF237" i="1"/>
  <c r="CK218" i="1"/>
  <c r="AN191" i="1"/>
  <c r="BH191" i="1"/>
  <c r="AL191" i="1"/>
  <c r="AP191" i="1"/>
  <c r="AR191" i="1" s="1"/>
  <c r="AQ191" i="1"/>
  <c r="AS191" i="1" s="1"/>
  <c r="BJ191" i="1"/>
  <c r="BL191" i="1" s="1"/>
  <c r="BK191" i="1"/>
  <c r="BM191" i="1" s="1"/>
  <c r="AO191" i="1"/>
  <c r="BI191" i="1"/>
  <c r="CF235" i="1"/>
  <c r="CK235" i="1"/>
  <c r="CK252" i="1"/>
  <c r="CP252" i="1" s="1"/>
  <c r="CF169" i="1"/>
  <c r="CK169" i="1"/>
  <c r="CK241" i="1"/>
  <c r="BJ239" i="1"/>
  <c r="BL239" i="1" s="1"/>
  <c r="BI239" i="1"/>
  <c r="BK239" i="1"/>
  <c r="BM239" i="1" s="1"/>
  <c r="BH239" i="1"/>
  <c r="AL239" i="1"/>
  <c r="AO239" i="1"/>
  <c r="AN239" i="1"/>
  <c r="AP239" i="1"/>
  <c r="AR239" i="1" s="1"/>
  <c r="AQ239" i="1"/>
  <c r="AS239" i="1" s="1"/>
  <c r="AQ208" i="1"/>
  <c r="AS208" i="1" s="1"/>
  <c r="BJ208" i="1"/>
  <c r="BL208" i="1" s="1"/>
  <c r="BH208" i="1"/>
  <c r="BK208" i="1"/>
  <c r="BM208" i="1" s="1"/>
  <c r="AP208" i="1"/>
  <c r="AR208" i="1" s="1"/>
  <c r="BI208" i="1"/>
  <c r="AL208" i="1"/>
  <c r="AO208" i="1"/>
  <c r="AN208" i="1"/>
  <c r="BK193" i="1"/>
  <c r="BM193" i="1" s="1"/>
  <c r="BJ193" i="1"/>
  <c r="BL193" i="1" s="1"/>
  <c r="BI193" i="1"/>
  <c r="AO193" i="1"/>
  <c r="AN193" i="1"/>
  <c r="BH193" i="1"/>
  <c r="AL193" i="1"/>
  <c r="AQ193" i="1"/>
  <c r="AS193" i="1" s="1"/>
  <c r="AP193" i="1"/>
  <c r="AR193" i="1" s="1"/>
  <c r="CF185" i="1"/>
  <c r="CK185" i="1"/>
  <c r="BJ245" i="1"/>
  <c r="BL245" i="1" s="1"/>
  <c r="BK245" i="1"/>
  <c r="BM245" i="1" s="1"/>
  <c r="AL245" i="1"/>
  <c r="AN245" i="1"/>
  <c r="BI245" i="1"/>
  <c r="BH245" i="1"/>
  <c r="AO245" i="1"/>
  <c r="AP245" i="1"/>
  <c r="AR245" i="1" s="1"/>
  <c r="AQ245" i="1"/>
  <c r="AS245" i="1" s="1"/>
  <c r="CK194" i="1"/>
  <c r="CF194" i="1"/>
  <c r="CF189" i="1"/>
  <c r="BH214" i="1"/>
  <c r="BJ214" i="1"/>
  <c r="BL214" i="1" s="1"/>
  <c r="AN214" i="1"/>
  <c r="BI214" i="1"/>
  <c r="BK214" i="1"/>
  <c r="BM214" i="1" s="1"/>
  <c r="AL214" i="1"/>
  <c r="AO214" i="1"/>
  <c r="AP214" i="1"/>
  <c r="AR214" i="1" s="1"/>
  <c r="AQ214" i="1"/>
  <c r="AS214" i="1" s="1"/>
  <c r="CP237" i="1" l="1"/>
  <c r="CP203" i="1"/>
  <c r="CP202" i="1"/>
  <c r="CP178" i="1"/>
  <c r="CP221" i="1"/>
  <c r="CP249" i="1"/>
  <c r="CP207" i="1"/>
  <c r="BU255" i="1"/>
  <c r="BD255" i="1"/>
  <c r="AX166" i="1"/>
  <c r="BR204" i="1"/>
  <c r="AX219" i="1"/>
  <c r="AX211" i="1"/>
  <c r="BR233" i="1"/>
  <c r="BN204" i="1"/>
  <c r="BX204" i="1" s="1"/>
  <c r="AX242" i="1"/>
  <c r="BN185" i="1"/>
  <c r="BR165" i="1"/>
  <c r="BN158" i="1"/>
  <c r="AX250" i="1"/>
  <c r="BR222" i="1"/>
  <c r="BN236" i="1"/>
  <c r="BR236" i="1"/>
  <c r="BX255" i="1"/>
  <c r="BY255" i="1" s="1"/>
  <c r="BR197" i="1"/>
  <c r="BN197" i="1"/>
  <c r="BX197" i="1" s="1"/>
  <c r="AX223" i="1"/>
  <c r="BA255" i="1"/>
  <c r="BN213" i="1"/>
  <c r="BN203" i="1"/>
  <c r="BN159" i="1"/>
  <c r="BN231" i="1"/>
  <c r="AX232" i="1"/>
  <c r="AT195" i="1"/>
  <c r="AT208" i="1"/>
  <c r="AX208" i="1"/>
  <c r="AX191" i="1"/>
  <c r="AT191" i="1"/>
  <c r="BT243" i="1"/>
  <c r="BW243" i="1"/>
  <c r="BC243" i="1"/>
  <c r="AZ243" i="1"/>
  <c r="CP179" i="1"/>
  <c r="BC216" i="1"/>
  <c r="BW216" i="1"/>
  <c r="AZ216" i="1"/>
  <c r="BT216" i="1"/>
  <c r="CP190" i="1"/>
  <c r="AX190" i="1"/>
  <c r="AT190" i="1"/>
  <c r="BT167" i="1"/>
  <c r="BC167" i="1"/>
  <c r="BW167" i="1"/>
  <c r="AZ167" i="1"/>
  <c r="AT219" i="1"/>
  <c r="BR229" i="1"/>
  <c r="K265" i="2"/>
  <c r="L264" i="2"/>
  <c r="BT218" i="1"/>
  <c r="AZ218" i="1"/>
  <c r="BW218" i="1"/>
  <c r="BC218" i="1"/>
  <c r="AX241" i="1"/>
  <c r="AT241" i="1"/>
  <c r="BR158" i="1"/>
  <c r="BU158" i="1" s="1"/>
  <c r="AX170" i="1"/>
  <c r="AT170" i="1"/>
  <c r="AX233" i="1"/>
  <c r="AT233" i="1"/>
  <c r="BT220" i="1"/>
  <c r="BW220" i="1"/>
  <c r="AZ220" i="1"/>
  <c r="BC220" i="1"/>
  <c r="CP211" i="1"/>
  <c r="BR212" i="1"/>
  <c r="BN212" i="1"/>
  <c r="BN240" i="1"/>
  <c r="BR240" i="1"/>
  <c r="CP233" i="1"/>
  <c r="BR221" i="1"/>
  <c r="BN221" i="1"/>
  <c r="BT251" i="1"/>
  <c r="BW251" i="1"/>
  <c r="BC251" i="1"/>
  <c r="AZ251" i="1"/>
  <c r="CP251" i="1"/>
  <c r="CP227" i="1"/>
  <c r="BN234" i="1"/>
  <c r="BT228" i="1"/>
  <c r="BC228" i="1"/>
  <c r="AZ228" i="1"/>
  <c r="BW228" i="1"/>
  <c r="BR213" i="1"/>
  <c r="BU213" i="1" s="1"/>
  <c r="BT168" i="1"/>
  <c r="BW168" i="1"/>
  <c r="BC168" i="1"/>
  <c r="AZ168" i="1"/>
  <c r="BT180" i="1"/>
  <c r="BW180" i="1"/>
  <c r="BC180" i="1"/>
  <c r="AZ180" i="1"/>
  <c r="BN245" i="1"/>
  <c r="BR245" i="1"/>
  <c r="AX236" i="1"/>
  <c r="AT236" i="1"/>
  <c r="BT254" i="1"/>
  <c r="BW254" i="1"/>
  <c r="AZ254" i="1"/>
  <c r="BC254" i="1"/>
  <c r="BT157" i="1"/>
  <c r="AZ157" i="1"/>
  <c r="BC157" i="1"/>
  <c r="BW157" i="1"/>
  <c r="CP254" i="1"/>
  <c r="AX174" i="1"/>
  <c r="AT174" i="1"/>
  <c r="AX173" i="1"/>
  <c r="AT173" i="1"/>
  <c r="CP164" i="1"/>
  <c r="BN178" i="1"/>
  <c r="BR178" i="1"/>
  <c r="AX212" i="1"/>
  <c r="AT212" i="1"/>
  <c r="BR194" i="1"/>
  <c r="BN194" i="1"/>
  <c r="AX222" i="1"/>
  <c r="AT222" i="1"/>
  <c r="BR251" i="1"/>
  <c r="BN251" i="1"/>
  <c r="CP231" i="1"/>
  <c r="BT207" i="1"/>
  <c r="BC207" i="1"/>
  <c r="AZ207" i="1"/>
  <c r="BW207" i="1"/>
  <c r="AX230" i="1"/>
  <c r="AT230" i="1"/>
  <c r="CP204" i="1"/>
  <c r="AX234" i="1"/>
  <c r="AT234" i="1"/>
  <c r="BT217" i="1"/>
  <c r="BW217" i="1"/>
  <c r="BC217" i="1"/>
  <c r="AZ217" i="1"/>
  <c r="BT159" i="1"/>
  <c r="AZ159" i="1"/>
  <c r="BC159" i="1"/>
  <c r="BW159" i="1"/>
  <c r="BR168" i="1"/>
  <c r="BN168" i="1"/>
  <c r="AX180" i="1"/>
  <c r="AT180" i="1"/>
  <c r="AZ208" i="1"/>
  <c r="BC208" i="1"/>
  <c r="BW208" i="1"/>
  <c r="BT208" i="1"/>
  <c r="BR216" i="1"/>
  <c r="BN216" i="1"/>
  <c r="CP165" i="1"/>
  <c r="BN254" i="1"/>
  <c r="BR254" i="1"/>
  <c r="CP247" i="1"/>
  <c r="AT211" i="1"/>
  <c r="BT233" i="1"/>
  <c r="AZ233" i="1"/>
  <c r="BC233" i="1"/>
  <c r="BW233" i="1"/>
  <c r="BN220" i="1"/>
  <c r="BR220" i="1"/>
  <c r="CP228" i="1"/>
  <c r="AX227" i="1"/>
  <c r="AT227" i="1"/>
  <c r="AX246" i="1"/>
  <c r="AT246" i="1"/>
  <c r="CP176" i="1"/>
  <c r="CP234" i="1"/>
  <c r="BT232" i="1"/>
  <c r="BW232" i="1"/>
  <c r="BC232" i="1"/>
  <c r="AZ232" i="1"/>
  <c r="BR224" i="1"/>
  <c r="BN224" i="1"/>
  <c r="AX184" i="1"/>
  <c r="AT184" i="1"/>
  <c r="AX213" i="1"/>
  <c r="AT213" i="1"/>
  <c r="AX204" i="1"/>
  <c r="AT204" i="1"/>
  <c r="BR253" i="1"/>
  <c r="BN253" i="1"/>
  <c r="AX169" i="1"/>
  <c r="AT169" i="1"/>
  <c r="BR180" i="1"/>
  <c r="BN180" i="1"/>
  <c r="BW206" i="1"/>
  <c r="BT206" i="1"/>
  <c r="BC206" i="1"/>
  <c r="AZ206" i="1"/>
  <c r="CP191" i="1"/>
  <c r="BN167" i="1"/>
  <c r="BR167" i="1"/>
  <c r="BT219" i="1"/>
  <c r="BW219" i="1"/>
  <c r="AZ219" i="1"/>
  <c r="BC219" i="1"/>
  <c r="CP214" i="1"/>
  <c r="BN247" i="1"/>
  <c r="BR247" i="1"/>
  <c r="BT241" i="1"/>
  <c r="BC241" i="1"/>
  <c r="AZ241" i="1"/>
  <c r="BW241" i="1"/>
  <c r="BT170" i="1"/>
  <c r="AZ170" i="1"/>
  <c r="BW170" i="1"/>
  <c r="BC170" i="1"/>
  <c r="BT250" i="1"/>
  <c r="BC250" i="1"/>
  <c r="AZ250" i="1"/>
  <c r="BW250" i="1"/>
  <c r="BT212" i="1"/>
  <c r="AZ212" i="1"/>
  <c r="BC212" i="1"/>
  <c r="BW212" i="1"/>
  <c r="BT240" i="1"/>
  <c r="BW240" i="1"/>
  <c r="AZ240" i="1"/>
  <c r="BC240" i="1"/>
  <c r="AX200" i="1"/>
  <c r="AT200" i="1"/>
  <c r="CP213" i="1"/>
  <c r="BN207" i="1"/>
  <c r="BR207" i="1"/>
  <c r="BN232" i="1"/>
  <c r="BR232" i="1"/>
  <c r="BT234" i="1"/>
  <c r="BW234" i="1"/>
  <c r="BC234" i="1"/>
  <c r="AZ234" i="1"/>
  <c r="BT184" i="1"/>
  <c r="BW184" i="1"/>
  <c r="AZ184" i="1"/>
  <c r="BC184" i="1"/>
  <c r="BN169" i="1"/>
  <c r="BR169" i="1"/>
  <c r="BT161" i="1"/>
  <c r="BW161" i="1"/>
  <c r="BC161" i="1"/>
  <c r="AZ161" i="1"/>
  <c r="AX161" i="1"/>
  <c r="AT161" i="1"/>
  <c r="CP169" i="1"/>
  <c r="CP232" i="1"/>
  <c r="AX206" i="1"/>
  <c r="AT206" i="1"/>
  <c r="CP229" i="1"/>
  <c r="AX199" i="1"/>
  <c r="AT199" i="1"/>
  <c r="BN179" i="1"/>
  <c r="BR179" i="1"/>
  <c r="CP208" i="1"/>
  <c r="CP171" i="1"/>
  <c r="AT171" i="1"/>
  <c r="AX171" i="1"/>
  <c r="AX249" i="1"/>
  <c r="AT249" i="1"/>
  <c r="BW174" i="1"/>
  <c r="AZ174" i="1"/>
  <c r="BC174" i="1"/>
  <c r="BT174" i="1"/>
  <c r="BR170" i="1"/>
  <c r="BN170" i="1"/>
  <c r="CP238" i="1"/>
  <c r="AX238" i="1"/>
  <c r="AT238" i="1"/>
  <c r="BT211" i="1"/>
  <c r="BW211" i="1"/>
  <c r="BC211" i="1"/>
  <c r="AZ211" i="1"/>
  <c r="AX178" i="1"/>
  <c r="AT178" i="1"/>
  <c r="AX220" i="1"/>
  <c r="AT220" i="1"/>
  <c r="AT250" i="1"/>
  <c r="AX194" i="1"/>
  <c r="AT194" i="1"/>
  <c r="BT227" i="1"/>
  <c r="AZ227" i="1"/>
  <c r="BW227" i="1"/>
  <c r="BC227" i="1"/>
  <c r="AX163" i="1"/>
  <c r="AT163" i="1"/>
  <c r="CP177" i="1"/>
  <c r="CP240" i="1"/>
  <c r="CP181" i="1"/>
  <c r="CP230" i="1"/>
  <c r="BT204" i="1"/>
  <c r="BC204" i="1"/>
  <c r="AZ204" i="1"/>
  <c r="BW204" i="1"/>
  <c r="CP197" i="1"/>
  <c r="BT169" i="1"/>
  <c r="BC169" i="1"/>
  <c r="BW169" i="1"/>
  <c r="AZ169" i="1"/>
  <c r="C87" i="3"/>
  <c r="AC87" i="3"/>
  <c r="A88" i="3"/>
  <c r="BT171" i="1"/>
  <c r="BC171" i="1"/>
  <c r="BW171" i="1"/>
  <c r="AZ171" i="1"/>
  <c r="BR246" i="1"/>
  <c r="BN246" i="1"/>
  <c r="BR235" i="1"/>
  <c r="BN235" i="1"/>
  <c r="BN243" i="1"/>
  <c r="K1049" i="2"/>
  <c r="L1048" i="2"/>
  <c r="BN199" i="1"/>
  <c r="BR199" i="1"/>
  <c r="BN219" i="1"/>
  <c r="BR219" i="1"/>
  <c r="CP215" i="1"/>
  <c r="BN183" i="1"/>
  <c r="BR183" i="1"/>
  <c r="BR174" i="1"/>
  <c r="BN174" i="1"/>
  <c r="CP250" i="1"/>
  <c r="AX226" i="1"/>
  <c r="AT226" i="1"/>
  <c r="CP163" i="1"/>
  <c r="BR250" i="1"/>
  <c r="BN250" i="1"/>
  <c r="BT194" i="1"/>
  <c r="AZ194" i="1"/>
  <c r="BC194" i="1"/>
  <c r="BW194" i="1"/>
  <c r="AX251" i="1"/>
  <c r="AT251" i="1"/>
  <c r="BR217" i="1"/>
  <c r="BN217" i="1"/>
  <c r="CP245" i="1"/>
  <c r="CP222" i="1"/>
  <c r="AX168" i="1"/>
  <c r="AT168" i="1"/>
  <c r="BN227" i="1"/>
  <c r="BR227" i="1"/>
  <c r="BT214" i="1"/>
  <c r="BC214" i="1"/>
  <c r="BW214" i="1"/>
  <c r="AZ214" i="1"/>
  <c r="AX214" i="1"/>
  <c r="AT214" i="1"/>
  <c r="CP185" i="1"/>
  <c r="BR208" i="1"/>
  <c r="BN208" i="1"/>
  <c r="CP201" i="1"/>
  <c r="BN206" i="1"/>
  <c r="BR206" i="1"/>
  <c r="BR205" i="1"/>
  <c r="BN205" i="1"/>
  <c r="CP175" i="1"/>
  <c r="BN237" i="1"/>
  <c r="BR237" i="1"/>
  <c r="CP218" i="1"/>
  <c r="BN223" i="1"/>
  <c r="BR223" i="1"/>
  <c r="AX182" i="1"/>
  <c r="AT182" i="1"/>
  <c r="CP173" i="1"/>
  <c r="AX247" i="1"/>
  <c r="AT247" i="1"/>
  <c r="CP244" i="1"/>
  <c r="BN249" i="1"/>
  <c r="BT178" i="1"/>
  <c r="AZ178" i="1"/>
  <c r="BW178" i="1"/>
  <c r="BC178" i="1"/>
  <c r="BR242" i="1"/>
  <c r="BN242" i="1"/>
  <c r="BV255" i="1"/>
  <c r="BT222" i="1"/>
  <c r="AZ222" i="1"/>
  <c r="BW222" i="1"/>
  <c r="BC222" i="1"/>
  <c r="AT232" i="1"/>
  <c r="AX198" i="1"/>
  <c r="AT198" i="1"/>
  <c r="AX217" i="1"/>
  <c r="AT217" i="1"/>
  <c r="AX224" i="1"/>
  <c r="AT224" i="1"/>
  <c r="BT210" i="1"/>
  <c r="BW210" i="1"/>
  <c r="BC210" i="1"/>
  <c r="AZ210" i="1"/>
  <c r="BT236" i="1"/>
  <c r="BW236" i="1"/>
  <c r="AZ236" i="1"/>
  <c r="BC236" i="1"/>
  <c r="CP235" i="1"/>
  <c r="AX205" i="1"/>
  <c r="AT205" i="1"/>
  <c r="AX179" i="1"/>
  <c r="AT179" i="1"/>
  <c r="CP196" i="1"/>
  <c r="L79" i="2"/>
  <c r="K80" i="2"/>
  <c r="BT183" i="1"/>
  <c r="AZ183" i="1"/>
  <c r="BC183" i="1"/>
  <c r="BW183" i="1"/>
  <c r="BT249" i="1"/>
  <c r="BW249" i="1"/>
  <c r="BC249" i="1"/>
  <c r="AZ249" i="1"/>
  <c r="CP253" i="1"/>
  <c r="BT238" i="1"/>
  <c r="BW238" i="1"/>
  <c r="AZ238" i="1"/>
  <c r="BC238" i="1"/>
  <c r="BT163" i="1"/>
  <c r="BC163" i="1"/>
  <c r="AZ163" i="1"/>
  <c r="BW163" i="1"/>
  <c r="CP246" i="1"/>
  <c r="AX197" i="1"/>
  <c r="AT197" i="1"/>
  <c r="BN222" i="1"/>
  <c r="AX160" i="1"/>
  <c r="AT160" i="1"/>
  <c r="CP200" i="1"/>
  <c r="BT177" i="1"/>
  <c r="AZ177" i="1"/>
  <c r="BC177" i="1"/>
  <c r="BW177" i="1"/>
  <c r="AX181" i="1"/>
  <c r="AT181" i="1"/>
  <c r="CP157" i="1"/>
  <c r="BN184" i="1"/>
  <c r="BR184" i="1"/>
  <c r="CP210" i="1"/>
  <c r="BR172" i="1"/>
  <c r="BN172" i="1"/>
  <c r="AX218" i="1"/>
  <c r="AT218" i="1"/>
  <c r="BR214" i="1"/>
  <c r="BN214" i="1"/>
  <c r="BT205" i="1"/>
  <c r="AZ205" i="1"/>
  <c r="BW205" i="1"/>
  <c r="BC205" i="1"/>
  <c r="AX237" i="1"/>
  <c r="AT237" i="1"/>
  <c r="BN244" i="1"/>
  <c r="BR244" i="1"/>
  <c r="AT166" i="1"/>
  <c r="BD166" i="1" s="1"/>
  <c r="BT179" i="1"/>
  <c r="AZ179" i="1"/>
  <c r="BC179" i="1"/>
  <c r="BW179" i="1"/>
  <c r="AX225" i="1"/>
  <c r="AT225" i="1"/>
  <c r="CP206" i="1"/>
  <c r="BC182" i="1"/>
  <c r="BT182" i="1"/>
  <c r="BW182" i="1"/>
  <c r="AZ182" i="1"/>
  <c r="AX254" i="1"/>
  <c r="AT254" i="1"/>
  <c r="BN157" i="1"/>
  <c r="BR157" i="1"/>
  <c r="BT247" i="1"/>
  <c r="BC247" i="1"/>
  <c r="BW247" i="1"/>
  <c r="AZ247" i="1"/>
  <c r="CP236" i="1"/>
  <c r="AX195" i="1"/>
  <c r="BN238" i="1"/>
  <c r="BR238" i="1"/>
  <c r="BN162" i="1"/>
  <c r="BR162" i="1"/>
  <c r="AT242" i="1"/>
  <c r="AX240" i="1"/>
  <c r="AT240" i="1"/>
  <c r="BR163" i="1"/>
  <c r="BN163" i="1"/>
  <c r="BT197" i="1"/>
  <c r="AZ197" i="1"/>
  <c r="BW197" i="1"/>
  <c r="BC197" i="1"/>
  <c r="AX164" i="1"/>
  <c r="AT164" i="1"/>
  <c r="CP225" i="1"/>
  <c r="K1322" i="2"/>
  <c r="L1321" i="2"/>
  <c r="BR188" i="1"/>
  <c r="BN188" i="1"/>
  <c r="BT198" i="1"/>
  <c r="BW198" i="1"/>
  <c r="BC198" i="1"/>
  <c r="AZ198" i="1"/>
  <c r="BW224" i="1"/>
  <c r="AZ224" i="1"/>
  <c r="BC224" i="1"/>
  <c r="BT224" i="1"/>
  <c r="AX210" i="1"/>
  <c r="AT210" i="1"/>
  <c r="AX172" i="1"/>
  <c r="AT172" i="1"/>
  <c r="AX216" i="1"/>
  <c r="AT216" i="1"/>
  <c r="AX167" i="1"/>
  <c r="AT167" i="1"/>
  <c r="K696" i="2"/>
  <c r="L695" i="2"/>
  <c r="AX186" i="1"/>
  <c r="AT186" i="1"/>
  <c r="BN201" i="1"/>
  <c r="BR201" i="1"/>
  <c r="BT244" i="1"/>
  <c r="BC244" i="1"/>
  <c r="BW244" i="1"/>
  <c r="AZ244" i="1"/>
  <c r="BN166" i="1"/>
  <c r="BR166" i="1"/>
  <c r="AT223" i="1"/>
  <c r="BR182" i="1"/>
  <c r="BN182" i="1"/>
  <c r="AX157" i="1"/>
  <c r="AT157" i="1"/>
  <c r="BR185" i="1"/>
  <c r="BU185" i="1" s="1"/>
  <c r="CP182" i="1"/>
  <c r="BR249" i="1"/>
  <c r="BT195" i="1"/>
  <c r="BC195" i="1"/>
  <c r="AZ195" i="1"/>
  <c r="BW195" i="1"/>
  <c r="AX202" i="1"/>
  <c r="AT202" i="1"/>
  <c r="BR226" i="1"/>
  <c r="BN226" i="1"/>
  <c r="BN215" i="1"/>
  <c r="AX248" i="1"/>
  <c r="AT248" i="1"/>
  <c r="AX176" i="1"/>
  <c r="AT176" i="1"/>
  <c r="CP220" i="1"/>
  <c r="BT164" i="1"/>
  <c r="AZ164" i="1"/>
  <c r="BW164" i="1"/>
  <c r="BC164" i="1"/>
  <c r="BT160" i="1"/>
  <c r="BW160" i="1"/>
  <c r="AZ160" i="1"/>
  <c r="BC160" i="1"/>
  <c r="BR198" i="1"/>
  <c r="BN198" i="1"/>
  <c r="BT181" i="1"/>
  <c r="AZ181" i="1"/>
  <c r="BW181" i="1"/>
  <c r="BC181" i="1"/>
  <c r="BN210" i="1"/>
  <c r="BR210" i="1"/>
  <c r="AX192" i="1"/>
  <c r="AT192" i="1"/>
  <c r="CP168" i="1"/>
  <c r="CP224" i="1"/>
  <c r="BT175" i="1"/>
  <c r="BW175" i="1"/>
  <c r="BC175" i="1"/>
  <c r="AZ175" i="1"/>
  <c r="BR191" i="1"/>
  <c r="BN191" i="1"/>
  <c r="BN211" i="1"/>
  <c r="BR211" i="1"/>
  <c r="AX228" i="1"/>
  <c r="AT228" i="1"/>
  <c r="CP194" i="1"/>
  <c r="BT237" i="1"/>
  <c r="AZ237" i="1"/>
  <c r="BW237" i="1"/>
  <c r="BC237" i="1"/>
  <c r="BR189" i="1"/>
  <c r="BN189" i="1"/>
  <c r="BT199" i="1"/>
  <c r="AZ199" i="1"/>
  <c r="BW199" i="1"/>
  <c r="BC199" i="1"/>
  <c r="BT225" i="1"/>
  <c r="AZ225" i="1"/>
  <c r="BC225" i="1"/>
  <c r="BW225" i="1"/>
  <c r="CP223" i="1"/>
  <c r="BN165" i="1"/>
  <c r="AX183" i="1"/>
  <c r="AT183" i="1"/>
  <c r="BR195" i="1"/>
  <c r="BN195" i="1"/>
  <c r="BN209" i="1"/>
  <c r="BR209" i="1"/>
  <c r="CP161" i="1"/>
  <c r="BT242" i="1"/>
  <c r="BC242" i="1"/>
  <c r="AZ242" i="1"/>
  <c r="BW242" i="1"/>
  <c r="CP248" i="1"/>
  <c r="CP186" i="1"/>
  <c r="BR203" i="1"/>
  <c r="BU203" i="1" s="1"/>
  <c r="BN177" i="1"/>
  <c r="BR177" i="1"/>
  <c r="CP192" i="1"/>
  <c r="BT172" i="1"/>
  <c r="AZ172" i="1"/>
  <c r="BW172" i="1"/>
  <c r="BC172" i="1"/>
  <c r="BN252" i="1"/>
  <c r="BR252" i="1"/>
  <c r="BT201" i="1"/>
  <c r="AZ201" i="1"/>
  <c r="BW201" i="1"/>
  <c r="BC201" i="1"/>
  <c r="CP199" i="1"/>
  <c r="CP195" i="1"/>
  <c r="AX193" i="1"/>
  <c r="AT193" i="1"/>
  <c r="AX244" i="1"/>
  <c r="AT244" i="1"/>
  <c r="CP166" i="1"/>
  <c r="AX158" i="1"/>
  <c r="AT158" i="1"/>
  <c r="CP212" i="1"/>
  <c r="BT173" i="1"/>
  <c r="BW173" i="1"/>
  <c r="BC173" i="1"/>
  <c r="AZ173" i="1"/>
  <c r="CP242" i="1"/>
  <c r="AX209" i="1"/>
  <c r="AT209" i="1"/>
  <c r="BR202" i="1"/>
  <c r="BN202" i="1"/>
  <c r="BT226" i="1"/>
  <c r="AZ226" i="1"/>
  <c r="BW226" i="1"/>
  <c r="BC226" i="1"/>
  <c r="BT215" i="1"/>
  <c r="BW215" i="1"/>
  <c r="AZ215" i="1"/>
  <c r="BC215" i="1"/>
  <c r="CP158" i="1"/>
  <c r="BR231" i="1"/>
  <c r="BE255" i="1"/>
  <c r="BC248" i="1"/>
  <c r="AZ248" i="1"/>
  <c r="BT248" i="1"/>
  <c r="BW248" i="1"/>
  <c r="AX162" i="1"/>
  <c r="AT162" i="1"/>
  <c r="CP160" i="1"/>
  <c r="BR164" i="1"/>
  <c r="BN164" i="1"/>
  <c r="K457" i="2"/>
  <c r="L456" i="2"/>
  <c r="CP184" i="1"/>
  <c r="AX188" i="1"/>
  <c r="AT188" i="1"/>
  <c r="BN192" i="1"/>
  <c r="BR192" i="1"/>
  <c r="CP205" i="1"/>
  <c r="CP180" i="1"/>
  <c r="BT192" i="1"/>
  <c r="AZ192" i="1"/>
  <c r="BW192" i="1"/>
  <c r="BC192" i="1"/>
  <c r="AX245" i="1"/>
  <c r="AT245" i="1"/>
  <c r="BT193" i="1"/>
  <c r="BC193" i="1"/>
  <c r="AZ193" i="1"/>
  <c r="BW193" i="1"/>
  <c r="BN193" i="1"/>
  <c r="BR193" i="1"/>
  <c r="CP187" i="1"/>
  <c r="BN186" i="1"/>
  <c r="BR186" i="1"/>
  <c r="BR243" i="1"/>
  <c r="BU243" i="1" s="1"/>
  <c r="BT189" i="1"/>
  <c r="BW189" i="1"/>
  <c r="AZ189" i="1"/>
  <c r="BC189" i="1"/>
  <c r="BC190" i="1"/>
  <c r="AZ190" i="1"/>
  <c r="BW190" i="1"/>
  <c r="BT190" i="1"/>
  <c r="BN225" i="1"/>
  <c r="BR225" i="1"/>
  <c r="BT196" i="1"/>
  <c r="BW196" i="1"/>
  <c r="BC196" i="1"/>
  <c r="AZ196" i="1"/>
  <c r="AX229" i="1"/>
  <c r="AT229" i="1"/>
  <c r="AX185" i="1"/>
  <c r="AT185" i="1"/>
  <c r="BT165" i="1"/>
  <c r="BW165" i="1"/>
  <c r="AZ165" i="1"/>
  <c r="BC165" i="1"/>
  <c r="K868" i="2"/>
  <c r="L867" i="2"/>
  <c r="BN173" i="1"/>
  <c r="BR173" i="1"/>
  <c r="CP162" i="1"/>
  <c r="AX215" i="1"/>
  <c r="AT215" i="1"/>
  <c r="AX231" i="1"/>
  <c r="AT231" i="1"/>
  <c r="BB255" i="1"/>
  <c r="AZ176" i="1"/>
  <c r="BC176" i="1"/>
  <c r="BT176" i="1"/>
  <c r="BW176" i="1"/>
  <c r="AZ200" i="1"/>
  <c r="BC200" i="1"/>
  <c r="BW200" i="1"/>
  <c r="BT200" i="1"/>
  <c r="BT246" i="1"/>
  <c r="BW246" i="1"/>
  <c r="BC246" i="1"/>
  <c r="AZ246" i="1"/>
  <c r="AX221" i="1"/>
  <c r="AT221" i="1"/>
  <c r="AX203" i="1"/>
  <c r="AT203" i="1"/>
  <c r="AX235" i="1"/>
  <c r="AT235" i="1"/>
  <c r="AX177" i="1"/>
  <c r="AT177" i="1"/>
  <c r="AX159" i="1"/>
  <c r="AT159" i="1"/>
  <c r="BN187" i="1"/>
  <c r="BR187" i="1"/>
  <c r="AX252" i="1"/>
  <c r="AT252" i="1"/>
  <c r="BT187" i="1"/>
  <c r="BW187" i="1"/>
  <c r="BC187" i="1"/>
  <c r="AZ187" i="1"/>
  <c r="CP193" i="1"/>
  <c r="CP189" i="1"/>
  <c r="BT239" i="1"/>
  <c r="BC239" i="1"/>
  <c r="BW239" i="1"/>
  <c r="AZ239" i="1"/>
  <c r="CP241" i="1"/>
  <c r="AX201" i="1"/>
  <c r="AT201" i="1"/>
  <c r="CP217" i="1"/>
  <c r="BT223" i="1"/>
  <c r="BC223" i="1"/>
  <c r="AZ223" i="1"/>
  <c r="BW223" i="1"/>
  <c r="AX196" i="1"/>
  <c r="AT196" i="1"/>
  <c r="CP243" i="1"/>
  <c r="BT229" i="1"/>
  <c r="BW229" i="1"/>
  <c r="AZ229" i="1"/>
  <c r="BC229" i="1"/>
  <c r="CP216" i="1"/>
  <c r="BN218" i="1"/>
  <c r="BR218" i="1"/>
  <c r="AX165" i="1"/>
  <c r="AT165" i="1"/>
  <c r="BT158" i="1"/>
  <c r="BW158" i="1"/>
  <c r="AZ158" i="1"/>
  <c r="BC158" i="1"/>
  <c r="BR171" i="1"/>
  <c r="BN171" i="1"/>
  <c r="CP219" i="1"/>
  <c r="CP172" i="1"/>
  <c r="BR215" i="1"/>
  <c r="BU215" i="1" s="1"/>
  <c r="BT162" i="1"/>
  <c r="BW162" i="1"/>
  <c r="BC162" i="1"/>
  <c r="AZ162" i="1"/>
  <c r="BN200" i="1"/>
  <c r="BR200" i="1"/>
  <c r="BR160" i="1"/>
  <c r="BN160" i="1"/>
  <c r="BT230" i="1"/>
  <c r="BW230" i="1"/>
  <c r="BC230" i="1"/>
  <c r="AZ230" i="1"/>
  <c r="BT188" i="1"/>
  <c r="AZ188" i="1"/>
  <c r="BC188" i="1"/>
  <c r="BW188" i="1"/>
  <c r="BN181" i="1"/>
  <c r="BR181" i="1"/>
  <c r="BR159" i="1"/>
  <c r="BR228" i="1"/>
  <c r="BN228" i="1"/>
  <c r="BT213" i="1"/>
  <c r="AZ213" i="1"/>
  <c r="BW213" i="1"/>
  <c r="BC213" i="1"/>
  <c r="AX253" i="1"/>
  <c r="AT253" i="1"/>
  <c r="AX187" i="1"/>
  <c r="AT187" i="1"/>
  <c r="AX175" i="1"/>
  <c r="AT175" i="1"/>
  <c r="BT245" i="1"/>
  <c r="AZ245" i="1"/>
  <c r="BW245" i="1"/>
  <c r="BC245" i="1"/>
  <c r="BT186" i="1"/>
  <c r="BW186" i="1"/>
  <c r="BC186" i="1"/>
  <c r="AZ186" i="1"/>
  <c r="AX239" i="1"/>
  <c r="AT239" i="1"/>
  <c r="BR239" i="1"/>
  <c r="BN239" i="1"/>
  <c r="BT191" i="1"/>
  <c r="AZ191" i="1"/>
  <c r="BC191" i="1"/>
  <c r="BW191" i="1"/>
  <c r="AX243" i="1"/>
  <c r="AT243" i="1"/>
  <c r="AX189" i="1"/>
  <c r="AT189" i="1"/>
  <c r="BN161" i="1"/>
  <c r="BR161" i="1"/>
  <c r="BT166" i="1"/>
  <c r="AZ166" i="1"/>
  <c r="BC166" i="1"/>
  <c r="BW166" i="1"/>
  <c r="BN190" i="1"/>
  <c r="BR190" i="1"/>
  <c r="BR196" i="1"/>
  <c r="BN196" i="1"/>
  <c r="BN229" i="1"/>
  <c r="BX229" i="1" s="1"/>
  <c r="BT185" i="1"/>
  <c r="AZ185" i="1"/>
  <c r="BC185" i="1"/>
  <c r="BW185" i="1"/>
  <c r="BN241" i="1"/>
  <c r="BR241" i="1"/>
  <c r="BT209" i="1"/>
  <c r="BW209" i="1"/>
  <c r="AZ209" i="1"/>
  <c r="BC209" i="1"/>
  <c r="CP174" i="1"/>
  <c r="BT202" i="1"/>
  <c r="AZ202" i="1"/>
  <c r="BW202" i="1"/>
  <c r="BC202" i="1"/>
  <c r="BN233" i="1"/>
  <c r="BX233" i="1" s="1"/>
  <c r="BT231" i="1"/>
  <c r="AZ231" i="1"/>
  <c r="BC231" i="1"/>
  <c r="BW231" i="1"/>
  <c r="BR248" i="1"/>
  <c r="BN248" i="1"/>
  <c r="BR176" i="1"/>
  <c r="BN176" i="1"/>
  <c r="CP226" i="1"/>
  <c r="BT221" i="1"/>
  <c r="BW221" i="1"/>
  <c r="AZ221" i="1"/>
  <c r="BC221" i="1"/>
  <c r="BT203" i="1"/>
  <c r="BW203" i="1"/>
  <c r="AZ203" i="1"/>
  <c r="BC203" i="1"/>
  <c r="BT235" i="1"/>
  <c r="AZ235" i="1"/>
  <c r="BC235" i="1"/>
  <c r="BW235" i="1"/>
  <c r="AX207" i="1"/>
  <c r="AT207" i="1"/>
  <c r="BN230" i="1"/>
  <c r="BR230" i="1"/>
  <c r="BR234" i="1"/>
  <c r="BU234" i="1" s="1"/>
  <c r="BV234" i="1" s="1"/>
  <c r="BT253" i="1"/>
  <c r="BC253" i="1"/>
  <c r="AZ253" i="1"/>
  <c r="BW253" i="1"/>
  <c r="BC252" i="1"/>
  <c r="BT252" i="1"/>
  <c r="AZ252" i="1"/>
  <c r="BW252" i="1"/>
  <c r="BN175" i="1"/>
  <c r="BX175" i="1" s="1"/>
  <c r="BU231" i="1" l="1"/>
  <c r="BY204" i="1"/>
  <c r="BU159" i="1"/>
  <c r="BD191" i="1"/>
  <c r="BD211" i="1"/>
  <c r="BU227" i="1"/>
  <c r="BX235" i="1"/>
  <c r="BX251" i="1"/>
  <c r="BX221" i="1"/>
  <c r="BD242" i="1"/>
  <c r="BD204" i="1"/>
  <c r="BD227" i="1"/>
  <c r="BD234" i="1"/>
  <c r="BX193" i="1"/>
  <c r="BY193" i="1" s="1"/>
  <c r="BX252" i="1"/>
  <c r="BY221" i="1"/>
  <c r="BU204" i="1"/>
  <c r="BX165" i="1"/>
  <c r="BD215" i="1"/>
  <c r="BE215" i="1" s="1"/>
  <c r="BA188" i="1"/>
  <c r="BB188" i="1" s="1"/>
  <c r="BD212" i="1"/>
  <c r="BU249" i="1"/>
  <c r="BV249" i="1" s="1"/>
  <c r="BD250" i="1"/>
  <c r="BE250" i="1" s="1"/>
  <c r="BD232" i="1"/>
  <c r="BE232" i="1" s="1"/>
  <c r="BX253" i="1"/>
  <c r="BY253" i="1" s="1"/>
  <c r="BU178" i="1"/>
  <c r="BV178" i="1" s="1"/>
  <c r="BX216" i="1"/>
  <c r="BX194" i="1"/>
  <c r="BU209" i="1"/>
  <c r="BV209" i="1" s="1"/>
  <c r="BX182" i="1"/>
  <c r="BY182" i="1" s="1"/>
  <c r="BX189" i="1"/>
  <c r="BY189" i="1" s="1"/>
  <c r="BD173" i="1"/>
  <c r="BE173" i="1" s="1"/>
  <c r="BD207" i="1"/>
  <c r="BE207" i="1" s="1"/>
  <c r="BU169" i="1"/>
  <c r="BV169" i="1" s="1"/>
  <c r="BU161" i="1"/>
  <c r="BV161" i="1" s="1"/>
  <c r="BD174" i="1"/>
  <c r="BE174" i="1" s="1"/>
  <c r="BU188" i="1"/>
  <c r="BV188" i="1" s="1"/>
  <c r="BX170" i="1"/>
  <c r="BU247" i="1"/>
  <c r="BV247" i="1" s="1"/>
  <c r="BU191" i="1"/>
  <c r="BU198" i="1"/>
  <c r="BV198" i="1" s="1"/>
  <c r="BU226" i="1"/>
  <c r="BV226" i="1" s="1"/>
  <c r="BX166" i="1"/>
  <c r="BY166" i="1" s="1"/>
  <c r="BX228" i="1"/>
  <c r="BY228" i="1" s="1"/>
  <c r="BU218" i="1"/>
  <c r="BV218" i="1" s="1"/>
  <c r="BU210" i="1"/>
  <c r="BV210" i="1" s="1"/>
  <c r="BX208" i="1"/>
  <c r="BY208" i="1" s="1"/>
  <c r="BX162" i="1"/>
  <c r="BY162" i="1" s="1"/>
  <c r="BX199" i="1"/>
  <c r="BY199" i="1" s="1"/>
  <c r="BD244" i="1"/>
  <c r="BE244" i="1" s="1"/>
  <c r="BA176" i="1"/>
  <c r="BB176" i="1" s="1"/>
  <c r="BD192" i="1"/>
  <c r="BE192" i="1" s="1"/>
  <c r="BD254" i="1"/>
  <c r="BE254" i="1" s="1"/>
  <c r="BD237" i="1"/>
  <c r="BE237" i="1" s="1"/>
  <c r="BD181" i="1"/>
  <c r="BE181" i="1" s="1"/>
  <c r="BD217" i="1"/>
  <c r="BE217" i="1" s="1"/>
  <c r="BV227" i="1"/>
  <c r="BX177" i="1"/>
  <c r="BY177" i="1" s="1"/>
  <c r="BU254" i="1"/>
  <c r="BD222" i="1"/>
  <c r="BE222" i="1" s="1"/>
  <c r="BX222" i="1"/>
  <c r="BY222" i="1" s="1"/>
  <c r="BX212" i="1"/>
  <c r="BY212" i="1" s="1"/>
  <c r="BA157" i="1"/>
  <c r="BB157" i="1" s="1"/>
  <c r="BD198" i="1"/>
  <c r="BE198" i="1" s="1"/>
  <c r="BD159" i="1"/>
  <c r="BE159" i="1" s="1"/>
  <c r="BD245" i="1"/>
  <c r="BE245" i="1" s="1"/>
  <c r="BD247" i="1"/>
  <c r="BE247" i="1" s="1"/>
  <c r="BD169" i="1"/>
  <c r="BE169" i="1" s="1"/>
  <c r="BA208" i="1"/>
  <c r="BB208" i="1" s="1"/>
  <c r="BA162" i="1"/>
  <c r="BB162" i="1" s="1"/>
  <c r="BA193" i="1"/>
  <c r="BB193" i="1" s="1"/>
  <c r="BD248" i="1"/>
  <c r="BE248" i="1" s="1"/>
  <c r="BD182" i="1"/>
  <c r="BE182" i="1" s="1"/>
  <c r="BD214" i="1"/>
  <c r="BE214" i="1" s="1"/>
  <c r="BA235" i="1"/>
  <c r="BB235" i="1" s="1"/>
  <c r="BA185" i="1"/>
  <c r="BB185" i="1" s="1"/>
  <c r="BA172" i="1"/>
  <c r="BB172" i="1" s="1"/>
  <c r="BA218" i="1"/>
  <c r="BB218" i="1" s="1"/>
  <c r="BA226" i="1"/>
  <c r="BB226" i="1" s="1"/>
  <c r="BA220" i="1"/>
  <c r="BB220" i="1" s="1"/>
  <c r="BD236" i="1"/>
  <c r="BE236" i="1" s="1"/>
  <c r="BU205" i="1"/>
  <c r="BV205" i="1" s="1"/>
  <c r="BX201" i="1"/>
  <c r="BY201" i="1" s="1"/>
  <c r="BX157" i="1"/>
  <c r="BY157" i="1" s="1"/>
  <c r="BX244" i="1"/>
  <c r="BY244" i="1" s="1"/>
  <c r="BA228" i="1"/>
  <c r="BB228" i="1" s="1"/>
  <c r="BA167" i="1"/>
  <c r="BB167" i="1" s="1"/>
  <c r="BD241" i="1"/>
  <c r="BE241" i="1" s="1"/>
  <c r="BA189" i="1"/>
  <c r="BB189" i="1" s="1"/>
  <c r="BD209" i="1"/>
  <c r="BE209" i="1" s="1"/>
  <c r="BA177" i="1"/>
  <c r="BB177" i="1" s="1"/>
  <c r="BA206" i="1"/>
  <c r="BB206" i="1" s="1"/>
  <c r="BA161" i="1"/>
  <c r="BB161" i="1" s="1"/>
  <c r="BD219" i="1"/>
  <c r="BE219" i="1" s="1"/>
  <c r="BX164" i="1"/>
  <c r="BY164" i="1" s="1"/>
  <c r="BD183" i="1"/>
  <c r="BE183" i="1" s="1"/>
  <c r="BD240" i="1"/>
  <c r="BE240" i="1" s="1"/>
  <c r="BX217" i="1"/>
  <c r="BY217" i="1" s="1"/>
  <c r="BU183" i="1"/>
  <c r="BV183" i="1" s="1"/>
  <c r="BA170" i="1"/>
  <c r="BB170" i="1" s="1"/>
  <c r="BX196" i="1"/>
  <c r="BY196" i="1" s="1"/>
  <c r="BU192" i="1"/>
  <c r="BV192" i="1" s="1"/>
  <c r="BA168" i="1"/>
  <c r="BB168" i="1" s="1"/>
  <c r="BU246" i="1"/>
  <c r="BV246" i="1" s="1"/>
  <c r="BX160" i="1"/>
  <c r="BY160" i="1" s="1"/>
  <c r="BU206" i="1"/>
  <c r="BV206" i="1" s="1"/>
  <c r="BX174" i="1"/>
  <c r="BY174" i="1" s="1"/>
  <c r="BA171" i="1"/>
  <c r="BB171" i="1" s="1"/>
  <c r="BD184" i="1"/>
  <c r="BE184" i="1" s="1"/>
  <c r="BU236" i="1"/>
  <c r="BV236" i="1" s="1"/>
  <c r="BU195" i="1"/>
  <c r="BV195" i="1" s="1"/>
  <c r="BA184" i="1"/>
  <c r="BB184" i="1" s="1"/>
  <c r="BX230" i="1"/>
  <c r="BY230" i="1" s="1"/>
  <c r="BX200" i="1"/>
  <c r="BY200" i="1" s="1"/>
  <c r="BA201" i="1"/>
  <c r="BB201" i="1" s="1"/>
  <c r="BA200" i="1"/>
  <c r="BB200" i="1" s="1"/>
  <c r="BU224" i="1"/>
  <c r="BV224" i="1" s="1"/>
  <c r="BU168" i="1"/>
  <c r="BV168" i="1" s="1"/>
  <c r="BA233" i="1"/>
  <c r="BB233" i="1" s="1"/>
  <c r="BU176" i="1"/>
  <c r="BV176" i="1" s="1"/>
  <c r="BX248" i="1"/>
  <c r="BY248" i="1" s="1"/>
  <c r="BU241" i="1"/>
  <c r="BV241" i="1" s="1"/>
  <c r="BU177" i="1"/>
  <c r="BV177" i="1" s="1"/>
  <c r="BX210" i="1"/>
  <c r="BY210" i="1" s="1"/>
  <c r="BD205" i="1"/>
  <c r="BE205" i="1" s="1"/>
  <c r="BU179" i="1"/>
  <c r="BV179" i="1" s="1"/>
  <c r="BX245" i="1"/>
  <c r="BY245" i="1" s="1"/>
  <c r="BU219" i="1"/>
  <c r="BV219" i="1" s="1"/>
  <c r="BD238" i="1"/>
  <c r="BE238" i="1" s="1"/>
  <c r="BD190" i="1"/>
  <c r="BE190" i="1" s="1"/>
  <c r="BX187" i="1"/>
  <c r="BY187" i="1" s="1"/>
  <c r="BX181" i="1"/>
  <c r="BY181" i="1" s="1"/>
  <c r="BU202" i="1"/>
  <c r="BV202" i="1" s="1"/>
  <c r="BU211" i="1"/>
  <c r="BV211" i="1" s="1"/>
  <c r="BU238" i="1"/>
  <c r="BX214" i="1"/>
  <c r="BY214" i="1" s="1"/>
  <c r="BA199" i="1"/>
  <c r="BB199" i="1" s="1"/>
  <c r="BU180" i="1"/>
  <c r="BV180" i="1" s="1"/>
  <c r="BD175" i="1"/>
  <c r="BE175" i="1" s="1"/>
  <c r="BD203" i="1"/>
  <c r="BE203" i="1" s="1"/>
  <c r="BD229" i="1"/>
  <c r="BE229" i="1" s="1"/>
  <c r="BV243" i="1"/>
  <c r="BX223" i="1"/>
  <c r="BY223" i="1" s="1"/>
  <c r="BU240" i="1"/>
  <c r="BV240" i="1" s="1"/>
  <c r="BU163" i="1"/>
  <c r="BV163" i="1" s="1"/>
  <c r="BA180" i="1"/>
  <c r="BB180" i="1" s="1"/>
  <c r="BA231" i="1"/>
  <c r="BB231" i="1" s="1"/>
  <c r="BX186" i="1"/>
  <c r="BY186" i="1" s="1"/>
  <c r="BU250" i="1"/>
  <c r="BV250" i="1" s="1"/>
  <c r="BY233" i="1"/>
  <c r="BU171" i="1"/>
  <c r="BU172" i="1"/>
  <c r="BV172" i="1" s="1"/>
  <c r="BA197" i="1"/>
  <c r="BB197" i="1" s="1"/>
  <c r="BU242" i="1"/>
  <c r="BV242" i="1" s="1"/>
  <c r="BX237" i="1"/>
  <c r="BY237" i="1" s="1"/>
  <c r="BU190" i="1"/>
  <c r="BX239" i="1"/>
  <c r="BY239" i="1" s="1"/>
  <c r="BU184" i="1"/>
  <c r="BV184" i="1" s="1"/>
  <c r="BX205" i="1"/>
  <c r="BY205" i="1" s="1"/>
  <c r="BX232" i="1"/>
  <c r="BY232" i="1" s="1"/>
  <c r="BA158" i="1"/>
  <c r="BB158" i="1" s="1"/>
  <c r="BD239" i="1"/>
  <c r="BE239" i="1" s="1"/>
  <c r="BD252" i="1"/>
  <c r="BE252" i="1" s="1"/>
  <c r="BU173" i="1"/>
  <c r="BV173" i="1" s="1"/>
  <c r="BU225" i="1"/>
  <c r="BV225" i="1" s="1"/>
  <c r="BV204" i="1"/>
  <c r="BZ204" i="1" s="1"/>
  <c r="CL204" i="1" s="1"/>
  <c r="BD178" i="1"/>
  <c r="BE178" i="1" s="1"/>
  <c r="BU207" i="1"/>
  <c r="BV207" i="1" s="1"/>
  <c r="BU167" i="1"/>
  <c r="BV167" i="1" s="1"/>
  <c r="BU220" i="1"/>
  <c r="BV220" i="1" s="1"/>
  <c r="BD230" i="1"/>
  <c r="BE230" i="1" s="1"/>
  <c r="BV215" i="1"/>
  <c r="BY165" i="1"/>
  <c r="BY197" i="1"/>
  <c r="BD243" i="1"/>
  <c r="BE243" i="1" s="1"/>
  <c r="BD216" i="1"/>
  <c r="BE216" i="1" s="1"/>
  <c r="BA195" i="1"/>
  <c r="BB195" i="1" s="1"/>
  <c r="BA225" i="1"/>
  <c r="BB225" i="1" s="1"/>
  <c r="BA160" i="1"/>
  <c r="BB160" i="1" s="1"/>
  <c r="BD164" i="1"/>
  <c r="BE164" i="1" s="1"/>
  <c r="BD246" i="1"/>
  <c r="BE246" i="1" s="1"/>
  <c r="BA221" i="1"/>
  <c r="BB221" i="1" s="1"/>
  <c r="BA202" i="1"/>
  <c r="BB202" i="1" s="1"/>
  <c r="BA210" i="1"/>
  <c r="BB210" i="1" s="1"/>
  <c r="BA194" i="1"/>
  <c r="BB194" i="1" s="1"/>
  <c r="BD253" i="1"/>
  <c r="BE253" i="1" s="1"/>
  <c r="BA223" i="1"/>
  <c r="BB223" i="1" s="1"/>
  <c r="BA187" i="1"/>
  <c r="BB187" i="1" s="1"/>
  <c r="BD213" i="1"/>
  <c r="BE213" i="1" s="1"/>
  <c r="BA224" i="1"/>
  <c r="BB224" i="1" s="1"/>
  <c r="BA249" i="1"/>
  <c r="BB249" i="1" s="1"/>
  <c r="BA196" i="1"/>
  <c r="BB196" i="1" s="1"/>
  <c r="BD186" i="1"/>
  <c r="BE186" i="1" s="1"/>
  <c r="BA165" i="1"/>
  <c r="BB165" i="1" s="1"/>
  <c r="BD179" i="1"/>
  <c r="BE179" i="1" s="1"/>
  <c r="BV159" i="1"/>
  <c r="BD193" i="1"/>
  <c r="BE193" i="1" s="1"/>
  <c r="BA251" i="1"/>
  <c r="BB251" i="1" s="1"/>
  <c r="BD163" i="1"/>
  <c r="BE163" i="1" s="1"/>
  <c r="BX218" i="1"/>
  <c r="BY218" i="1" s="1"/>
  <c r="BA159" i="1"/>
  <c r="BB159" i="1" s="1"/>
  <c r="BA245" i="1"/>
  <c r="BB245" i="1" s="1"/>
  <c r="BU164" i="1"/>
  <c r="BV164" i="1" s="1"/>
  <c r="BA192" i="1"/>
  <c r="BB192" i="1" s="1"/>
  <c r="BA186" i="1"/>
  <c r="BB186" i="1" s="1"/>
  <c r="BA254" i="1"/>
  <c r="BB254" i="1" s="1"/>
  <c r="BA237" i="1"/>
  <c r="BB237" i="1" s="1"/>
  <c r="BA181" i="1"/>
  <c r="BB181" i="1" s="1"/>
  <c r="BX249" i="1"/>
  <c r="BY249" i="1" s="1"/>
  <c r="BZ249" i="1" s="1"/>
  <c r="CL249" i="1" s="1"/>
  <c r="BX206" i="1"/>
  <c r="BY206" i="1" s="1"/>
  <c r="BA178" i="1"/>
  <c r="BB178" i="1" s="1"/>
  <c r="BA213" i="1"/>
  <c r="BB213" i="1" s="1"/>
  <c r="BX178" i="1"/>
  <c r="BY178" i="1" s="1"/>
  <c r="BA236" i="1"/>
  <c r="BB236" i="1" s="1"/>
  <c r="BX234" i="1"/>
  <c r="BY234" i="1" s="1"/>
  <c r="BZ234" i="1" s="1"/>
  <c r="CL234" i="1" s="1"/>
  <c r="BU229" i="1"/>
  <c r="BV229" i="1" s="1"/>
  <c r="BU248" i="1"/>
  <c r="BV248" i="1" s="1"/>
  <c r="BX241" i="1"/>
  <c r="BY241" i="1" s="1"/>
  <c r="BD189" i="1"/>
  <c r="BE189" i="1" s="1"/>
  <c r="BD177" i="1"/>
  <c r="BE177" i="1" s="1"/>
  <c r="BA244" i="1"/>
  <c r="BB244" i="1" s="1"/>
  <c r="BA183" i="1"/>
  <c r="BB183" i="1" s="1"/>
  <c r="BA240" i="1"/>
  <c r="BB240" i="1" s="1"/>
  <c r="BA179" i="1"/>
  <c r="BB179" i="1" s="1"/>
  <c r="BA217" i="1"/>
  <c r="BB217" i="1" s="1"/>
  <c r="BU174" i="1"/>
  <c r="BV174" i="1" s="1"/>
  <c r="BD171" i="1"/>
  <c r="BE171" i="1" s="1"/>
  <c r="BX207" i="1"/>
  <c r="BY207" i="1" s="1"/>
  <c r="BX167" i="1"/>
  <c r="BY167" i="1" s="1"/>
  <c r="BX220" i="1"/>
  <c r="BY220" i="1" s="1"/>
  <c r="BD180" i="1"/>
  <c r="BE180" i="1" s="1"/>
  <c r="BA230" i="1"/>
  <c r="BB230" i="1" s="1"/>
  <c r="BU245" i="1"/>
  <c r="BV245" i="1" s="1"/>
  <c r="BX185" i="1"/>
  <c r="BY185" i="1" s="1"/>
  <c r="BU228" i="1"/>
  <c r="BV228" i="1" s="1"/>
  <c r="BU181" i="1"/>
  <c r="BV181" i="1" s="1"/>
  <c r="BD162" i="1"/>
  <c r="BE162" i="1" s="1"/>
  <c r="BD176" i="1"/>
  <c r="BE176" i="1" s="1"/>
  <c r="BD157" i="1"/>
  <c r="BE157" i="1" s="1"/>
  <c r="BU217" i="1"/>
  <c r="BV217" i="1" s="1"/>
  <c r="BU197" i="1"/>
  <c r="BV197" i="1" s="1"/>
  <c r="BD235" i="1"/>
  <c r="BE235" i="1" s="1"/>
  <c r="BD185" i="1"/>
  <c r="BE185" i="1" s="1"/>
  <c r="BX202" i="1"/>
  <c r="BY202" i="1" s="1"/>
  <c r="BD228" i="1"/>
  <c r="BE228" i="1" s="1"/>
  <c r="BD167" i="1"/>
  <c r="BE167" i="1" s="1"/>
  <c r="BX188" i="1"/>
  <c r="BY188" i="1" s="1"/>
  <c r="BU162" i="1"/>
  <c r="BV162" i="1" s="1"/>
  <c r="BA205" i="1"/>
  <c r="BB205" i="1" s="1"/>
  <c r="BA198" i="1"/>
  <c r="BB198" i="1" s="1"/>
  <c r="BA247" i="1"/>
  <c r="BB247" i="1" s="1"/>
  <c r="BU208" i="1"/>
  <c r="BV208" i="1" s="1"/>
  <c r="BD251" i="1"/>
  <c r="BE251" i="1" s="1"/>
  <c r="BX183" i="1"/>
  <c r="BY183" i="1" s="1"/>
  <c r="BD200" i="1"/>
  <c r="BE200" i="1" s="1"/>
  <c r="BX224" i="1"/>
  <c r="BY224" i="1" s="1"/>
  <c r="BX168" i="1"/>
  <c r="BY168" i="1" s="1"/>
  <c r="BA173" i="1"/>
  <c r="BB173" i="1" s="1"/>
  <c r="BD233" i="1"/>
  <c r="BE233" i="1" s="1"/>
  <c r="BA191" i="1"/>
  <c r="BB191" i="1" s="1"/>
  <c r="BU175" i="1"/>
  <c r="BV175" i="1" s="1"/>
  <c r="BA242" i="1"/>
  <c r="BB242" i="1" s="1"/>
  <c r="BA248" i="1"/>
  <c r="BB248" i="1" s="1"/>
  <c r="BU182" i="1"/>
  <c r="BV182" i="1" s="1"/>
  <c r="BA163" i="1"/>
  <c r="BB163" i="1" s="1"/>
  <c r="BX169" i="1"/>
  <c r="BY169" i="1" s="1"/>
  <c r="BA174" i="1"/>
  <c r="BB174" i="1" s="1"/>
  <c r="BD170" i="1"/>
  <c r="BE170" i="1" s="1"/>
  <c r="BD208" i="1"/>
  <c r="BE208" i="1" s="1"/>
  <c r="BU165" i="1"/>
  <c r="BV165" i="1" s="1"/>
  <c r="BA175" i="1"/>
  <c r="BB175" i="1" s="1"/>
  <c r="BA203" i="1"/>
  <c r="BB203" i="1" s="1"/>
  <c r="BD231" i="1"/>
  <c r="BE231" i="1" s="1"/>
  <c r="BA229" i="1"/>
  <c r="BB229" i="1" s="1"/>
  <c r="BU186" i="1"/>
  <c r="BV186" i="1" s="1"/>
  <c r="BA209" i="1"/>
  <c r="BB209" i="1" s="1"/>
  <c r="BX211" i="1"/>
  <c r="BY211" i="1" s="1"/>
  <c r="BX215" i="1"/>
  <c r="BY215" i="1" s="1"/>
  <c r="BD223" i="1"/>
  <c r="BE223" i="1" s="1"/>
  <c r="BA216" i="1"/>
  <c r="BB216" i="1" s="1"/>
  <c r="BX238" i="1"/>
  <c r="BY238" i="1" s="1"/>
  <c r="BD225" i="1"/>
  <c r="BE225" i="1" s="1"/>
  <c r="BU214" i="1"/>
  <c r="BV214" i="1" s="1"/>
  <c r="BD160" i="1"/>
  <c r="BE160" i="1" s="1"/>
  <c r="BA182" i="1"/>
  <c r="BB182" i="1" s="1"/>
  <c r="BA214" i="1"/>
  <c r="BB214" i="1" s="1"/>
  <c r="BX219" i="1"/>
  <c r="BY219" i="1" s="1"/>
  <c r="BA238" i="1"/>
  <c r="BB238" i="1" s="1"/>
  <c r="BX179" i="1"/>
  <c r="BY179" i="1" s="1"/>
  <c r="BD195" i="1"/>
  <c r="BE195" i="1" s="1"/>
  <c r="BD187" i="1"/>
  <c r="BE187" i="1" s="1"/>
  <c r="BX171" i="1"/>
  <c r="BY171" i="1" s="1"/>
  <c r="BD196" i="1"/>
  <c r="BE196" i="1" s="1"/>
  <c r="BD221" i="1"/>
  <c r="BE221" i="1" s="1"/>
  <c r="BX191" i="1"/>
  <c r="BY191" i="1" s="1"/>
  <c r="BX198" i="1"/>
  <c r="BY198" i="1" s="1"/>
  <c r="BX226" i="1"/>
  <c r="BY226" i="1" s="1"/>
  <c r="BU166" i="1"/>
  <c r="BV166" i="1" s="1"/>
  <c r="BD172" i="1"/>
  <c r="BE172" i="1" s="1"/>
  <c r="BD218" i="1"/>
  <c r="BE218" i="1" s="1"/>
  <c r="BU223" i="1"/>
  <c r="BV223" i="1" s="1"/>
  <c r="BU199" i="1"/>
  <c r="BV199" i="1" s="1"/>
  <c r="BD199" i="1"/>
  <c r="BE199" i="1" s="1"/>
  <c r="BX180" i="1"/>
  <c r="BY180" i="1" s="1"/>
  <c r="BA190" i="1"/>
  <c r="BB190" i="1" s="1"/>
  <c r="BA232" i="1"/>
  <c r="BB232" i="1" s="1"/>
  <c r="BU251" i="1"/>
  <c r="BV251" i="1" s="1"/>
  <c r="BU221" i="1"/>
  <c r="BV221" i="1" s="1"/>
  <c r="BX231" i="1"/>
  <c r="BY231" i="1" s="1"/>
  <c r="BA215" i="1"/>
  <c r="BB215" i="1" s="1"/>
  <c r="BU193" i="1"/>
  <c r="BV193" i="1" s="1"/>
  <c r="BX192" i="1"/>
  <c r="BY192" i="1" s="1"/>
  <c r="BD202" i="1"/>
  <c r="BE202" i="1" s="1"/>
  <c r="BD210" i="1"/>
  <c r="BE210" i="1" s="1"/>
  <c r="BA164" i="1"/>
  <c r="BB164" i="1" s="1"/>
  <c r="BX172" i="1"/>
  <c r="BY172" i="1" s="1"/>
  <c r="BD197" i="1"/>
  <c r="BE197" i="1" s="1"/>
  <c r="BU170" i="1"/>
  <c r="BV170" i="1" s="1"/>
  <c r="BX254" i="1"/>
  <c r="BY254" i="1" s="1"/>
  <c r="BA241" i="1"/>
  <c r="BB241" i="1" s="1"/>
  <c r="BX158" i="1"/>
  <c r="BY158" i="1" s="1"/>
  <c r="BX236" i="1"/>
  <c r="BY236" i="1" s="1"/>
  <c r="BX190" i="1"/>
  <c r="BY190" i="1" s="1"/>
  <c r="BU239" i="1"/>
  <c r="BV239" i="1" s="1"/>
  <c r="BA253" i="1"/>
  <c r="BB253" i="1" s="1"/>
  <c r="BD188" i="1"/>
  <c r="BE188" i="1" s="1"/>
  <c r="BU252" i="1"/>
  <c r="BV252" i="1" s="1"/>
  <c r="BX242" i="1"/>
  <c r="BY242" i="1" s="1"/>
  <c r="BU237" i="1"/>
  <c r="BV237" i="1" s="1"/>
  <c r="BX250" i="1"/>
  <c r="BY250" i="1" s="1"/>
  <c r="BD194" i="1"/>
  <c r="BE194" i="1" s="1"/>
  <c r="BD206" i="1"/>
  <c r="BE206" i="1" s="1"/>
  <c r="BX247" i="1"/>
  <c r="BY247" i="1" s="1"/>
  <c r="BA169" i="1"/>
  <c r="BB169" i="1" s="1"/>
  <c r="BA222" i="1"/>
  <c r="BB222" i="1" s="1"/>
  <c r="BX159" i="1"/>
  <c r="BY159" i="1" s="1"/>
  <c r="BU233" i="1"/>
  <c r="BV233" i="1" s="1"/>
  <c r="BA207" i="1"/>
  <c r="BB207" i="1" s="1"/>
  <c r="BX243" i="1"/>
  <c r="BY243" i="1" s="1"/>
  <c r="BX240" i="1"/>
  <c r="BY240" i="1" s="1"/>
  <c r="BX203" i="1"/>
  <c r="BY203" i="1" s="1"/>
  <c r="BA211" i="1"/>
  <c r="BB211" i="1" s="1"/>
  <c r="BA243" i="1"/>
  <c r="BB243" i="1" s="1"/>
  <c r="BA239" i="1"/>
  <c r="BB239" i="1" s="1"/>
  <c r="BA252" i="1"/>
  <c r="BB252" i="1" s="1"/>
  <c r="BX173" i="1"/>
  <c r="BY173" i="1" s="1"/>
  <c r="BX225" i="1"/>
  <c r="BY225" i="1" s="1"/>
  <c r="BX227" i="1"/>
  <c r="BY227" i="1" s="1"/>
  <c r="BU253" i="1"/>
  <c r="BV253" i="1" s="1"/>
  <c r="BA246" i="1"/>
  <c r="BB246" i="1" s="1"/>
  <c r="BU216" i="1"/>
  <c r="BV216" i="1" s="1"/>
  <c r="BU194" i="1"/>
  <c r="BV194" i="1" s="1"/>
  <c r="BX213" i="1"/>
  <c r="BY213" i="1" s="1"/>
  <c r="BA219" i="1"/>
  <c r="BB219" i="1" s="1"/>
  <c r="BX161" i="1"/>
  <c r="BY161" i="1" s="1"/>
  <c r="BU196" i="1"/>
  <c r="BV196" i="1" s="1"/>
  <c r="BU230" i="1"/>
  <c r="BV230" i="1" s="1"/>
  <c r="BU160" i="1"/>
  <c r="BV160" i="1" s="1"/>
  <c r="BD165" i="1"/>
  <c r="BE165" i="1" s="1"/>
  <c r="BU187" i="1"/>
  <c r="BV187" i="1" s="1"/>
  <c r="BD158" i="1"/>
  <c r="BE158" i="1" s="1"/>
  <c r="BX209" i="1"/>
  <c r="BY209" i="1" s="1"/>
  <c r="BU189" i="1"/>
  <c r="BV189" i="1" s="1"/>
  <c r="BU201" i="1"/>
  <c r="BV201" i="1" s="1"/>
  <c r="BU157" i="1"/>
  <c r="BV157" i="1" s="1"/>
  <c r="BU244" i="1"/>
  <c r="BV244" i="1" s="1"/>
  <c r="BX184" i="1"/>
  <c r="BY184" i="1" s="1"/>
  <c r="BD168" i="1"/>
  <c r="BE168" i="1" s="1"/>
  <c r="BD226" i="1"/>
  <c r="BE226" i="1" s="1"/>
  <c r="BU235" i="1"/>
  <c r="BV235" i="1" s="1"/>
  <c r="BD220" i="1"/>
  <c r="BE220" i="1" s="1"/>
  <c r="BU212" i="1"/>
  <c r="BV212" i="1" s="1"/>
  <c r="BA166" i="1"/>
  <c r="BB166" i="1" s="1"/>
  <c r="BU222" i="1"/>
  <c r="BV222" i="1" s="1"/>
  <c r="BX176" i="1"/>
  <c r="BY176" i="1" s="1"/>
  <c r="BU200" i="1"/>
  <c r="BV200" i="1" s="1"/>
  <c r="BD201" i="1"/>
  <c r="BE201" i="1" s="1"/>
  <c r="BX195" i="1"/>
  <c r="BY195" i="1" s="1"/>
  <c r="BX163" i="1"/>
  <c r="BY163" i="1" s="1"/>
  <c r="BD224" i="1"/>
  <c r="BE224" i="1" s="1"/>
  <c r="BX246" i="1"/>
  <c r="BY246" i="1" s="1"/>
  <c r="BD249" i="1"/>
  <c r="BE249" i="1" s="1"/>
  <c r="BD161" i="1"/>
  <c r="BE161" i="1" s="1"/>
  <c r="BU232" i="1"/>
  <c r="BV232" i="1" s="1"/>
  <c r="BA204" i="1"/>
  <c r="BB204" i="1" s="1"/>
  <c r="BA227" i="1"/>
  <c r="BB227" i="1" s="1"/>
  <c r="BA234" i="1"/>
  <c r="BB234" i="1" s="1"/>
  <c r="BA212" i="1"/>
  <c r="BB212" i="1" s="1"/>
  <c r="BA250" i="1"/>
  <c r="BB250" i="1" s="1"/>
  <c r="BY175" i="1"/>
  <c r="BE166" i="1"/>
  <c r="K1050" i="2"/>
  <c r="L1049" i="2"/>
  <c r="BV254" i="1"/>
  <c r="BY252" i="1"/>
  <c r="BV185" i="1"/>
  <c r="BE211" i="1"/>
  <c r="K697" i="2"/>
  <c r="L696" i="2"/>
  <c r="BY235" i="1"/>
  <c r="BY216" i="1"/>
  <c r="BE242" i="1"/>
  <c r="BV191" i="1"/>
  <c r="BE204" i="1"/>
  <c r="K266" i="2"/>
  <c r="L265" i="2"/>
  <c r="K1323" i="2"/>
  <c r="L1322" i="2"/>
  <c r="K81" i="2"/>
  <c r="L80" i="2"/>
  <c r="BY170" i="1"/>
  <c r="BE227" i="1"/>
  <c r="BV190" i="1"/>
  <c r="BF255" i="1"/>
  <c r="CG255" i="1" s="1"/>
  <c r="BZ255" i="1"/>
  <c r="CL255" i="1" s="1"/>
  <c r="BY229" i="1"/>
  <c r="K869" i="2"/>
  <c r="L868" i="2"/>
  <c r="BV231" i="1"/>
  <c r="BV171" i="1"/>
  <c r="BY251" i="1"/>
  <c r="BV203" i="1"/>
  <c r="BV238" i="1"/>
  <c r="AC88" i="3"/>
  <c r="A89" i="3"/>
  <c r="C88" i="3"/>
  <c r="BE191" i="1"/>
  <c r="BE234" i="1"/>
  <c r="BY194" i="1"/>
  <c r="K458" i="2"/>
  <c r="L457" i="2"/>
  <c r="BE212" i="1"/>
  <c r="BV213" i="1"/>
  <c r="BV158" i="1"/>
  <c r="BZ221" i="1" l="1"/>
  <c r="CL221" i="1" s="1"/>
  <c r="BF217" i="1"/>
  <c r="CG217" i="1" s="1"/>
  <c r="CM249" i="1"/>
  <c r="CN249" i="1" s="1"/>
  <c r="CV249" i="1" s="1"/>
  <c r="CU249" i="1"/>
  <c r="CM234" i="1"/>
  <c r="CN234" i="1" s="1"/>
  <c r="CV234" i="1" s="1"/>
  <c r="CU234" i="1"/>
  <c r="CM204" i="1"/>
  <c r="CN204" i="1" s="1"/>
  <c r="CV204" i="1" s="1"/>
  <c r="CU204" i="1"/>
  <c r="CM255" i="1"/>
  <c r="CN255" i="1" s="1"/>
  <c r="CV255" i="1" s="1"/>
  <c r="CU255" i="1"/>
  <c r="CM221" i="1"/>
  <c r="CN221" i="1" s="1"/>
  <c r="CV221" i="1" s="1"/>
  <c r="CU221" i="1"/>
  <c r="BF207" i="1"/>
  <c r="CG207" i="1" s="1"/>
  <c r="CH207" i="1" s="1"/>
  <c r="CI207" i="1" s="1"/>
  <c r="BZ189" i="1"/>
  <c r="CL189" i="1" s="1"/>
  <c r="CQ189" i="1" s="1"/>
  <c r="BZ253" i="1"/>
  <c r="CL253" i="1" s="1"/>
  <c r="BZ197" i="1"/>
  <c r="CL197" i="1" s="1"/>
  <c r="BZ218" i="1"/>
  <c r="CL218" i="1" s="1"/>
  <c r="BZ199" i="1"/>
  <c r="CL199" i="1" s="1"/>
  <c r="BZ195" i="1"/>
  <c r="CL195" i="1" s="1"/>
  <c r="BF189" i="1"/>
  <c r="CG189" i="1" s="1"/>
  <c r="BZ211" i="1"/>
  <c r="CL211" i="1" s="1"/>
  <c r="BZ162" i="1"/>
  <c r="CL162" i="1" s="1"/>
  <c r="BZ233" i="1"/>
  <c r="CL233" i="1" s="1"/>
  <c r="BZ227" i="1"/>
  <c r="CL227" i="1" s="1"/>
  <c r="BF183" i="1"/>
  <c r="CG183" i="1" s="1"/>
  <c r="CH183" i="1" s="1"/>
  <c r="CI183" i="1" s="1"/>
  <c r="BF228" i="1"/>
  <c r="CG228" i="1" s="1"/>
  <c r="BZ245" i="1"/>
  <c r="CL245" i="1" s="1"/>
  <c r="BZ212" i="1"/>
  <c r="CL212" i="1" s="1"/>
  <c r="BZ219" i="1"/>
  <c r="CL219" i="1" s="1"/>
  <c r="BF218" i="1"/>
  <c r="CG218" i="1" s="1"/>
  <c r="CH218" i="1" s="1"/>
  <c r="CI218" i="1" s="1"/>
  <c r="BF226" i="1"/>
  <c r="CG226" i="1" s="1"/>
  <c r="CH226" i="1" s="1"/>
  <c r="CI226" i="1" s="1"/>
  <c r="BF196" i="1"/>
  <c r="CG196" i="1" s="1"/>
  <c r="BF208" i="1"/>
  <c r="CG208" i="1" s="1"/>
  <c r="CH208" i="1" s="1"/>
  <c r="CI208" i="1" s="1"/>
  <c r="BF159" i="1"/>
  <c r="CG159" i="1" s="1"/>
  <c r="CH159" i="1" s="1"/>
  <c r="CI159" i="1" s="1"/>
  <c r="BZ163" i="1"/>
  <c r="CL163" i="1" s="1"/>
  <c r="BZ161" i="1"/>
  <c r="CL161" i="1" s="1"/>
  <c r="BZ220" i="1"/>
  <c r="CL220" i="1" s="1"/>
  <c r="BZ164" i="1"/>
  <c r="CL164" i="1" s="1"/>
  <c r="BZ207" i="1"/>
  <c r="CL207" i="1" s="1"/>
  <c r="BF249" i="1"/>
  <c r="CG249" i="1" s="1"/>
  <c r="CQ249" i="1" s="1"/>
  <c r="BF241" i="1"/>
  <c r="CG241" i="1" s="1"/>
  <c r="BF176" i="1"/>
  <c r="CG176" i="1" s="1"/>
  <c r="BF177" i="1"/>
  <c r="CG177" i="1" s="1"/>
  <c r="CQ177" i="1" s="1"/>
  <c r="BZ225" i="1"/>
  <c r="CL225" i="1" s="1"/>
  <c r="BZ167" i="1"/>
  <c r="CL167" i="1" s="1"/>
  <c r="BZ173" i="1"/>
  <c r="CL173" i="1" s="1"/>
  <c r="BZ196" i="1"/>
  <c r="CL196" i="1" s="1"/>
  <c r="BF188" i="1"/>
  <c r="CG188" i="1" s="1"/>
  <c r="BF197" i="1"/>
  <c r="CG197" i="1" s="1"/>
  <c r="BF238" i="1"/>
  <c r="CG238" i="1" s="1"/>
  <c r="BZ210" i="1"/>
  <c r="CL210" i="1" s="1"/>
  <c r="BF167" i="1"/>
  <c r="CG167" i="1" s="1"/>
  <c r="CH167" i="1" s="1"/>
  <c r="CI167" i="1" s="1"/>
  <c r="BZ251" i="1"/>
  <c r="CL251" i="1" s="1"/>
  <c r="BZ175" i="1"/>
  <c r="CL175" i="1" s="1"/>
  <c r="BF219" i="1"/>
  <c r="CG219" i="1" s="1"/>
  <c r="CH219" i="1" s="1"/>
  <c r="CI219" i="1" s="1"/>
  <c r="BF161" i="1"/>
  <c r="CG161" i="1" s="1"/>
  <c r="CH161" i="1" s="1"/>
  <c r="CI161" i="1" s="1"/>
  <c r="BZ243" i="1"/>
  <c r="CL243" i="1" s="1"/>
  <c r="BZ215" i="1"/>
  <c r="CL215" i="1" s="1"/>
  <c r="BF192" i="1"/>
  <c r="CG192" i="1" s="1"/>
  <c r="CH192" i="1" s="1"/>
  <c r="CI192" i="1" s="1"/>
  <c r="BZ236" i="1"/>
  <c r="CL236" i="1" s="1"/>
  <c r="BF180" i="1"/>
  <c r="CG180" i="1" s="1"/>
  <c r="BZ180" i="1"/>
  <c r="CL180" i="1" s="1"/>
  <c r="BF243" i="1"/>
  <c r="CG243" i="1" s="1"/>
  <c r="BZ181" i="1"/>
  <c r="CL181" i="1" s="1"/>
  <c r="BF171" i="1"/>
  <c r="CG171" i="1" s="1"/>
  <c r="BF173" i="1"/>
  <c r="CG173" i="1" s="1"/>
  <c r="CH173" i="1" s="1"/>
  <c r="CI173" i="1" s="1"/>
  <c r="BF186" i="1"/>
  <c r="CG186" i="1" s="1"/>
  <c r="CH186" i="1" s="1"/>
  <c r="CI186" i="1" s="1"/>
  <c r="BF182" i="1"/>
  <c r="CG182" i="1" s="1"/>
  <c r="CH182" i="1" s="1"/>
  <c r="CI182" i="1" s="1"/>
  <c r="BF174" i="1"/>
  <c r="CG174" i="1" s="1"/>
  <c r="BF231" i="1"/>
  <c r="CG231" i="1" s="1"/>
  <c r="CH231" i="1" s="1"/>
  <c r="CI231" i="1" s="1"/>
  <c r="BF233" i="1"/>
  <c r="CG233" i="1" s="1"/>
  <c r="CH233" i="1" s="1"/>
  <c r="CI233" i="1" s="1"/>
  <c r="BF199" i="1"/>
  <c r="CG199" i="1" s="1"/>
  <c r="BF200" i="1"/>
  <c r="CG200" i="1" s="1"/>
  <c r="BZ237" i="1"/>
  <c r="CL237" i="1" s="1"/>
  <c r="BF203" i="1"/>
  <c r="CG203" i="1" s="1"/>
  <c r="CH203" i="1" s="1"/>
  <c r="CI203" i="1" s="1"/>
  <c r="BZ223" i="1"/>
  <c r="CL223" i="1" s="1"/>
  <c r="BZ240" i="1"/>
  <c r="CL240" i="1" s="1"/>
  <c r="BF198" i="1"/>
  <c r="CG198" i="1" s="1"/>
  <c r="BZ170" i="1"/>
  <c r="CL170" i="1" s="1"/>
  <c r="BZ242" i="1"/>
  <c r="CL242" i="1" s="1"/>
  <c r="BZ159" i="1"/>
  <c r="CL159" i="1" s="1"/>
  <c r="BF158" i="1"/>
  <c r="CG158" i="1" s="1"/>
  <c r="CH158" i="1" s="1"/>
  <c r="CI158" i="1" s="1"/>
  <c r="BF244" i="1"/>
  <c r="CG244" i="1" s="1"/>
  <c r="CH244" i="1" s="1"/>
  <c r="CI244" i="1" s="1"/>
  <c r="BF254" i="1"/>
  <c r="CG254" i="1" s="1"/>
  <c r="BZ177" i="1"/>
  <c r="CL177" i="1" s="1"/>
  <c r="BF190" i="1"/>
  <c r="CG190" i="1" s="1"/>
  <c r="BF225" i="1"/>
  <c r="CG225" i="1" s="1"/>
  <c r="BZ248" i="1"/>
  <c r="CL248" i="1" s="1"/>
  <c r="BZ214" i="1"/>
  <c r="CL214" i="1" s="1"/>
  <c r="BF210" i="1"/>
  <c r="CG210" i="1" s="1"/>
  <c r="CQ210" i="1" s="1"/>
  <c r="BF170" i="1"/>
  <c r="CG170" i="1" s="1"/>
  <c r="CH170" i="1" s="1"/>
  <c r="CI170" i="1" s="1"/>
  <c r="BZ185" i="1"/>
  <c r="CL185" i="1" s="1"/>
  <c r="BZ254" i="1"/>
  <c r="CL254" i="1" s="1"/>
  <c r="BZ209" i="1"/>
  <c r="CL209" i="1" s="1"/>
  <c r="BF163" i="1"/>
  <c r="CG163" i="1" s="1"/>
  <c r="CQ163" i="1" s="1"/>
  <c r="BZ193" i="1"/>
  <c r="CL193" i="1" s="1"/>
  <c r="BF202" i="1"/>
  <c r="CG202" i="1" s="1"/>
  <c r="CH202" i="1" s="1"/>
  <c r="CI202" i="1" s="1"/>
  <c r="BF220" i="1"/>
  <c r="CG220" i="1" s="1"/>
  <c r="CH220" i="1" s="1"/>
  <c r="CI220" i="1" s="1"/>
  <c r="BZ203" i="1"/>
  <c r="CL203" i="1" s="1"/>
  <c r="BZ250" i="1"/>
  <c r="CL250" i="1" s="1"/>
  <c r="BZ213" i="1"/>
  <c r="CL213" i="1" s="1"/>
  <c r="BZ165" i="1"/>
  <c r="CL165" i="1" s="1"/>
  <c r="BZ224" i="1"/>
  <c r="CL224" i="1" s="1"/>
  <c r="BZ157" i="1"/>
  <c r="CL157" i="1" s="1"/>
  <c r="BF213" i="1"/>
  <c r="CG213" i="1" s="1"/>
  <c r="CQ213" i="1" s="1"/>
  <c r="BF251" i="1"/>
  <c r="CG251" i="1" s="1"/>
  <c r="BZ231" i="1"/>
  <c r="CL231" i="1" s="1"/>
  <c r="BZ252" i="1"/>
  <c r="CL252" i="1" s="1"/>
  <c r="BF162" i="1"/>
  <c r="CG162" i="1" s="1"/>
  <c r="CH162" i="1" s="1"/>
  <c r="CI162" i="1" s="1"/>
  <c r="BF224" i="1"/>
  <c r="CG224" i="1" s="1"/>
  <c r="BZ246" i="1"/>
  <c r="CL246" i="1" s="1"/>
  <c r="BF187" i="1"/>
  <c r="CG187" i="1" s="1"/>
  <c r="BF193" i="1"/>
  <c r="CG193" i="1" s="1"/>
  <c r="BZ169" i="1"/>
  <c r="CL169" i="1" s="1"/>
  <c r="BZ229" i="1"/>
  <c r="CL229" i="1" s="1"/>
  <c r="BF230" i="1"/>
  <c r="CG230" i="1" s="1"/>
  <c r="BF246" i="1"/>
  <c r="CG246" i="1" s="1"/>
  <c r="CH246" i="1" s="1"/>
  <c r="CI246" i="1" s="1"/>
  <c r="BZ217" i="1"/>
  <c r="CL217" i="1" s="1"/>
  <c r="BZ183" i="1"/>
  <c r="CL183" i="1" s="1"/>
  <c r="BZ202" i="1"/>
  <c r="CL202" i="1" s="1"/>
  <c r="BZ205" i="1"/>
  <c r="CL205" i="1" s="1"/>
  <c r="BF236" i="1"/>
  <c r="CG236" i="1" s="1"/>
  <c r="BF184" i="1"/>
  <c r="CG184" i="1" s="1"/>
  <c r="CH184" i="1" s="1"/>
  <c r="CI184" i="1" s="1"/>
  <c r="BF250" i="1"/>
  <c r="CG250" i="1" s="1"/>
  <c r="CH250" i="1" s="1"/>
  <c r="CI250" i="1" s="1"/>
  <c r="BZ179" i="1"/>
  <c r="CL179" i="1" s="1"/>
  <c r="BF194" i="1"/>
  <c r="CG194" i="1" s="1"/>
  <c r="BF253" i="1"/>
  <c r="CG253" i="1" s="1"/>
  <c r="BF239" i="1"/>
  <c r="CG239" i="1" s="1"/>
  <c r="CH239" i="1" s="1"/>
  <c r="CI239" i="1" s="1"/>
  <c r="BF185" i="1"/>
  <c r="CG185" i="1" s="1"/>
  <c r="BF166" i="1"/>
  <c r="CG166" i="1" s="1"/>
  <c r="BF165" i="1"/>
  <c r="CG165" i="1" s="1"/>
  <c r="CQ165" i="1" s="1"/>
  <c r="BF245" i="1"/>
  <c r="CG245" i="1" s="1"/>
  <c r="CH245" i="1" s="1"/>
  <c r="CI245" i="1" s="1"/>
  <c r="BF195" i="1"/>
  <c r="CG195" i="1" s="1"/>
  <c r="CQ195" i="1" s="1"/>
  <c r="BZ228" i="1"/>
  <c r="CL228" i="1" s="1"/>
  <c r="BF160" i="1"/>
  <c r="CG160" i="1" s="1"/>
  <c r="BF235" i="1"/>
  <c r="CG235" i="1" s="1"/>
  <c r="CH235" i="1" s="1"/>
  <c r="CI235" i="1" s="1"/>
  <c r="BZ187" i="1"/>
  <c r="CL187" i="1" s="1"/>
  <c r="BF223" i="1"/>
  <c r="CG223" i="1" s="1"/>
  <c r="BF157" i="1"/>
  <c r="CG157" i="1" s="1"/>
  <c r="CQ157" i="1" s="1"/>
  <c r="BZ178" i="1"/>
  <c r="CL178" i="1" s="1"/>
  <c r="BZ182" i="1"/>
  <c r="CL182" i="1" s="1"/>
  <c r="BZ241" i="1"/>
  <c r="CL241" i="1" s="1"/>
  <c r="BF229" i="1"/>
  <c r="CG229" i="1" s="1"/>
  <c r="BF248" i="1"/>
  <c r="CG248" i="1" s="1"/>
  <c r="BF234" i="1"/>
  <c r="CG234" i="1" s="1"/>
  <c r="CH234" i="1" s="1"/>
  <c r="CI234" i="1" s="1"/>
  <c r="CR234" i="1" s="1"/>
  <c r="BZ188" i="1"/>
  <c r="CL188" i="1" s="1"/>
  <c r="BF169" i="1"/>
  <c r="CG169" i="1" s="1"/>
  <c r="CH169" i="1" s="1"/>
  <c r="CI169" i="1" s="1"/>
  <c r="BF237" i="1"/>
  <c r="CG237" i="1" s="1"/>
  <c r="BZ191" i="1"/>
  <c r="CL191" i="1" s="1"/>
  <c r="BF211" i="1"/>
  <c r="CG211" i="1" s="1"/>
  <c r="CH211" i="1" s="1"/>
  <c r="CI211" i="1" s="1"/>
  <c r="BF205" i="1"/>
  <c r="CG205" i="1" s="1"/>
  <c r="BZ226" i="1"/>
  <c r="CL226" i="1" s="1"/>
  <c r="BF212" i="1"/>
  <c r="CG212" i="1" s="1"/>
  <c r="BZ206" i="1"/>
  <c r="CL206" i="1" s="1"/>
  <c r="BZ230" i="1"/>
  <c r="CL230" i="1" s="1"/>
  <c r="BZ222" i="1"/>
  <c r="CL222" i="1" s="1"/>
  <c r="BF232" i="1"/>
  <c r="CG232" i="1" s="1"/>
  <c r="BZ232" i="1"/>
  <c r="CL232" i="1" s="1"/>
  <c r="BZ244" i="1"/>
  <c r="CL244" i="1" s="1"/>
  <c r="BF172" i="1"/>
  <c r="CG172" i="1" s="1"/>
  <c r="CH172" i="1" s="1"/>
  <c r="CI172" i="1" s="1"/>
  <c r="BF175" i="1"/>
  <c r="CG175" i="1" s="1"/>
  <c r="CQ175" i="1" s="1"/>
  <c r="BZ239" i="1"/>
  <c r="CL239" i="1" s="1"/>
  <c r="BF222" i="1"/>
  <c r="CG222" i="1" s="1"/>
  <c r="BF204" i="1"/>
  <c r="CG204" i="1" s="1"/>
  <c r="CH204" i="1" s="1"/>
  <c r="CI204" i="1" s="1"/>
  <c r="CR204" i="1" s="1"/>
  <c r="BZ192" i="1"/>
  <c r="CL192" i="1" s="1"/>
  <c r="BF247" i="1"/>
  <c r="CG247" i="1" s="1"/>
  <c r="BF181" i="1"/>
  <c r="CG181" i="1" s="1"/>
  <c r="BZ158" i="1"/>
  <c r="CL158" i="1" s="1"/>
  <c r="BF221" i="1"/>
  <c r="CG221" i="1" s="1"/>
  <c r="CH221" i="1" s="1"/>
  <c r="CI221" i="1" s="1"/>
  <c r="CR221" i="1" s="1"/>
  <c r="BF168" i="1"/>
  <c r="CG168" i="1" s="1"/>
  <c r="BF242" i="1"/>
  <c r="CG242" i="1" s="1"/>
  <c r="BF201" i="1"/>
  <c r="CG201" i="1" s="1"/>
  <c r="CQ201" i="1" s="1"/>
  <c r="BZ174" i="1"/>
  <c r="CL174" i="1" s="1"/>
  <c r="BZ216" i="1"/>
  <c r="CL216" i="1" s="1"/>
  <c r="BZ176" i="1"/>
  <c r="CL176" i="1" s="1"/>
  <c r="BZ168" i="1"/>
  <c r="CL168" i="1" s="1"/>
  <c r="BZ200" i="1"/>
  <c r="CL200" i="1" s="1"/>
  <c r="BF216" i="1"/>
  <c r="CG216" i="1" s="1"/>
  <c r="CH216" i="1" s="1"/>
  <c r="CI216" i="1" s="1"/>
  <c r="BF164" i="1"/>
  <c r="CG164" i="1" s="1"/>
  <c r="BF179" i="1"/>
  <c r="CG179" i="1" s="1"/>
  <c r="BF252" i="1"/>
  <c r="CG252" i="1" s="1"/>
  <c r="BF215" i="1"/>
  <c r="CG215" i="1" s="1"/>
  <c r="BF214" i="1"/>
  <c r="CG214" i="1" s="1"/>
  <c r="CH189" i="1"/>
  <c r="CI189" i="1" s="1"/>
  <c r="K267" i="2"/>
  <c r="L266" i="2"/>
  <c r="CQ255" i="1"/>
  <c r="CH255" i="1"/>
  <c r="CI255" i="1" s="1"/>
  <c r="CR255" i="1" s="1"/>
  <c r="BZ247" i="1"/>
  <c r="CL247" i="1" s="1"/>
  <c r="K82" i="2"/>
  <c r="L81" i="2"/>
  <c r="BZ235" i="1"/>
  <c r="CL235" i="1" s="1"/>
  <c r="K1051" i="2"/>
  <c r="L1050" i="2"/>
  <c r="CQ161" i="1"/>
  <c r="BZ238" i="1"/>
  <c r="CL238" i="1" s="1"/>
  <c r="BZ201" i="1"/>
  <c r="CL201" i="1" s="1"/>
  <c r="BZ194" i="1"/>
  <c r="CL194" i="1" s="1"/>
  <c r="BF191" i="1"/>
  <c r="CG191" i="1" s="1"/>
  <c r="K1324" i="2"/>
  <c r="L1323" i="2"/>
  <c r="BZ198" i="1"/>
  <c r="CL198" i="1" s="1"/>
  <c r="BZ160" i="1"/>
  <c r="CL160" i="1" s="1"/>
  <c r="K698" i="2"/>
  <c r="L697" i="2"/>
  <c r="BF206" i="1"/>
  <c r="CG206" i="1" s="1"/>
  <c r="BZ208" i="1"/>
  <c r="CL208" i="1" s="1"/>
  <c r="BZ184" i="1"/>
  <c r="CL184" i="1" s="1"/>
  <c r="CQ207" i="1"/>
  <c r="BZ172" i="1"/>
  <c r="CL172" i="1" s="1"/>
  <c r="BF240" i="1"/>
  <c r="CG240" i="1" s="1"/>
  <c r="CH174" i="1"/>
  <c r="CI174" i="1" s="1"/>
  <c r="BF227" i="1"/>
  <c r="CG227" i="1" s="1"/>
  <c r="BF209" i="1"/>
  <c r="CG209" i="1" s="1"/>
  <c r="BZ186" i="1"/>
  <c r="CL186" i="1" s="1"/>
  <c r="K459" i="2"/>
  <c r="L458" i="2"/>
  <c r="BF178" i="1"/>
  <c r="CG178" i="1" s="1"/>
  <c r="BZ190" i="1"/>
  <c r="CL190" i="1" s="1"/>
  <c r="CQ217" i="1"/>
  <c r="CH217" i="1"/>
  <c r="CI217" i="1" s="1"/>
  <c r="C89" i="3"/>
  <c r="AC89" i="3"/>
  <c r="A90" i="3"/>
  <c r="K870" i="2"/>
  <c r="L869" i="2"/>
  <c r="BZ166" i="1"/>
  <c r="CL166" i="1" s="1"/>
  <c r="BZ171" i="1"/>
  <c r="CL171" i="1" s="1"/>
  <c r="CQ205" i="1" l="1"/>
  <c r="CQ253" i="1"/>
  <c r="CQ193" i="1"/>
  <c r="CQ197" i="1"/>
  <c r="CQ168" i="1"/>
  <c r="CQ199" i="1"/>
  <c r="CQ181" i="1"/>
  <c r="CQ242" i="1"/>
  <c r="CM169" i="1"/>
  <c r="CN169" i="1" s="1"/>
  <c r="CV169" i="1" s="1"/>
  <c r="CU169" i="1"/>
  <c r="CM159" i="1"/>
  <c r="CN159" i="1" s="1"/>
  <c r="CV159" i="1" s="1"/>
  <c r="CU159" i="1"/>
  <c r="CM168" i="1"/>
  <c r="CN168" i="1" s="1"/>
  <c r="CV168" i="1" s="1"/>
  <c r="CU168" i="1"/>
  <c r="CM246" i="1"/>
  <c r="CN246" i="1" s="1"/>
  <c r="CV246" i="1" s="1"/>
  <c r="CU246" i="1"/>
  <c r="CM170" i="1"/>
  <c r="CN170" i="1" s="1"/>
  <c r="CV170" i="1" s="1"/>
  <c r="CU170" i="1"/>
  <c r="CM196" i="1"/>
  <c r="CN196" i="1" s="1"/>
  <c r="CV196" i="1" s="1"/>
  <c r="CU196" i="1"/>
  <c r="CM253" i="1"/>
  <c r="CN253" i="1" s="1"/>
  <c r="CV253" i="1" s="1"/>
  <c r="CU253" i="1"/>
  <c r="CM239" i="1"/>
  <c r="CN239" i="1" s="1"/>
  <c r="CV239" i="1" s="1"/>
  <c r="CU239" i="1"/>
  <c r="CM197" i="1"/>
  <c r="CN197" i="1" s="1"/>
  <c r="CV197" i="1" s="1"/>
  <c r="CU197" i="1"/>
  <c r="CM160" i="1"/>
  <c r="CN160" i="1" s="1"/>
  <c r="CV160" i="1" s="1"/>
  <c r="CU160" i="1"/>
  <c r="CM232" i="1"/>
  <c r="CN232" i="1" s="1"/>
  <c r="CV232" i="1" s="1"/>
  <c r="CU232" i="1"/>
  <c r="CM241" i="1"/>
  <c r="CN241" i="1" s="1"/>
  <c r="CV241" i="1" s="1"/>
  <c r="CU241" i="1"/>
  <c r="CM209" i="1"/>
  <c r="CN209" i="1" s="1"/>
  <c r="CV209" i="1" s="1"/>
  <c r="CU209" i="1"/>
  <c r="CM180" i="1"/>
  <c r="CN180" i="1" s="1"/>
  <c r="CV180" i="1" s="1"/>
  <c r="CU180" i="1"/>
  <c r="CM173" i="1"/>
  <c r="CN173" i="1" s="1"/>
  <c r="CV173" i="1" s="1"/>
  <c r="CU173" i="1"/>
  <c r="CM189" i="1"/>
  <c r="CN189" i="1" s="1"/>
  <c r="CV189" i="1" s="1"/>
  <c r="CU189" i="1"/>
  <c r="CM242" i="1"/>
  <c r="CN242" i="1" s="1"/>
  <c r="CV242" i="1" s="1"/>
  <c r="CU242" i="1"/>
  <c r="CM190" i="1"/>
  <c r="CN190" i="1" s="1"/>
  <c r="CV190" i="1" s="1"/>
  <c r="CU190" i="1"/>
  <c r="CM216" i="1"/>
  <c r="CN216" i="1" s="1"/>
  <c r="CV216" i="1" s="1"/>
  <c r="CU216" i="1"/>
  <c r="CM174" i="1"/>
  <c r="CN174" i="1" s="1"/>
  <c r="CV174" i="1" s="1"/>
  <c r="CU174" i="1"/>
  <c r="CM182" i="1"/>
  <c r="CN182" i="1" s="1"/>
  <c r="CV182" i="1" s="1"/>
  <c r="CU182" i="1"/>
  <c r="CM179" i="1"/>
  <c r="CN179" i="1" s="1"/>
  <c r="CV179" i="1" s="1"/>
  <c r="CU179" i="1"/>
  <c r="CM254" i="1"/>
  <c r="CN254" i="1" s="1"/>
  <c r="CV254" i="1" s="1"/>
  <c r="CU254" i="1"/>
  <c r="CM240" i="1"/>
  <c r="CN240" i="1" s="1"/>
  <c r="CV240" i="1" s="1"/>
  <c r="CU240" i="1"/>
  <c r="CM167" i="1"/>
  <c r="CN167" i="1" s="1"/>
  <c r="CV167" i="1" s="1"/>
  <c r="CU167" i="1"/>
  <c r="CM219" i="1"/>
  <c r="CN219" i="1" s="1"/>
  <c r="CV219" i="1" s="1"/>
  <c r="CU219" i="1"/>
  <c r="CM247" i="1"/>
  <c r="CN247" i="1" s="1"/>
  <c r="CV247" i="1" s="1"/>
  <c r="CU247" i="1"/>
  <c r="CM198" i="1"/>
  <c r="CN198" i="1" s="1"/>
  <c r="CV198" i="1" s="1"/>
  <c r="CU198" i="1"/>
  <c r="CM222" i="1"/>
  <c r="CN222" i="1" s="1"/>
  <c r="CV222" i="1" s="1"/>
  <c r="CU222" i="1"/>
  <c r="CM178" i="1"/>
  <c r="CN178" i="1" s="1"/>
  <c r="CV178" i="1" s="1"/>
  <c r="CU178" i="1"/>
  <c r="CM252" i="1"/>
  <c r="CN252" i="1" s="1"/>
  <c r="CV252" i="1" s="1"/>
  <c r="CU252" i="1"/>
  <c r="CM185" i="1"/>
  <c r="CN185" i="1" s="1"/>
  <c r="CV185" i="1" s="1"/>
  <c r="CU185" i="1"/>
  <c r="CM223" i="1"/>
  <c r="CN223" i="1" s="1"/>
  <c r="CV223" i="1" s="1"/>
  <c r="CU223" i="1"/>
  <c r="CM236" i="1"/>
  <c r="CN236" i="1" s="1"/>
  <c r="CV236" i="1" s="1"/>
  <c r="CU236" i="1"/>
  <c r="CM225" i="1"/>
  <c r="CN225" i="1" s="1"/>
  <c r="CV225" i="1" s="1"/>
  <c r="CU225" i="1"/>
  <c r="CM212" i="1"/>
  <c r="CN212" i="1" s="1"/>
  <c r="CV212" i="1" s="1"/>
  <c r="CU212" i="1"/>
  <c r="CM193" i="1"/>
  <c r="CN193" i="1" s="1"/>
  <c r="CV193" i="1" s="1"/>
  <c r="CU193" i="1"/>
  <c r="CM231" i="1"/>
  <c r="CN231" i="1" s="1"/>
  <c r="CV231" i="1" s="1"/>
  <c r="CU231" i="1"/>
  <c r="CM245" i="1"/>
  <c r="CN245" i="1" s="1"/>
  <c r="CV245" i="1" s="1"/>
  <c r="CU245" i="1"/>
  <c r="CM206" i="1"/>
  <c r="CN206" i="1" s="1"/>
  <c r="CV206" i="1" s="1"/>
  <c r="CU206" i="1"/>
  <c r="CM237" i="1"/>
  <c r="CN237" i="1" s="1"/>
  <c r="CV237" i="1" s="1"/>
  <c r="CU237" i="1"/>
  <c r="CM215" i="1"/>
  <c r="CN215" i="1" s="1"/>
  <c r="CV215" i="1" s="1"/>
  <c r="CU215" i="1"/>
  <c r="CM208" i="1"/>
  <c r="CN208" i="1" s="1"/>
  <c r="CV208" i="1" s="1"/>
  <c r="CU208" i="1"/>
  <c r="CM181" i="1"/>
  <c r="CN181" i="1" s="1"/>
  <c r="CV181" i="1" s="1"/>
  <c r="CU181" i="1"/>
  <c r="CM230" i="1"/>
  <c r="CN230" i="1" s="1"/>
  <c r="CV230" i="1" s="1"/>
  <c r="CU230" i="1"/>
  <c r="CM194" i="1"/>
  <c r="CN194" i="1" s="1"/>
  <c r="CV194" i="1" s="1"/>
  <c r="CU194" i="1"/>
  <c r="CM187" i="1"/>
  <c r="CN187" i="1" s="1"/>
  <c r="CV187" i="1" s="1"/>
  <c r="CU187" i="1"/>
  <c r="CM205" i="1"/>
  <c r="CN205" i="1" s="1"/>
  <c r="CV205" i="1" s="1"/>
  <c r="CU205" i="1"/>
  <c r="CM214" i="1"/>
  <c r="CN214" i="1" s="1"/>
  <c r="CV214" i="1" s="1"/>
  <c r="CU214" i="1"/>
  <c r="CM243" i="1"/>
  <c r="CN243" i="1" s="1"/>
  <c r="CV243" i="1" s="1"/>
  <c r="CU243" i="1"/>
  <c r="CM201" i="1"/>
  <c r="CN201" i="1" s="1"/>
  <c r="CV201" i="1" s="1"/>
  <c r="CU201" i="1"/>
  <c r="CM158" i="1"/>
  <c r="CN158" i="1" s="1"/>
  <c r="CV158" i="1" s="1"/>
  <c r="CU158" i="1"/>
  <c r="CM226" i="1"/>
  <c r="CN226" i="1" s="1"/>
  <c r="CV226" i="1" s="1"/>
  <c r="CU226" i="1"/>
  <c r="CM202" i="1"/>
  <c r="CN202" i="1" s="1"/>
  <c r="CV202" i="1" s="1"/>
  <c r="CU202" i="1"/>
  <c r="CM157" i="1"/>
  <c r="CN157" i="1" s="1"/>
  <c r="CV157" i="1" s="1"/>
  <c r="CU157" i="1"/>
  <c r="CM248" i="1"/>
  <c r="CN248" i="1" s="1"/>
  <c r="CV248" i="1" s="1"/>
  <c r="CU248" i="1"/>
  <c r="CM227" i="1"/>
  <c r="CN227" i="1" s="1"/>
  <c r="CV227" i="1" s="1"/>
  <c r="CU227" i="1"/>
  <c r="CQ159" i="1"/>
  <c r="CM183" i="1"/>
  <c r="CN183" i="1" s="1"/>
  <c r="CV183" i="1" s="1"/>
  <c r="CU183" i="1"/>
  <c r="CM224" i="1"/>
  <c r="CN224" i="1" s="1"/>
  <c r="CV224" i="1" s="1"/>
  <c r="CU224" i="1"/>
  <c r="CM207" i="1"/>
  <c r="CN207" i="1" s="1"/>
  <c r="CV207" i="1" s="1"/>
  <c r="CU207" i="1"/>
  <c r="CM233" i="1"/>
  <c r="CN233" i="1" s="1"/>
  <c r="CV233" i="1" s="1"/>
  <c r="CU233" i="1"/>
  <c r="CM218" i="1"/>
  <c r="CN218" i="1" s="1"/>
  <c r="CV218" i="1" s="1"/>
  <c r="CU218" i="1"/>
  <c r="CM166" i="1"/>
  <c r="CN166" i="1" s="1"/>
  <c r="CV166" i="1" s="1"/>
  <c r="CU166" i="1"/>
  <c r="CM238" i="1"/>
  <c r="CN238" i="1" s="1"/>
  <c r="CV238" i="1" s="1"/>
  <c r="CU238" i="1"/>
  <c r="CM172" i="1"/>
  <c r="CN172" i="1" s="1"/>
  <c r="CV172" i="1" s="1"/>
  <c r="CU172" i="1"/>
  <c r="CM228" i="1"/>
  <c r="CN228" i="1" s="1"/>
  <c r="CV228" i="1" s="1"/>
  <c r="CU228" i="1"/>
  <c r="CM217" i="1"/>
  <c r="CN217" i="1" s="1"/>
  <c r="CV217" i="1" s="1"/>
  <c r="CU217" i="1"/>
  <c r="CM165" i="1"/>
  <c r="CN165" i="1" s="1"/>
  <c r="CV165" i="1" s="1"/>
  <c r="CU165" i="1"/>
  <c r="CM175" i="1"/>
  <c r="CN175" i="1" s="1"/>
  <c r="CV175" i="1" s="1"/>
  <c r="CU175" i="1"/>
  <c r="CM164" i="1"/>
  <c r="CN164" i="1" s="1"/>
  <c r="CV164" i="1" s="1"/>
  <c r="CU164" i="1"/>
  <c r="CM162" i="1"/>
  <c r="CN162" i="1" s="1"/>
  <c r="CV162" i="1" s="1"/>
  <c r="CU162" i="1"/>
  <c r="CM199" i="1"/>
  <c r="CN199" i="1" s="1"/>
  <c r="CV199" i="1" s="1"/>
  <c r="CU199" i="1"/>
  <c r="CM176" i="1"/>
  <c r="CN176" i="1" s="1"/>
  <c r="CV176" i="1" s="1"/>
  <c r="CU176" i="1"/>
  <c r="CM192" i="1"/>
  <c r="CN192" i="1" s="1"/>
  <c r="CV192" i="1" s="1"/>
  <c r="CU192" i="1"/>
  <c r="CM191" i="1"/>
  <c r="CN191" i="1" s="1"/>
  <c r="CV191" i="1" s="1"/>
  <c r="CU191" i="1"/>
  <c r="CM213" i="1"/>
  <c r="CN213" i="1" s="1"/>
  <c r="CV213" i="1" s="1"/>
  <c r="CU213" i="1"/>
  <c r="CM177" i="1"/>
  <c r="CN177" i="1" s="1"/>
  <c r="CV177" i="1" s="1"/>
  <c r="CU177" i="1"/>
  <c r="CM251" i="1"/>
  <c r="CN251" i="1" s="1"/>
  <c r="CV251" i="1" s="1"/>
  <c r="CU251" i="1"/>
  <c r="CM220" i="1"/>
  <c r="CN220" i="1" s="1"/>
  <c r="CV220" i="1" s="1"/>
  <c r="CU220" i="1"/>
  <c r="CM211" i="1"/>
  <c r="CN211" i="1" s="1"/>
  <c r="CV211" i="1" s="1"/>
  <c r="CU211" i="1"/>
  <c r="CM188" i="1"/>
  <c r="CN188" i="1" s="1"/>
  <c r="CV188" i="1" s="1"/>
  <c r="CU188" i="1"/>
  <c r="CM200" i="1"/>
  <c r="CN200" i="1" s="1"/>
  <c r="CV200" i="1" s="1"/>
  <c r="CU200" i="1"/>
  <c r="CM186" i="1"/>
  <c r="CN186" i="1" s="1"/>
  <c r="CV186" i="1" s="1"/>
  <c r="CU186" i="1"/>
  <c r="CM250" i="1"/>
  <c r="CN250" i="1" s="1"/>
  <c r="CV250" i="1" s="1"/>
  <c r="CU250" i="1"/>
  <c r="CM161" i="1"/>
  <c r="CN161" i="1" s="1"/>
  <c r="CV161" i="1" s="1"/>
  <c r="CU161" i="1"/>
  <c r="CM244" i="1"/>
  <c r="CN244" i="1" s="1"/>
  <c r="CV244" i="1" s="1"/>
  <c r="CU244" i="1"/>
  <c r="CM171" i="1"/>
  <c r="CN171" i="1" s="1"/>
  <c r="CV171" i="1" s="1"/>
  <c r="CU171" i="1"/>
  <c r="CM184" i="1"/>
  <c r="CN184" i="1" s="1"/>
  <c r="CV184" i="1" s="1"/>
  <c r="CU184" i="1"/>
  <c r="CM235" i="1"/>
  <c r="CN235" i="1" s="1"/>
  <c r="CV235" i="1" s="1"/>
  <c r="CU235" i="1"/>
  <c r="CM229" i="1"/>
  <c r="CN229" i="1" s="1"/>
  <c r="CV229" i="1" s="1"/>
  <c r="CU229" i="1"/>
  <c r="CM203" i="1"/>
  <c r="CN203" i="1" s="1"/>
  <c r="CV203" i="1" s="1"/>
  <c r="CU203" i="1"/>
  <c r="CM210" i="1"/>
  <c r="CN210" i="1" s="1"/>
  <c r="CV210" i="1" s="1"/>
  <c r="CU210" i="1"/>
  <c r="CM163" i="1"/>
  <c r="CN163" i="1" s="1"/>
  <c r="CV163" i="1" s="1"/>
  <c r="CU163" i="1"/>
  <c r="CM195" i="1"/>
  <c r="CN195" i="1" s="1"/>
  <c r="CV195" i="1" s="1"/>
  <c r="CU195" i="1"/>
  <c r="CQ215" i="1"/>
  <c r="CQ232" i="1"/>
  <c r="CQ158" i="1"/>
  <c r="CQ248" i="1"/>
  <c r="CQ183" i="1"/>
  <c r="CQ180" i="1"/>
  <c r="CQ223" i="1"/>
  <c r="CQ236" i="1"/>
  <c r="CQ176" i="1"/>
  <c r="CQ228" i="1"/>
  <c r="CQ212" i="1"/>
  <c r="CQ200" i="1"/>
  <c r="CQ241" i="1"/>
  <c r="CQ160" i="1"/>
  <c r="CQ225" i="1"/>
  <c r="CQ247" i="1"/>
  <c r="CQ190" i="1"/>
  <c r="CR231" i="1"/>
  <c r="CQ252" i="1"/>
  <c r="CR245" i="1"/>
  <c r="CQ230" i="1"/>
  <c r="CQ254" i="1"/>
  <c r="CR182" i="1"/>
  <c r="CQ222" i="1"/>
  <c r="CR244" i="1"/>
  <c r="CQ174" i="1"/>
  <c r="CQ166" i="1"/>
  <c r="CQ238" i="1"/>
  <c r="CQ185" i="1"/>
  <c r="CR202" i="1"/>
  <c r="CQ171" i="1"/>
  <c r="CR172" i="1"/>
  <c r="CR239" i="1"/>
  <c r="CQ187" i="1"/>
  <c r="CQ188" i="1"/>
  <c r="CQ196" i="1"/>
  <c r="CQ229" i="1"/>
  <c r="CQ243" i="1"/>
  <c r="CR226" i="1"/>
  <c r="CQ179" i="1"/>
  <c r="CQ186" i="1"/>
  <c r="CQ194" i="1"/>
  <c r="CQ224" i="1"/>
  <c r="CQ198" i="1"/>
  <c r="CH177" i="1"/>
  <c r="CI177" i="1" s="1"/>
  <c r="CQ192" i="1"/>
  <c r="CH228" i="1"/>
  <c r="CI228" i="1" s="1"/>
  <c r="CQ218" i="1"/>
  <c r="CH180" i="1"/>
  <c r="CI180" i="1" s="1"/>
  <c r="CR180" i="1" s="1"/>
  <c r="CQ162" i="1"/>
  <c r="CH196" i="1"/>
  <c r="CI196" i="1" s="1"/>
  <c r="CR196" i="1" s="1"/>
  <c r="CH198" i="1"/>
  <c r="CI198" i="1" s="1"/>
  <c r="CQ226" i="1"/>
  <c r="CH224" i="1"/>
  <c r="CI224" i="1" s="1"/>
  <c r="CQ208" i="1"/>
  <c r="CH194" i="1"/>
  <c r="CI194" i="1" s="1"/>
  <c r="CR194" i="1" s="1"/>
  <c r="CQ203" i="1"/>
  <c r="CQ182" i="1"/>
  <c r="CQ173" i="1"/>
  <c r="CQ220" i="1"/>
  <c r="CH238" i="1"/>
  <c r="CI238" i="1" s="1"/>
  <c r="CR238" i="1" s="1"/>
  <c r="CQ219" i="1"/>
  <c r="CQ231" i="1"/>
  <c r="CH225" i="1"/>
  <c r="CI225" i="1" s="1"/>
  <c r="CQ233" i="1"/>
  <c r="CH241" i="1"/>
  <c r="CI241" i="1" s="1"/>
  <c r="CH199" i="1"/>
  <c r="CI199" i="1" s="1"/>
  <c r="CR199" i="1" s="1"/>
  <c r="CQ235" i="1"/>
  <c r="CH249" i="1"/>
  <c r="CI249" i="1" s="1"/>
  <c r="CR249" i="1" s="1"/>
  <c r="CH176" i="1"/>
  <c r="CI176" i="1" s="1"/>
  <c r="CR176" i="1" s="1"/>
  <c r="CQ211" i="1"/>
  <c r="CQ204" i="1"/>
  <c r="CQ250" i="1"/>
  <c r="CH190" i="1"/>
  <c r="CI190" i="1" s="1"/>
  <c r="CH236" i="1"/>
  <c r="CI236" i="1" s="1"/>
  <c r="CH212" i="1"/>
  <c r="CI212" i="1" s="1"/>
  <c r="CH243" i="1"/>
  <c r="CI243" i="1" s="1"/>
  <c r="CH229" i="1"/>
  <c r="CI229" i="1" s="1"/>
  <c r="CH188" i="1"/>
  <c r="CI188" i="1" s="1"/>
  <c r="CR188" i="1" s="1"/>
  <c r="CQ202" i="1"/>
  <c r="CH163" i="1"/>
  <c r="CI163" i="1" s="1"/>
  <c r="CR163" i="1" s="1"/>
  <c r="CH253" i="1"/>
  <c r="CI253" i="1" s="1"/>
  <c r="CR253" i="1" s="1"/>
  <c r="CQ246" i="1"/>
  <c r="CQ167" i="1"/>
  <c r="CH197" i="1"/>
  <c r="CI197" i="1" s="1"/>
  <c r="CR197" i="1" s="1"/>
  <c r="CH195" i="1"/>
  <c r="CI195" i="1" s="1"/>
  <c r="CR195" i="1" s="1"/>
  <c r="CH232" i="1"/>
  <c r="CI232" i="1" s="1"/>
  <c r="CQ170" i="1"/>
  <c r="CH157" i="1"/>
  <c r="CI157" i="1" s="1"/>
  <c r="CH222" i="1"/>
  <c r="CI222" i="1" s="1"/>
  <c r="CR222" i="1" s="1"/>
  <c r="CQ216" i="1"/>
  <c r="CH205" i="1"/>
  <c r="CI205" i="1" s="1"/>
  <c r="CR205" i="1" s="1"/>
  <c r="CH210" i="1"/>
  <c r="CI210" i="1" s="1"/>
  <c r="CH193" i="1"/>
  <c r="CI193" i="1" s="1"/>
  <c r="CR193" i="1" s="1"/>
  <c r="CQ239" i="1"/>
  <c r="CH171" i="1"/>
  <c r="CI171" i="1" s="1"/>
  <c r="CR171" i="1" s="1"/>
  <c r="CQ169" i="1"/>
  <c r="CH200" i="1"/>
  <c r="CI200" i="1" s="1"/>
  <c r="CH166" i="1"/>
  <c r="CI166" i="1" s="1"/>
  <c r="CR166" i="1" s="1"/>
  <c r="CH185" i="1"/>
  <c r="CI185" i="1" s="1"/>
  <c r="CR185" i="1" s="1"/>
  <c r="CH254" i="1"/>
  <c r="CI254" i="1" s="1"/>
  <c r="CR254" i="1" s="1"/>
  <c r="CH168" i="1"/>
  <c r="CI168" i="1" s="1"/>
  <c r="CQ244" i="1"/>
  <c r="CQ184" i="1"/>
  <c r="CH248" i="1"/>
  <c r="CI248" i="1" s="1"/>
  <c r="CR248" i="1" s="1"/>
  <c r="CH187" i="1"/>
  <c r="CI187" i="1" s="1"/>
  <c r="CR187" i="1" s="1"/>
  <c r="CH181" i="1"/>
  <c r="CI181" i="1" s="1"/>
  <c r="CQ221" i="1"/>
  <c r="CQ245" i="1"/>
  <c r="CH247" i="1"/>
  <c r="CI247" i="1" s="1"/>
  <c r="CH201" i="1"/>
  <c r="CI201" i="1" s="1"/>
  <c r="CQ234" i="1"/>
  <c r="CH160" i="1"/>
  <c r="CI160" i="1" s="1"/>
  <c r="CH175" i="1"/>
  <c r="CI175" i="1" s="1"/>
  <c r="CR175" i="1" s="1"/>
  <c r="CH213" i="1"/>
  <c r="CI213" i="1" s="1"/>
  <c r="CH252" i="1"/>
  <c r="CI252" i="1" s="1"/>
  <c r="CR252" i="1" s="1"/>
  <c r="CH242" i="1"/>
  <c r="CI242" i="1" s="1"/>
  <c r="CR242" i="1" s="1"/>
  <c r="CH230" i="1"/>
  <c r="CI230" i="1" s="1"/>
  <c r="CR230" i="1" s="1"/>
  <c r="CQ251" i="1"/>
  <c r="CH251" i="1"/>
  <c r="CI251" i="1" s="1"/>
  <c r="CR251" i="1" s="1"/>
  <c r="CH165" i="1"/>
  <c r="CI165" i="1" s="1"/>
  <c r="CQ172" i="1"/>
  <c r="CH215" i="1"/>
  <c r="CI215" i="1" s="1"/>
  <c r="CH179" i="1"/>
  <c r="CI179" i="1" s="1"/>
  <c r="CR179" i="1" s="1"/>
  <c r="CH223" i="1"/>
  <c r="CI223" i="1" s="1"/>
  <c r="CR223" i="1" s="1"/>
  <c r="CQ237" i="1"/>
  <c r="CH237" i="1"/>
  <c r="CI237" i="1" s="1"/>
  <c r="CR237" i="1" s="1"/>
  <c r="CQ164" i="1"/>
  <c r="CH164" i="1"/>
  <c r="CI164" i="1" s="1"/>
  <c r="CR164" i="1" s="1"/>
  <c r="CQ214" i="1"/>
  <c r="CH214" i="1"/>
  <c r="CI214" i="1" s="1"/>
  <c r="CR214" i="1" s="1"/>
  <c r="CQ191" i="1"/>
  <c r="CH191" i="1"/>
  <c r="CI191" i="1" s="1"/>
  <c r="K1052" i="2"/>
  <c r="L1051" i="2"/>
  <c r="CQ206" i="1"/>
  <c r="CH206" i="1"/>
  <c r="CI206" i="1" s="1"/>
  <c r="CR206" i="1" s="1"/>
  <c r="CH178" i="1"/>
  <c r="CI178" i="1" s="1"/>
  <c r="CR178" i="1" s="1"/>
  <c r="CQ178" i="1"/>
  <c r="L82" i="2"/>
  <c r="K83" i="2"/>
  <c r="K268" i="2"/>
  <c r="L267" i="2"/>
  <c r="CQ240" i="1"/>
  <c r="CH240" i="1"/>
  <c r="CI240" i="1" s="1"/>
  <c r="CR240" i="1" s="1"/>
  <c r="K699" i="2"/>
  <c r="L698" i="2"/>
  <c r="K1325" i="2"/>
  <c r="L1324" i="2"/>
  <c r="K460" i="2"/>
  <c r="L459" i="2"/>
  <c r="CQ209" i="1"/>
  <c r="CH209" i="1"/>
  <c r="CI209" i="1" s="1"/>
  <c r="CR209" i="1" s="1"/>
  <c r="CQ227" i="1"/>
  <c r="CH227" i="1"/>
  <c r="CI227" i="1" s="1"/>
  <c r="CR227" i="1" s="1"/>
  <c r="A91" i="3"/>
  <c r="AC90" i="3"/>
  <c r="C90" i="3"/>
  <c r="K871" i="2"/>
  <c r="L870" i="2"/>
  <c r="CR200" i="1" l="1"/>
  <c r="CR183" i="1"/>
  <c r="CR228" i="1"/>
  <c r="CR177" i="1"/>
  <c r="CR165" i="1"/>
  <c r="CR213" i="1"/>
  <c r="CR210" i="1"/>
  <c r="CR241" i="1"/>
  <c r="CR235" i="1"/>
  <c r="CR217" i="1"/>
  <c r="CR229" i="1"/>
  <c r="CR160" i="1"/>
  <c r="CR225" i="1"/>
  <c r="CR219" i="1"/>
  <c r="CR243" i="1"/>
  <c r="CR161" i="1"/>
  <c r="CR215" i="1"/>
  <c r="CR236" i="1"/>
  <c r="CR190" i="1"/>
  <c r="CR189" i="1"/>
  <c r="CR157" i="1"/>
  <c r="CR170" i="1"/>
  <c r="CR167" i="1"/>
  <c r="CR173" i="1"/>
  <c r="CR208" i="1"/>
  <c r="CR158" i="1"/>
  <c r="CR184" i="1"/>
  <c r="CR212" i="1"/>
  <c r="CR216" i="1"/>
  <c r="CR181" i="1"/>
  <c r="CR192" i="1"/>
  <c r="CR169" i="1"/>
  <c r="CR203" i="1"/>
  <c r="CR207" i="1"/>
  <c r="CR246" i="1"/>
  <c r="CR250" i="1"/>
  <c r="CR211" i="1"/>
  <c r="CR162" i="1"/>
  <c r="CR232" i="1"/>
  <c r="CR174" i="1"/>
  <c r="CR218" i="1"/>
  <c r="CR168" i="1"/>
  <c r="CR224" i="1"/>
  <c r="CR201" i="1"/>
  <c r="CR191" i="1"/>
  <c r="CR220" i="1"/>
  <c r="CR247" i="1"/>
  <c r="CR198" i="1"/>
  <c r="CR186" i="1"/>
  <c r="CR233" i="1"/>
  <c r="CR159" i="1"/>
  <c r="K84" i="2"/>
  <c r="L83" i="2"/>
  <c r="K872" i="2"/>
  <c r="L871" i="2"/>
  <c r="K269" i="2"/>
  <c r="L268" i="2"/>
  <c r="AC91" i="3"/>
  <c r="A92" i="3"/>
  <c r="C91" i="3"/>
  <c r="K461" i="2"/>
  <c r="L460" i="2"/>
  <c r="K1053" i="2"/>
  <c r="L1052" i="2"/>
  <c r="K700" i="2"/>
  <c r="L699" i="2"/>
  <c r="K1326" i="2"/>
  <c r="L1325" i="2"/>
  <c r="K462" i="2" l="1"/>
  <c r="L461" i="2"/>
  <c r="AC92" i="3"/>
  <c r="A93" i="3"/>
  <c r="C92" i="3"/>
  <c r="K1327" i="2"/>
  <c r="L1326" i="2"/>
  <c r="K701" i="2"/>
  <c r="L700" i="2"/>
  <c r="K1054" i="2"/>
  <c r="L1053" i="2"/>
  <c r="K270" i="2"/>
  <c r="L269" i="2"/>
  <c r="K873" i="2"/>
  <c r="L872" i="2"/>
  <c r="K85" i="2"/>
  <c r="L84" i="2"/>
  <c r="L85" i="2" l="1"/>
  <c r="K86" i="2"/>
  <c r="K271" i="2"/>
  <c r="L270" i="2"/>
  <c r="K702" i="2"/>
  <c r="L701" i="2"/>
  <c r="K874" i="2"/>
  <c r="L873" i="2"/>
  <c r="K1055" i="2"/>
  <c r="L1054" i="2"/>
  <c r="K1328" i="2"/>
  <c r="L1327" i="2"/>
  <c r="C93" i="3"/>
  <c r="AC93" i="3"/>
  <c r="A94" i="3"/>
  <c r="K463" i="2"/>
  <c r="L462" i="2"/>
  <c r="AC94" i="3" l="1"/>
  <c r="A95" i="3"/>
  <c r="C94" i="3"/>
  <c r="K464" i="2"/>
  <c r="L463" i="2"/>
  <c r="K703" i="2"/>
  <c r="L702" i="2"/>
  <c r="K87" i="2"/>
  <c r="L86" i="2"/>
  <c r="K1329" i="2"/>
  <c r="L1328" i="2"/>
  <c r="K1056" i="2"/>
  <c r="L1055" i="2"/>
  <c r="K875" i="2"/>
  <c r="L874" i="2"/>
  <c r="K272" i="2"/>
  <c r="L271" i="2"/>
  <c r="K1330" i="2" l="1"/>
  <c r="L1329" i="2"/>
  <c r="K465" i="2"/>
  <c r="L464" i="2"/>
  <c r="AC95" i="3"/>
  <c r="C95" i="3"/>
  <c r="A96" i="3"/>
  <c r="K273" i="2"/>
  <c r="L272" i="2"/>
  <c r="K876" i="2"/>
  <c r="L875" i="2"/>
  <c r="K1057" i="2"/>
  <c r="L1056" i="2"/>
  <c r="L87" i="2"/>
  <c r="K88" i="2"/>
  <c r="K704" i="2"/>
  <c r="L703" i="2"/>
  <c r="L88" i="2" l="1"/>
  <c r="K89" i="2"/>
  <c r="K705" i="2"/>
  <c r="L704" i="2"/>
  <c r="K1058" i="2"/>
  <c r="L1057" i="2"/>
  <c r="K877" i="2"/>
  <c r="L876" i="2"/>
  <c r="K274" i="2"/>
  <c r="L273" i="2"/>
  <c r="A97" i="3"/>
  <c r="C96" i="3"/>
  <c r="AC96" i="3"/>
  <c r="K466" i="2"/>
  <c r="L465" i="2"/>
  <c r="K1331" i="2"/>
  <c r="L1330" i="2"/>
  <c r="K1332" i="2" l="1"/>
  <c r="L1331" i="2"/>
  <c r="K467" i="2"/>
  <c r="L466" i="2"/>
  <c r="AC97" i="3"/>
  <c r="A98" i="3"/>
  <c r="C97" i="3"/>
  <c r="K878" i="2"/>
  <c r="L877" i="2"/>
  <c r="K275" i="2"/>
  <c r="L274" i="2"/>
  <c r="K90" i="2"/>
  <c r="L89" i="2"/>
  <c r="K1059" i="2"/>
  <c r="L1058" i="2"/>
  <c r="K706" i="2"/>
  <c r="L705" i="2"/>
  <c r="K707" i="2" l="1"/>
  <c r="L706" i="2"/>
  <c r="L90" i="2"/>
  <c r="K91" i="2"/>
  <c r="K879" i="2"/>
  <c r="L878" i="2"/>
  <c r="K1060" i="2"/>
  <c r="L1059" i="2"/>
  <c r="K276" i="2"/>
  <c r="L275" i="2"/>
  <c r="K468" i="2"/>
  <c r="L467" i="2"/>
  <c r="AC98" i="3"/>
  <c r="A99" i="3"/>
  <c r="C98" i="3"/>
  <c r="K1333" i="2"/>
  <c r="L1332" i="2"/>
  <c r="C99" i="3" l="1"/>
  <c r="AC99" i="3"/>
  <c r="A100" i="3"/>
  <c r="K469" i="2"/>
  <c r="L468" i="2"/>
  <c r="K277" i="2"/>
  <c r="L276" i="2"/>
  <c r="K92" i="2"/>
  <c r="L91" i="2"/>
  <c r="K1334" i="2"/>
  <c r="L1333" i="2"/>
  <c r="K1061" i="2"/>
  <c r="L1060" i="2"/>
  <c r="K880" i="2"/>
  <c r="L879" i="2"/>
  <c r="K708" i="2"/>
  <c r="L707" i="2"/>
  <c r="K1335" i="2" l="1"/>
  <c r="L1334" i="2"/>
  <c r="K881" i="2"/>
  <c r="L880" i="2"/>
  <c r="K1062" i="2"/>
  <c r="L1061" i="2"/>
  <c r="K93" i="2"/>
  <c r="L92" i="2"/>
  <c r="K278" i="2"/>
  <c r="L277" i="2"/>
  <c r="K470" i="2"/>
  <c r="L469" i="2"/>
  <c r="A101" i="3"/>
  <c r="AC100" i="3"/>
  <c r="C100" i="3"/>
  <c r="K709" i="2"/>
  <c r="L708" i="2"/>
  <c r="K710" i="2" l="1"/>
  <c r="L709" i="2"/>
  <c r="AC101" i="3"/>
  <c r="A102" i="3"/>
  <c r="C101" i="3"/>
  <c r="L93" i="2"/>
  <c r="K94" i="2"/>
  <c r="K471" i="2"/>
  <c r="L470" i="2"/>
  <c r="L278" i="2"/>
  <c r="K279" i="2"/>
  <c r="K1063" i="2"/>
  <c r="L1062" i="2"/>
  <c r="K882" i="2"/>
  <c r="L881" i="2"/>
  <c r="K1336" i="2"/>
  <c r="L1335" i="2"/>
  <c r="K883" i="2" l="1"/>
  <c r="L882" i="2"/>
  <c r="K1064" i="2"/>
  <c r="L1063" i="2"/>
  <c r="K280" i="2"/>
  <c r="L279" i="2"/>
  <c r="K472" i="2"/>
  <c r="L471" i="2"/>
  <c r="K95" i="2"/>
  <c r="L94" i="2"/>
  <c r="K1337" i="2"/>
  <c r="L1336" i="2"/>
  <c r="A103" i="3"/>
  <c r="C102" i="3"/>
  <c r="AC102" i="3"/>
  <c r="K711" i="2"/>
  <c r="L710" i="2"/>
  <c r="K712" i="2" l="1"/>
  <c r="L711" i="2"/>
  <c r="AC103" i="3"/>
  <c r="A104" i="3"/>
  <c r="C103" i="3"/>
  <c r="K1338" i="2"/>
  <c r="L1337" i="2"/>
  <c r="L95" i="2"/>
  <c r="K96" i="2"/>
  <c r="K473" i="2"/>
  <c r="L472" i="2"/>
  <c r="K281" i="2"/>
  <c r="L280" i="2"/>
  <c r="K1065" i="2"/>
  <c r="L1064" i="2"/>
  <c r="K884" i="2"/>
  <c r="L883" i="2"/>
  <c r="K885" i="2" l="1"/>
  <c r="L884" i="2"/>
  <c r="K474" i="2"/>
  <c r="L473" i="2"/>
  <c r="K1066" i="2"/>
  <c r="L1065" i="2"/>
  <c r="L96" i="2"/>
  <c r="K97" i="2"/>
  <c r="K282" i="2"/>
  <c r="L281" i="2"/>
  <c r="K1339" i="2"/>
  <c r="L1338" i="2"/>
  <c r="AC104" i="3"/>
  <c r="A105" i="3"/>
  <c r="C104" i="3"/>
  <c r="K713" i="2"/>
  <c r="L712" i="2"/>
  <c r="K714" i="2" l="1"/>
  <c r="L713" i="2"/>
  <c r="K98" i="2"/>
  <c r="L97" i="2"/>
  <c r="C105" i="3"/>
  <c r="AC105" i="3"/>
  <c r="A106" i="3"/>
  <c r="K1340" i="2"/>
  <c r="L1339" i="2"/>
  <c r="K283" i="2"/>
  <c r="L282" i="2"/>
  <c r="K1067" i="2"/>
  <c r="L1066" i="2"/>
  <c r="K475" i="2"/>
  <c r="L474" i="2"/>
  <c r="K886" i="2"/>
  <c r="L885" i="2"/>
  <c r="K887" i="2" l="1"/>
  <c r="L886" i="2"/>
  <c r="K1341" i="2"/>
  <c r="L1340" i="2"/>
  <c r="K284" i="2"/>
  <c r="L283" i="2"/>
  <c r="L98" i="2"/>
  <c r="K99" i="2"/>
  <c r="K476" i="2"/>
  <c r="L475" i="2"/>
  <c r="K1068" i="2"/>
  <c r="L1067" i="2"/>
  <c r="A107" i="3"/>
  <c r="AC106" i="3"/>
  <c r="C106" i="3"/>
  <c r="K715" i="2"/>
  <c r="L714" i="2"/>
  <c r="K716" i="2" l="1"/>
  <c r="L715" i="2"/>
  <c r="K100" i="2"/>
  <c r="L99" i="2"/>
  <c r="AC107" i="3"/>
  <c r="A108" i="3"/>
  <c r="C107" i="3"/>
  <c r="K1069" i="2"/>
  <c r="L1068" i="2"/>
  <c r="K477" i="2"/>
  <c r="L476" i="2"/>
  <c r="K285" i="2"/>
  <c r="L284" i="2"/>
  <c r="K1342" i="2"/>
  <c r="L1341" i="2"/>
  <c r="K888" i="2"/>
  <c r="L887" i="2"/>
  <c r="K1343" i="2" l="1"/>
  <c r="L1342" i="2"/>
  <c r="A109" i="3"/>
  <c r="C108" i="3"/>
  <c r="AC108" i="3"/>
  <c r="K101" i="2"/>
  <c r="L100" i="2"/>
  <c r="K889" i="2"/>
  <c r="L888" i="2"/>
  <c r="K286" i="2"/>
  <c r="L285" i="2"/>
  <c r="K478" i="2"/>
  <c r="L477" i="2"/>
  <c r="K1070" i="2"/>
  <c r="L1069" i="2"/>
  <c r="K717" i="2"/>
  <c r="L716" i="2"/>
  <c r="K1071" i="2" l="1"/>
  <c r="L1070" i="2"/>
  <c r="K718" i="2"/>
  <c r="L717" i="2"/>
  <c r="K479" i="2"/>
  <c r="L478" i="2"/>
  <c r="K287" i="2"/>
  <c r="L286" i="2"/>
  <c r="L101" i="2"/>
  <c r="K102" i="2"/>
  <c r="AC109" i="3"/>
  <c r="A110" i="3"/>
  <c r="C109" i="3"/>
  <c r="K890" i="2"/>
  <c r="L889" i="2"/>
  <c r="K1344" i="2"/>
  <c r="L1343" i="2"/>
  <c r="K1345" i="2" l="1"/>
  <c r="L1344" i="2"/>
  <c r="K891" i="2"/>
  <c r="L890" i="2"/>
  <c r="AC110" i="3"/>
  <c r="A111" i="3"/>
  <c r="C110" i="3"/>
  <c r="K288" i="2"/>
  <c r="L287" i="2"/>
  <c r="K103" i="2"/>
  <c r="L102" i="2"/>
  <c r="K480" i="2"/>
  <c r="L479" i="2"/>
  <c r="K719" i="2"/>
  <c r="L718" i="2"/>
  <c r="K1072" i="2"/>
  <c r="L1071" i="2"/>
  <c r="K1073" i="2" l="1"/>
  <c r="L1072" i="2"/>
  <c r="K481" i="2"/>
  <c r="L480" i="2"/>
  <c r="L103" i="2"/>
  <c r="K104" i="2"/>
  <c r="K289" i="2"/>
  <c r="L288" i="2"/>
  <c r="AC111" i="3"/>
  <c r="C111" i="3"/>
  <c r="A112" i="3"/>
  <c r="K720" i="2"/>
  <c r="L719" i="2"/>
  <c r="K892" i="2"/>
  <c r="L891" i="2"/>
  <c r="K1346" i="2"/>
  <c r="L1345" i="2"/>
  <c r="A113" i="3" l="1"/>
  <c r="C112" i="3"/>
  <c r="AC112" i="3"/>
  <c r="K290" i="2"/>
  <c r="L289" i="2"/>
  <c r="K482" i="2"/>
  <c r="L481" i="2"/>
  <c r="K1347" i="2"/>
  <c r="L1346" i="2"/>
  <c r="K893" i="2"/>
  <c r="L892" i="2"/>
  <c r="K721" i="2"/>
  <c r="L720" i="2"/>
  <c r="L104" i="2"/>
  <c r="K105" i="2"/>
  <c r="K1074" i="2"/>
  <c r="L1073" i="2"/>
  <c r="K1348" i="2" l="1"/>
  <c r="L1348" i="2" s="1"/>
  <c r="L1347" i="2"/>
  <c r="K1075" i="2"/>
  <c r="L1074" i="2"/>
  <c r="L482" i="2"/>
  <c r="K483" i="2"/>
  <c r="K106" i="2"/>
  <c r="L105" i="2"/>
  <c r="K722" i="2"/>
  <c r="L721" i="2"/>
  <c r="L893" i="2"/>
  <c r="K894" i="2"/>
  <c r="K291" i="2"/>
  <c r="L290" i="2"/>
  <c r="AC113" i="3"/>
  <c r="A114" i="3"/>
  <c r="C113" i="3"/>
  <c r="A115" i="3" l="1"/>
  <c r="C114" i="3"/>
  <c r="AC114" i="3"/>
  <c r="K484" i="2"/>
  <c r="L483" i="2"/>
  <c r="K1076" i="2"/>
  <c r="L1075" i="2"/>
  <c r="K292" i="2"/>
  <c r="L291" i="2"/>
  <c r="L894" i="2"/>
  <c r="K895" i="2"/>
  <c r="K723" i="2"/>
  <c r="L722" i="2"/>
  <c r="L106" i="2"/>
  <c r="K107" i="2"/>
  <c r="L723" i="2" l="1"/>
  <c r="K724" i="2"/>
  <c r="K896" i="2"/>
  <c r="L895" i="2"/>
  <c r="L1076" i="2"/>
  <c r="K1077" i="2"/>
  <c r="K293" i="2"/>
  <c r="L292" i="2"/>
  <c r="K108" i="2"/>
  <c r="L107" i="2"/>
  <c r="K485" i="2"/>
  <c r="L484" i="2"/>
  <c r="AC115" i="3"/>
  <c r="A116" i="3"/>
  <c r="C115" i="3"/>
  <c r="K109" i="2" l="1"/>
  <c r="L108" i="2"/>
  <c r="A117" i="3"/>
  <c r="AC116" i="3"/>
  <c r="C116" i="3"/>
  <c r="K486" i="2"/>
  <c r="L485" i="2"/>
  <c r="K1078" i="2"/>
  <c r="L1077" i="2"/>
  <c r="K725" i="2"/>
  <c r="L724" i="2"/>
  <c r="K294" i="2"/>
  <c r="L293" i="2"/>
  <c r="K897" i="2"/>
  <c r="L896" i="2"/>
  <c r="K1079" i="2" l="1"/>
  <c r="L1078" i="2"/>
  <c r="K898" i="2"/>
  <c r="L897" i="2"/>
  <c r="L294" i="2"/>
  <c r="K295" i="2"/>
  <c r="K726" i="2"/>
  <c r="L725" i="2"/>
  <c r="K487" i="2"/>
  <c r="L486" i="2"/>
  <c r="AC117" i="3"/>
  <c r="C117" i="3"/>
  <c r="A118" i="3"/>
  <c r="L109" i="2"/>
  <c r="K110" i="2"/>
  <c r="K111" i="2" l="1"/>
  <c r="L110" i="2"/>
  <c r="A119" i="3"/>
  <c r="C118" i="3"/>
  <c r="AC118" i="3"/>
  <c r="L487" i="2"/>
  <c r="K488" i="2"/>
  <c r="K727" i="2"/>
  <c r="L726" i="2"/>
  <c r="L295" i="2"/>
  <c r="K296" i="2"/>
  <c r="K899" i="2"/>
  <c r="L898" i="2"/>
  <c r="K1080" i="2"/>
  <c r="L1079" i="2"/>
  <c r="K297" i="2" l="1"/>
  <c r="L296" i="2"/>
  <c r="K728" i="2"/>
  <c r="L727" i="2"/>
  <c r="K900" i="2"/>
  <c r="L899" i="2"/>
  <c r="K489" i="2"/>
  <c r="L488" i="2"/>
  <c r="K1081" i="2"/>
  <c r="L1080" i="2"/>
  <c r="AC119" i="3"/>
  <c r="A120" i="3"/>
  <c r="C119" i="3"/>
  <c r="L111" i="2"/>
  <c r="K112" i="2"/>
  <c r="K1082" i="2" l="1"/>
  <c r="L1081" i="2"/>
  <c r="K113" i="2"/>
  <c r="L112" i="2"/>
  <c r="A121" i="3"/>
  <c r="C120" i="3"/>
  <c r="AC120" i="3"/>
  <c r="K490" i="2"/>
  <c r="L489" i="2"/>
  <c r="K901" i="2"/>
  <c r="L900" i="2"/>
  <c r="L728" i="2"/>
  <c r="K729" i="2"/>
  <c r="L297" i="2"/>
  <c r="K298" i="2"/>
  <c r="K902" i="2" l="1"/>
  <c r="L901" i="2"/>
  <c r="K114" i="2"/>
  <c r="L113" i="2"/>
  <c r="K299" i="2"/>
  <c r="L298" i="2"/>
  <c r="K491" i="2"/>
  <c r="L490" i="2"/>
  <c r="C121" i="3"/>
  <c r="AC121" i="3"/>
  <c r="A122" i="3"/>
  <c r="K730" i="2"/>
  <c r="L729" i="2"/>
  <c r="K1083" i="2"/>
  <c r="L1082" i="2"/>
  <c r="K1084" i="2" l="1"/>
  <c r="L1083" i="2"/>
  <c r="K731" i="2"/>
  <c r="L730" i="2"/>
  <c r="K492" i="2"/>
  <c r="L491" i="2"/>
  <c r="A123" i="3"/>
  <c r="AC122" i="3"/>
  <c r="C122" i="3"/>
  <c r="K300" i="2"/>
  <c r="L299" i="2"/>
  <c r="L114" i="2"/>
  <c r="K115" i="2"/>
  <c r="K903" i="2"/>
  <c r="L902" i="2"/>
  <c r="K904" i="2" l="1"/>
  <c r="L903" i="2"/>
  <c r="K116" i="2"/>
  <c r="L115" i="2"/>
  <c r="K301" i="2"/>
  <c r="L300" i="2"/>
  <c r="C123" i="3"/>
  <c r="AC123" i="3"/>
  <c r="A124" i="3"/>
  <c r="K493" i="2"/>
  <c r="L492" i="2"/>
  <c r="K732" i="2"/>
  <c r="L731" i="2"/>
  <c r="K1085" i="2"/>
  <c r="L1084" i="2"/>
  <c r="K1086" i="2" l="1"/>
  <c r="L1085" i="2"/>
  <c r="K494" i="2"/>
  <c r="L493" i="2"/>
  <c r="A125" i="3"/>
  <c r="C124" i="3"/>
  <c r="AC124" i="3"/>
  <c r="K733" i="2"/>
  <c r="L732" i="2"/>
  <c r="K302" i="2"/>
  <c r="L301" i="2"/>
  <c r="L116" i="2"/>
  <c r="K117" i="2"/>
  <c r="K905" i="2"/>
  <c r="L904" i="2"/>
  <c r="K906" i="2" l="1"/>
  <c r="L905" i="2"/>
  <c r="L302" i="2"/>
  <c r="K303" i="2"/>
  <c r="K734" i="2"/>
  <c r="L733" i="2"/>
  <c r="K495" i="2"/>
  <c r="L494" i="2"/>
  <c r="K118" i="2"/>
  <c r="L117" i="2"/>
  <c r="AC125" i="3"/>
  <c r="A126" i="3"/>
  <c r="C125" i="3"/>
  <c r="K1087" i="2"/>
  <c r="L1086" i="2"/>
  <c r="K735" i="2" l="1"/>
  <c r="L734" i="2"/>
  <c r="K1088" i="2"/>
  <c r="L1087" i="2"/>
  <c r="K496" i="2"/>
  <c r="L495" i="2"/>
  <c r="L303" i="2"/>
  <c r="K304" i="2"/>
  <c r="A127" i="3"/>
  <c r="C126" i="3"/>
  <c r="AC126" i="3"/>
  <c r="K119" i="2"/>
  <c r="L118" i="2"/>
  <c r="K907" i="2"/>
  <c r="L906" i="2"/>
  <c r="L119" i="2" l="1"/>
  <c r="K120" i="2"/>
  <c r="K908" i="2"/>
  <c r="L907" i="2"/>
  <c r="AC127" i="3"/>
  <c r="C127" i="3"/>
  <c r="A128" i="3"/>
  <c r="K497" i="2"/>
  <c r="L496" i="2"/>
  <c r="K305" i="2"/>
  <c r="L304" i="2"/>
  <c r="K1089" i="2"/>
  <c r="L1088" i="2"/>
  <c r="K736" i="2"/>
  <c r="L735" i="2"/>
  <c r="K737" i="2" l="1"/>
  <c r="L736" i="2"/>
  <c r="AC128" i="3"/>
  <c r="A129" i="3"/>
  <c r="C128" i="3"/>
  <c r="K909" i="2"/>
  <c r="L908" i="2"/>
  <c r="K121" i="2"/>
  <c r="L120" i="2"/>
  <c r="K1090" i="2"/>
  <c r="L1089" i="2"/>
  <c r="L305" i="2"/>
  <c r="K306" i="2"/>
  <c r="K498" i="2"/>
  <c r="L497" i="2"/>
  <c r="K1091" i="2" l="1"/>
  <c r="L1090" i="2"/>
  <c r="K499" i="2"/>
  <c r="L498" i="2"/>
  <c r="C129" i="3"/>
  <c r="AC129" i="3"/>
  <c r="A130" i="3"/>
  <c r="K307" i="2"/>
  <c r="L306" i="2"/>
  <c r="K122" i="2"/>
  <c r="L121" i="2"/>
  <c r="K910" i="2"/>
  <c r="L909" i="2"/>
  <c r="K738" i="2"/>
  <c r="L737" i="2"/>
  <c r="K739" i="2" l="1"/>
  <c r="L738" i="2"/>
  <c r="K911" i="2"/>
  <c r="L910" i="2"/>
  <c r="L122" i="2"/>
  <c r="K123" i="2"/>
  <c r="K308" i="2"/>
  <c r="L307" i="2"/>
  <c r="C130" i="3"/>
  <c r="A131" i="3"/>
  <c r="AC130" i="3"/>
  <c r="K500" i="2"/>
  <c r="L499" i="2"/>
  <c r="K1092" i="2"/>
  <c r="L1091" i="2"/>
  <c r="K1093" i="2" l="1"/>
  <c r="L1092" i="2"/>
  <c r="K501" i="2"/>
  <c r="L500" i="2"/>
  <c r="K124" i="2"/>
  <c r="L123" i="2"/>
  <c r="K309" i="2"/>
  <c r="L308" i="2"/>
  <c r="AC131" i="3"/>
  <c r="A132" i="3"/>
  <c r="C131" i="3"/>
  <c r="K912" i="2"/>
  <c r="L911" i="2"/>
  <c r="K740" i="2"/>
  <c r="L739" i="2"/>
  <c r="K741" i="2" l="1"/>
  <c r="L740" i="2"/>
  <c r="K913" i="2"/>
  <c r="L912" i="2"/>
  <c r="A133" i="3"/>
  <c r="C132" i="3"/>
  <c r="AC132" i="3"/>
  <c r="K310" i="2"/>
  <c r="L309" i="2"/>
  <c r="L124" i="2"/>
  <c r="K125" i="2"/>
  <c r="K502" i="2"/>
  <c r="L501" i="2"/>
  <c r="K1094" i="2"/>
  <c r="L1093" i="2"/>
  <c r="K503" i="2" l="1"/>
  <c r="L502" i="2"/>
  <c r="K1095" i="2"/>
  <c r="L1094" i="2"/>
  <c r="K311" i="2"/>
  <c r="L310" i="2"/>
  <c r="K126" i="2"/>
  <c r="L125" i="2"/>
  <c r="AC133" i="3"/>
  <c r="A134" i="3"/>
  <c r="C133" i="3"/>
  <c r="K914" i="2"/>
  <c r="L913" i="2"/>
  <c r="K742" i="2"/>
  <c r="L741" i="2"/>
  <c r="K915" i="2" l="1"/>
  <c r="L914" i="2"/>
  <c r="AC134" i="3"/>
  <c r="A135" i="3"/>
  <c r="C134" i="3"/>
  <c r="K127" i="2"/>
  <c r="L126" i="2"/>
  <c r="K743" i="2"/>
  <c r="L742" i="2"/>
  <c r="L311" i="2"/>
  <c r="K312" i="2"/>
  <c r="K1096" i="2"/>
  <c r="L1095" i="2"/>
  <c r="K504" i="2"/>
  <c r="L503" i="2"/>
  <c r="K505" i="2" l="1"/>
  <c r="L504" i="2"/>
  <c r="C135" i="3"/>
  <c r="AC135" i="3"/>
  <c r="A136" i="3"/>
  <c r="K1097" i="2"/>
  <c r="L1096" i="2"/>
  <c r="K313" i="2"/>
  <c r="L312" i="2"/>
  <c r="K744" i="2"/>
  <c r="L743" i="2"/>
  <c r="L127" i="2"/>
  <c r="K128" i="2"/>
  <c r="K916" i="2"/>
  <c r="L915" i="2"/>
  <c r="K917" i="2" l="1"/>
  <c r="L916" i="2"/>
  <c r="C136" i="3"/>
  <c r="A137" i="3"/>
  <c r="AC136" i="3"/>
  <c r="K129" i="2"/>
  <c r="L128" i="2"/>
  <c r="K745" i="2"/>
  <c r="L744" i="2"/>
  <c r="L313" i="2"/>
  <c r="K314" i="2"/>
  <c r="K1098" i="2"/>
  <c r="L1097" i="2"/>
  <c r="K506" i="2"/>
  <c r="L505" i="2"/>
  <c r="K315" i="2" l="1"/>
  <c r="L314" i="2"/>
  <c r="K507" i="2"/>
  <c r="L506" i="2"/>
  <c r="K1099" i="2"/>
  <c r="L1098" i="2"/>
  <c r="K130" i="2"/>
  <c r="L129" i="2"/>
  <c r="K746" i="2"/>
  <c r="L745" i="2"/>
  <c r="C137" i="3"/>
  <c r="AC137" i="3"/>
  <c r="A138" i="3"/>
  <c r="K918" i="2"/>
  <c r="L917" i="2"/>
  <c r="A139" i="3" l="1"/>
  <c r="C138" i="3"/>
  <c r="AC138" i="3"/>
  <c r="K919" i="2"/>
  <c r="L918" i="2"/>
  <c r="K747" i="2"/>
  <c r="L746" i="2"/>
  <c r="L130" i="2"/>
  <c r="K131" i="2"/>
  <c r="K1100" i="2"/>
  <c r="L1099" i="2"/>
  <c r="L507" i="2"/>
  <c r="K508" i="2"/>
  <c r="K316" i="2"/>
  <c r="L315" i="2"/>
  <c r="K509" i="2" l="1"/>
  <c r="L508" i="2"/>
  <c r="K132" i="2"/>
  <c r="L131" i="2"/>
  <c r="K748" i="2"/>
  <c r="L747" i="2"/>
  <c r="K317" i="2"/>
  <c r="L316" i="2"/>
  <c r="K1101" i="2"/>
  <c r="L1100" i="2"/>
  <c r="K920" i="2"/>
  <c r="L919" i="2"/>
  <c r="AC139" i="3"/>
  <c r="A140" i="3"/>
  <c r="C139" i="3"/>
  <c r="K921" i="2" l="1"/>
  <c r="L920" i="2"/>
  <c r="K1102" i="2"/>
  <c r="L1101" i="2"/>
  <c r="K318" i="2"/>
  <c r="L317" i="2"/>
  <c r="K749" i="2"/>
  <c r="L748" i="2"/>
  <c r="AC140" i="3"/>
  <c r="A141" i="3"/>
  <c r="C140" i="3"/>
  <c r="L132" i="2"/>
  <c r="K133" i="2"/>
  <c r="K510" i="2"/>
  <c r="L509" i="2"/>
  <c r="L510" i="2" l="1"/>
  <c r="K511" i="2"/>
  <c r="K134" i="2"/>
  <c r="L133" i="2"/>
  <c r="C141" i="3"/>
  <c r="AC141" i="3"/>
  <c r="A142" i="3"/>
  <c r="K750" i="2"/>
  <c r="L749" i="2"/>
  <c r="L318" i="2"/>
  <c r="K319" i="2"/>
  <c r="K1103" i="2"/>
  <c r="L1102" i="2"/>
  <c r="K922" i="2"/>
  <c r="L921" i="2"/>
  <c r="K923" i="2" l="1"/>
  <c r="L922" i="2"/>
  <c r="L319" i="2"/>
  <c r="K320" i="2"/>
  <c r="A143" i="3"/>
  <c r="C142" i="3"/>
  <c r="AC142" i="3"/>
  <c r="K1104" i="2"/>
  <c r="L1103" i="2"/>
  <c r="K751" i="2"/>
  <c r="L750" i="2"/>
  <c r="L511" i="2"/>
  <c r="K512" i="2"/>
  <c r="K135" i="2"/>
  <c r="L134" i="2"/>
  <c r="K513" i="2" l="1"/>
  <c r="L512" i="2"/>
  <c r="L135" i="2"/>
  <c r="K136" i="2"/>
  <c r="K752" i="2"/>
  <c r="L751" i="2"/>
  <c r="K321" i="2"/>
  <c r="L320" i="2"/>
  <c r="K1105" i="2"/>
  <c r="L1104" i="2"/>
  <c r="AC143" i="3"/>
  <c r="C143" i="3"/>
  <c r="A144" i="3"/>
  <c r="K924" i="2"/>
  <c r="L923" i="2"/>
  <c r="AC144" i="3" l="1"/>
  <c r="A145" i="3"/>
  <c r="C144" i="3"/>
  <c r="K925" i="2"/>
  <c r="L924" i="2"/>
  <c r="K137" i="2"/>
  <c r="L136" i="2"/>
  <c r="K1106" i="2"/>
  <c r="L1105" i="2"/>
  <c r="L321" i="2"/>
  <c r="K322" i="2"/>
  <c r="K753" i="2"/>
  <c r="L752" i="2"/>
  <c r="L513" i="2"/>
  <c r="K514" i="2"/>
  <c r="K515" i="2" l="1"/>
  <c r="L514" i="2"/>
  <c r="K138" i="2"/>
  <c r="L137" i="2"/>
  <c r="K754" i="2"/>
  <c r="L753" i="2"/>
  <c r="K323" i="2"/>
  <c r="L322" i="2"/>
  <c r="K926" i="2"/>
  <c r="L925" i="2"/>
  <c r="K1107" i="2"/>
  <c r="L1106" i="2"/>
  <c r="AC145" i="3"/>
  <c r="C145" i="3"/>
  <c r="A146" i="3"/>
  <c r="AC146" i="3" l="1"/>
  <c r="A147" i="3"/>
  <c r="C146" i="3"/>
  <c r="K1108" i="2"/>
  <c r="L1107" i="2"/>
  <c r="K927" i="2"/>
  <c r="L926" i="2"/>
  <c r="K324" i="2"/>
  <c r="L323" i="2"/>
  <c r="K755" i="2"/>
  <c r="L754" i="2"/>
  <c r="L138" i="2"/>
  <c r="K139" i="2"/>
  <c r="L515" i="2"/>
  <c r="K516" i="2"/>
  <c r="K517" i="2" l="1"/>
  <c r="L516" i="2"/>
  <c r="K140" i="2"/>
  <c r="L139" i="2"/>
  <c r="K325" i="2"/>
  <c r="L324" i="2"/>
  <c r="K756" i="2"/>
  <c r="L755" i="2"/>
  <c r="K1109" i="2"/>
  <c r="L1108" i="2"/>
  <c r="K928" i="2"/>
  <c r="L927" i="2"/>
  <c r="C147" i="3"/>
  <c r="AC147" i="3"/>
  <c r="A148" i="3"/>
  <c r="A149" i="3" l="1"/>
  <c r="C148" i="3"/>
  <c r="AC148" i="3"/>
  <c r="K929" i="2"/>
  <c r="L928" i="2"/>
  <c r="K1110" i="2"/>
  <c r="L1109" i="2"/>
  <c r="K757" i="2"/>
  <c r="L756" i="2"/>
  <c r="K326" i="2"/>
  <c r="L325" i="2"/>
  <c r="L140" i="2"/>
  <c r="K141" i="2"/>
  <c r="K518" i="2"/>
  <c r="L517" i="2"/>
  <c r="K142" i="2" l="1"/>
  <c r="L141" i="2"/>
  <c r="L326" i="2"/>
  <c r="K327" i="2"/>
  <c r="K1111" i="2"/>
  <c r="L1110" i="2"/>
  <c r="K758" i="2"/>
  <c r="L757" i="2"/>
  <c r="L518" i="2"/>
  <c r="K519" i="2"/>
  <c r="J72" i="1"/>
  <c r="L72" i="1" s="1"/>
  <c r="I72" i="1"/>
  <c r="K72" i="1" s="1"/>
  <c r="J17" i="3"/>
  <c r="L17" i="3" s="1"/>
  <c r="K17" i="3"/>
  <c r="M17" i="3" s="1"/>
  <c r="K930" i="2"/>
  <c r="L929" i="2"/>
  <c r="AC149" i="3"/>
  <c r="A150" i="3"/>
  <c r="C149" i="3"/>
  <c r="F17" i="3" l="1"/>
  <c r="L327" i="2"/>
  <c r="K328" i="2"/>
  <c r="E72" i="1"/>
  <c r="H73" i="1" s="1"/>
  <c r="J73" i="1" s="1"/>
  <c r="K520" i="2"/>
  <c r="L519" i="2"/>
  <c r="K1112" i="2"/>
  <c r="L1111" i="2"/>
  <c r="AC150" i="3"/>
  <c r="A151" i="3"/>
  <c r="C150" i="3"/>
  <c r="K931" i="2"/>
  <c r="L930" i="2"/>
  <c r="K759" i="2"/>
  <c r="L758" i="2"/>
  <c r="K143" i="2"/>
  <c r="L142" i="2"/>
  <c r="L73" i="1" l="1"/>
  <c r="N73" i="1" s="1"/>
  <c r="K73" i="1"/>
  <c r="M73" i="1" s="1"/>
  <c r="O73" i="1" s="1"/>
  <c r="L143" i="2"/>
  <c r="K144" i="2"/>
  <c r="K760" i="2"/>
  <c r="L759" i="2"/>
  <c r="AC151" i="3"/>
  <c r="A152" i="3"/>
  <c r="C151" i="3"/>
  <c r="K329" i="2"/>
  <c r="L328" i="2"/>
  <c r="K1113" i="2"/>
  <c r="L1112" i="2"/>
  <c r="K521" i="2"/>
  <c r="L520" i="2"/>
  <c r="K932" i="2"/>
  <c r="L931" i="2"/>
  <c r="AH71" i="3"/>
  <c r="AH57" i="3"/>
  <c r="AH43" i="3"/>
  <c r="AH29" i="3"/>
  <c r="AH144" i="3"/>
  <c r="AH177" i="3"/>
  <c r="AH139" i="3"/>
  <c r="AH132" i="3"/>
  <c r="AH125" i="3"/>
  <c r="AH126" i="3"/>
  <c r="AH79" i="3"/>
  <c r="AH65" i="3"/>
  <c r="AH51" i="3"/>
  <c r="AH37" i="3"/>
  <c r="AH152" i="3"/>
  <c r="AH78" i="3"/>
  <c r="AH155" i="3"/>
  <c r="AH140" i="3"/>
  <c r="AH133" i="3"/>
  <c r="AH134" i="3"/>
  <c r="AH87" i="3"/>
  <c r="AH73" i="3"/>
  <c r="AH59" i="3"/>
  <c r="AH45" i="3"/>
  <c r="AH160" i="3"/>
  <c r="AH98" i="3"/>
  <c r="AH171" i="3"/>
  <c r="AH148" i="3"/>
  <c r="AH141" i="3"/>
  <c r="AH142" i="3"/>
  <c r="AH24" i="3"/>
  <c r="AH81" i="3"/>
  <c r="AH67" i="3"/>
  <c r="AH53" i="3"/>
  <c r="AH168" i="3"/>
  <c r="AH106" i="3"/>
  <c r="AH22" i="3"/>
  <c r="AH156" i="3"/>
  <c r="AH149" i="3"/>
  <c r="AH150" i="3"/>
  <c r="AH32" i="3"/>
  <c r="AH89" i="3"/>
  <c r="AH75" i="3"/>
  <c r="AH61" i="3"/>
  <c r="AH176" i="3"/>
  <c r="AH114" i="3"/>
  <c r="AH99" i="3"/>
  <c r="AH164" i="3"/>
  <c r="AH157" i="3"/>
  <c r="AH158" i="3"/>
  <c r="AH40" i="3"/>
  <c r="AH26" i="3"/>
  <c r="AH83" i="3"/>
  <c r="AH69" i="3"/>
  <c r="AH70" i="3"/>
  <c r="AH122" i="3"/>
  <c r="AH115" i="3"/>
  <c r="AH172" i="3"/>
  <c r="AH165" i="3"/>
  <c r="AH166" i="3"/>
  <c r="AH48" i="3"/>
  <c r="AH34" i="3"/>
  <c r="AH20" i="3"/>
  <c r="AH77" i="3"/>
  <c r="AH105" i="3"/>
  <c r="AH130" i="3"/>
  <c r="AH131" i="3"/>
  <c r="AH180" i="3"/>
  <c r="AH173" i="3"/>
  <c r="AH174" i="3"/>
  <c r="AH56" i="3"/>
  <c r="AH42" i="3"/>
  <c r="AH28" i="3"/>
  <c r="AH64" i="3"/>
  <c r="AH50" i="3"/>
  <c r="AH36" i="3"/>
  <c r="AH93" i="3"/>
  <c r="AH137" i="3"/>
  <c r="AH146" i="3"/>
  <c r="AH163" i="3"/>
  <c r="AH135" i="3"/>
  <c r="AH111" i="3"/>
  <c r="AH119" i="3"/>
  <c r="AH72" i="3"/>
  <c r="AH58" i="3"/>
  <c r="AH44" i="3"/>
  <c r="AH62" i="3"/>
  <c r="AH153" i="3"/>
  <c r="AH154" i="3"/>
  <c r="AH179" i="3"/>
  <c r="AH159" i="3"/>
  <c r="AH127" i="3"/>
  <c r="AH143" i="3"/>
  <c r="AH23" i="3"/>
  <c r="AH80" i="3"/>
  <c r="AH66" i="3"/>
  <c r="AH52" i="3"/>
  <c r="AH96" i="3"/>
  <c r="AH169" i="3"/>
  <c r="AH162" i="3"/>
  <c r="AH30" i="3"/>
  <c r="AH175" i="3"/>
  <c r="AH151" i="3"/>
  <c r="AH167" i="3"/>
  <c r="AH31" i="3"/>
  <c r="AH88" i="3"/>
  <c r="AH74" i="3"/>
  <c r="AH60" i="3"/>
  <c r="AH104" i="3"/>
  <c r="AH97" i="3"/>
  <c r="AH170" i="3"/>
  <c r="AH91" i="3"/>
  <c r="AH38" i="3"/>
  <c r="AH46" i="3"/>
  <c r="AH55" i="3"/>
  <c r="AH41" i="3"/>
  <c r="AH27" i="3"/>
  <c r="AH84" i="3"/>
  <c r="AH128" i="3"/>
  <c r="AH145" i="3"/>
  <c r="AH107" i="3"/>
  <c r="AH116" i="3"/>
  <c r="AH109" i="3"/>
  <c r="AH110" i="3"/>
  <c r="AH49" i="3"/>
  <c r="AH178" i="3"/>
  <c r="E17" i="3"/>
  <c r="AH82" i="3"/>
  <c r="AH86" i="3"/>
  <c r="G17" i="3"/>
  <c r="AH90" i="3"/>
  <c r="AH123" i="3"/>
  <c r="AH35" i="3"/>
  <c r="AH147" i="3"/>
  <c r="AH68" i="3"/>
  <c r="AH100" i="3"/>
  <c r="AH76" i="3"/>
  <c r="AH108" i="3"/>
  <c r="AH21" i="3"/>
  <c r="AH124" i="3"/>
  <c r="AH85" i="3"/>
  <c r="AH103" i="3"/>
  <c r="AH112" i="3"/>
  <c r="AH92" i="3"/>
  <c r="AH120" i="3"/>
  <c r="AH101" i="3"/>
  <c r="AH136" i="3"/>
  <c r="AH117" i="3"/>
  <c r="AH39" i="3"/>
  <c r="AH121" i="3"/>
  <c r="AH95" i="3"/>
  <c r="AH25" i="3"/>
  <c r="AH161" i="3"/>
  <c r="AH118" i="3"/>
  <c r="AH33" i="3"/>
  <c r="AH113" i="3"/>
  <c r="AH129" i="3"/>
  <c r="AH138" i="3"/>
  <c r="AH94" i="3"/>
  <c r="AH102" i="3"/>
  <c r="AH54" i="3"/>
  <c r="AH47" i="3"/>
  <c r="AH63" i="3"/>
  <c r="L932" i="2" l="1"/>
  <c r="K933" i="2"/>
  <c r="K522" i="2"/>
  <c r="L521" i="2"/>
  <c r="K1114" i="2"/>
  <c r="L1113" i="2"/>
  <c r="AG30" i="3"/>
  <c r="AG158" i="3"/>
  <c r="AG63" i="3"/>
  <c r="AG96" i="3"/>
  <c r="AG89" i="3"/>
  <c r="AG34" i="3"/>
  <c r="AG162" i="3"/>
  <c r="AG83" i="3"/>
  <c r="AG85" i="3"/>
  <c r="AG116" i="3"/>
  <c r="AG38" i="3"/>
  <c r="AG166" i="3"/>
  <c r="AG79" i="3"/>
  <c r="AG104" i="3"/>
  <c r="AG105" i="3"/>
  <c r="AG42" i="3"/>
  <c r="AG170" i="3"/>
  <c r="AG91" i="3"/>
  <c r="AG101" i="3"/>
  <c r="AG124" i="3"/>
  <c r="AG46" i="3"/>
  <c r="AG174" i="3"/>
  <c r="AG95" i="3"/>
  <c r="AG112" i="3"/>
  <c r="AG121" i="3"/>
  <c r="AG50" i="3"/>
  <c r="AG178" i="3"/>
  <c r="AG99" i="3"/>
  <c r="AG141" i="3"/>
  <c r="AG132" i="3"/>
  <c r="AG54" i="3"/>
  <c r="AG23" i="3"/>
  <c r="AG111" i="3"/>
  <c r="AG120" i="3"/>
  <c r="AG137" i="3"/>
  <c r="AG58" i="3"/>
  <c r="AG37" i="3"/>
  <c r="AG107" i="3"/>
  <c r="AG173" i="3"/>
  <c r="AG140" i="3"/>
  <c r="AG62" i="3"/>
  <c r="AG39" i="3"/>
  <c r="AG127" i="3"/>
  <c r="AG128" i="3"/>
  <c r="AG153" i="3"/>
  <c r="AG66" i="3"/>
  <c r="AG61" i="3"/>
  <c r="AG115" i="3"/>
  <c r="AG20" i="3"/>
  <c r="AG148" i="3"/>
  <c r="AG70" i="3"/>
  <c r="AG55" i="3"/>
  <c r="AG143" i="3"/>
  <c r="AG136" i="3"/>
  <c r="AG161" i="3"/>
  <c r="AG74" i="3"/>
  <c r="AG77" i="3"/>
  <c r="AG123" i="3"/>
  <c r="AG28" i="3"/>
  <c r="AG156" i="3"/>
  <c r="AG78" i="3"/>
  <c r="AG71" i="3"/>
  <c r="AG159" i="3"/>
  <c r="AG144" i="3"/>
  <c r="AG177" i="3"/>
  <c r="AG82" i="3"/>
  <c r="AG109" i="3"/>
  <c r="AG131" i="3"/>
  <c r="AG36" i="3"/>
  <c r="AG164" i="3"/>
  <c r="AG94" i="3"/>
  <c r="AG103" i="3"/>
  <c r="AG32" i="3"/>
  <c r="AG160" i="3"/>
  <c r="AG49" i="3"/>
  <c r="AG98" i="3"/>
  <c r="AG157" i="3"/>
  <c r="AG147" i="3"/>
  <c r="AG52" i="3"/>
  <c r="AG180" i="3"/>
  <c r="AG102" i="3"/>
  <c r="AG119" i="3"/>
  <c r="AG40" i="3"/>
  <c r="AG168" i="3"/>
  <c r="AG73" i="3"/>
  <c r="AG106" i="3"/>
  <c r="AG27" i="3"/>
  <c r="AG155" i="3"/>
  <c r="AG60" i="3"/>
  <c r="AG21" i="3"/>
  <c r="AG110" i="3"/>
  <c r="AG135" i="3"/>
  <c r="AG48" i="3"/>
  <c r="AG176" i="3"/>
  <c r="AG97" i="3"/>
  <c r="AG114" i="3"/>
  <c r="AG35" i="3"/>
  <c r="AG163" i="3"/>
  <c r="AG68" i="3"/>
  <c r="AG45" i="3"/>
  <c r="AG118" i="3"/>
  <c r="AG151" i="3"/>
  <c r="AG56" i="3"/>
  <c r="AG25" i="3"/>
  <c r="AG113" i="3"/>
  <c r="AG122" i="3"/>
  <c r="AG43" i="3"/>
  <c r="AG171" i="3"/>
  <c r="AG76" i="3"/>
  <c r="AG93" i="3"/>
  <c r="AG142" i="3"/>
  <c r="AG31" i="3"/>
  <c r="AG80" i="3"/>
  <c r="AG65" i="3"/>
  <c r="AG169" i="3"/>
  <c r="AG146" i="3"/>
  <c r="AG67" i="3"/>
  <c r="AG53" i="3"/>
  <c r="AG100" i="3"/>
  <c r="AG149" i="3"/>
  <c r="AG175" i="3"/>
  <c r="AG138" i="3"/>
  <c r="AG125" i="3"/>
  <c r="AG47" i="3"/>
  <c r="AG154" i="3"/>
  <c r="AG165" i="3"/>
  <c r="AG24" i="3"/>
  <c r="AG133" i="3"/>
  <c r="AG64" i="3"/>
  <c r="AG51" i="3"/>
  <c r="AG72" i="3"/>
  <c r="AG59" i="3"/>
  <c r="AG88" i="3"/>
  <c r="AG75" i="3"/>
  <c r="AG152" i="3"/>
  <c r="AG139" i="3"/>
  <c r="AG41" i="3"/>
  <c r="AG179" i="3"/>
  <c r="AG57" i="3"/>
  <c r="AG29" i="3"/>
  <c r="AG22" i="3"/>
  <c r="AG81" i="3"/>
  <c r="AG69" i="3"/>
  <c r="AG86" i="3"/>
  <c r="AG33" i="3"/>
  <c r="AG44" i="3"/>
  <c r="AG126" i="3"/>
  <c r="AG129" i="3"/>
  <c r="AG84" i="3"/>
  <c r="AG87" i="3"/>
  <c r="AG90" i="3"/>
  <c r="AG172" i="3"/>
  <c r="AG145" i="3"/>
  <c r="AG26" i="3"/>
  <c r="AG130" i="3"/>
  <c r="AG92" i="3"/>
  <c r="AG108" i="3"/>
  <c r="AG117" i="3"/>
  <c r="AG134" i="3"/>
  <c r="AG150" i="3"/>
  <c r="AG167" i="3"/>
  <c r="L329" i="2"/>
  <c r="K330" i="2"/>
  <c r="AC152" i="3"/>
  <c r="A153" i="3"/>
  <c r="C152" i="3"/>
  <c r="K761" i="2"/>
  <c r="L760" i="2"/>
  <c r="K145" i="2"/>
  <c r="L144" i="2"/>
  <c r="AI72" i="3"/>
  <c r="AI41" i="3"/>
  <c r="AI169" i="3"/>
  <c r="AI138" i="3"/>
  <c r="AI107" i="3"/>
  <c r="AI68" i="3"/>
  <c r="AI29" i="3"/>
  <c r="AI157" i="3"/>
  <c r="AI126" i="3"/>
  <c r="AI55" i="3"/>
  <c r="AI80" i="3"/>
  <c r="AI49" i="3"/>
  <c r="AI177" i="3"/>
  <c r="AI146" i="3"/>
  <c r="AI115" i="3"/>
  <c r="AI76" i="3"/>
  <c r="AI37" i="3"/>
  <c r="AI165" i="3"/>
  <c r="AI134" i="3"/>
  <c r="AI119" i="3"/>
  <c r="AI88" i="3"/>
  <c r="AI57" i="3"/>
  <c r="AI26" i="3"/>
  <c r="AI154" i="3"/>
  <c r="AI123" i="3"/>
  <c r="AI84" i="3"/>
  <c r="AI45" i="3"/>
  <c r="AI173" i="3"/>
  <c r="AI142" i="3"/>
  <c r="AI63" i="3"/>
  <c r="AI96" i="3"/>
  <c r="AI65" i="3"/>
  <c r="AI34" i="3"/>
  <c r="AI162" i="3"/>
  <c r="AI131" i="3"/>
  <c r="AI92" i="3"/>
  <c r="AI53" i="3"/>
  <c r="AI22" i="3"/>
  <c r="AI150" i="3"/>
  <c r="AI127" i="3"/>
  <c r="AI104" i="3"/>
  <c r="AI73" i="3"/>
  <c r="AI42" i="3"/>
  <c r="AI170" i="3"/>
  <c r="AI139" i="3"/>
  <c r="AI100" i="3"/>
  <c r="AI61" i="3"/>
  <c r="AI30" i="3"/>
  <c r="AI158" i="3"/>
  <c r="AI151" i="3"/>
  <c r="AI112" i="3"/>
  <c r="AI81" i="3"/>
  <c r="AI50" i="3"/>
  <c r="AI178" i="3"/>
  <c r="AI147" i="3"/>
  <c r="AI108" i="3"/>
  <c r="AI69" i="3"/>
  <c r="AI38" i="3"/>
  <c r="AI166" i="3"/>
  <c r="AI71" i="3"/>
  <c r="AI120" i="3"/>
  <c r="AI89" i="3"/>
  <c r="AI58" i="3"/>
  <c r="AI27" i="3"/>
  <c r="AI155" i="3"/>
  <c r="AI116" i="3"/>
  <c r="AI77" i="3"/>
  <c r="AI46" i="3"/>
  <c r="AI174" i="3"/>
  <c r="AI135" i="3"/>
  <c r="AI136" i="3"/>
  <c r="AI105" i="3"/>
  <c r="AI74" i="3"/>
  <c r="AI43" i="3"/>
  <c r="AI171" i="3"/>
  <c r="AI132" i="3"/>
  <c r="AI93" i="3"/>
  <c r="AI62" i="3"/>
  <c r="AI95" i="3"/>
  <c r="AI79" i="3"/>
  <c r="AI144" i="3"/>
  <c r="AI113" i="3"/>
  <c r="AI82" i="3"/>
  <c r="AI51" i="3"/>
  <c r="AI179" i="3"/>
  <c r="AI140" i="3"/>
  <c r="AI101" i="3"/>
  <c r="AI70" i="3"/>
  <c r="AI159" i="3"/>
  <c r="AI143" i="3"/>
  <c r="AI24" i="3"/>
  <c r="AI152" i="3"/>
  <c r="AI121" i="3"/>
  <c r="AI90" i="3"/>
  <c r="AI59" i="3"/>
  <c r="AI20" i="3"/>
  <c r="AI148" i="3"/>
  <c r="AI109" i="3"/>
  <c r="AI78" i="3"/>
  <c r="AI39" i="3"/>
  <c r="AI23" i="3"/>
  <c r="AI32" i="3"/>
  <c r="AI160" i="3"/>
  <c r="AI129" i="3"/>
  <c r="AI98" i="3"/>
  <c r="AI67" i="3"/>
  <c r="AI28" i="3"/>
  <c r="AI156" i="3"/>
  <c r="AI117" i="3"/>
  <c r="AI86" i="3"/>
  <c r="AI103" i="3"/>
  <c r="AI56" i="3"/>
  <c r="AI25" i="3"/>
  <c r="AI153" i="3"/>
  <c r="AI122" i="3"/>
  <c r="AI91" i="3"/>
  <c r="AI52" i="3"/>
  <c r="AI180" i="3"/>
  <c r="AI141" i="3"/>
  <c r="AI110" i="3"/>
  <c r="AI111" i="3"/>
  <c r="AI176" i="3"/>
  <c r="AI44" i="3"/>
  <c r="AI47" i="3"/>
  <c r="AI33" i="3"/>
  <c r="AI60" i="3"/>
  <c r="AI175" i="3"/>
  <c r="AI97" i="3"/>
  <c r="AI124" i="3"/>
  <c r="AI87" i="3"/>
  <c r="AI137" i="3"/>
  <c r="AI164" i="3"/>
  <c r="AI145" i="3"/>
  <c r="AI172" i="3"/>
  <c r="AI161" i="3"/>
  <c r="AI21" i="3"/>
  <c r="AI66" i="3"/>
  <c r="AI85" i="3"/>
  <c r="AI106" i="3"/>
  <c r="AI125" i="3"/>
  <c r="AI114" i="3"/>
  <c r="AI133" i="3"/>
  <c r="AI130" i="3"/>
  <c r="AI149" i="3"/>
  <c r="AI35" i="3"/>
  <c r="AI54" i="3"/>
  <c r="AI40" i="3"/>
  <c r="AI75" i="3"/>
  <c r="AI94" i="3"/>
  <c r="AI128" i="3"/>
  <c r="AI163" i="3"/>
  <c r="AI31" i="3"/>
  <c r="AI48" i="3"/>
  <c r="AI64" i="3"/>
  <c r="AI168" i="3"/>
  <c r="AI83" i="3"/>
  <c r="AI99" i="3"/>
  <c r="AI36" i="3"/>
  <c r="AI102" i="3"/>
  <c r="AI118" i="3"/>
  <c r="AI167" i="3"/>
  <c r="E73" i="1"/>
  <c r="K146" i="2" l="1"/>
  <c r="L145" i="2"/>
  <c r="J16" i="3"/>
  <c r="L16" i="3" s="1"/>
  <c r="K16" i="3"/>
  <c r="M16" i="3" s="1"/>
  <c r="K762" i="2"/>
  <c r="L761" i="2"/>
  <c r="C153" i="3"/>
  <c r="AC153" i="3"/>
  <c r="A154" i="3"/>
  <c r="K331" i="2"/>
  <c r="L330" i="2"/>
  <c r="K1115" i="2"/>
  <c r="L1114" i="2"/>
  <c r="K523" i="2"/>
  <c r="L522" i="2"/>
  <c r="K934" i="2"/>
  <c r="L933" i="2"/>
  <c r="K1116" i="2" l="1"/>
  <c r="L1115" i="2"/>
  <c r="A155" i="3"/>
  <c r="AC154" i="3"/>
  <c r="C154" i="3"/>
  <c r="K524" i="2"/>
  <c r="L523" i="2"/>
  <c r="K332" i="2"/>
  <c r="L331" i="2"/>
  <c r="K935" i="2"/>
  <c r="L934" i="2"/>
  <c r="F16" i="3"/>
  <c r="K763" i="2"/>
  <c r="L762" i="2"/>
  <c r="L146" i="2"/>
  <c r="K147" i="2"/>
  <c r="K148" i="2" l="1"/>
  <c r="L147" i="2"/>
  <c r="K333" i="2"/>
  <c r="L332" i="2"/>
  <c r="K764" i="2"/>
  <c r="L763" i="2"/>
  <c r="K936" i="2"/>
  <c r="L935" i="2"/>
  <c r="AC155" i="3"/>
  <c r="A156" i="3"/>
  <c r="C155" i="3"/>
  <c r="AK127" i="3"/>
  <c r="AK72" i="3"/>
  <c r="AK50" i="3"/>
  <c r="AK21" i="3"/>
  <c r="AK105" i="3"/>
  <c r="AK108" i="3"/>
  <c r="AK158" i="3"/>
  <c r="AK89" i="3"/>
  <c r="AK53" i="3"/>
  <c r="AK98" i="3"/>
  <c r="AK133" i="3"/>
  <c r="AK79" i="3"/>
  <c r="AK57" i="3"/>
  <c r="AK28" i="3"/>
  <c r="AK128" i="3"/>
  <c r="AK115" i="3"/>
  <c r="AK94" i="3"/>
  <c r="AK25" i="3"/>
  <c r="AK60" i="3"/>
  <c r="AK169" i="3"/>
  <c r="AK159" i="3"/>
  <c r="AK111" i="3"/>
  <c r="AK64" i="3"/>
  <c r="AK35" i="3"/>
  <c r="AK77" i="3"/>
  <c r="AK86" i="3"/>
  <c r="AK157" i="3"/>
  <c r="AK32" i="3"/>
  <c r="AK67" i="3"/>
  <c r="AK160" i="3"/>
  <c r="AK140" i="3"/>
  <c r="AK125" i="3"/>
  <c r="AK71" i="3"/>
  <c r="AK42" i="3"/>
  <c r="AK84" i="3"/>
  <c r="AK122" i="3"/>
  <c r="AK92" i="3"/>
  <c r="AK39" i="3"/>
  <c r="AK74" i="3"/>
  <c r="AK96" i="3"/>
  <c r="AK179" i="3"/>
  <c r="AK135" i="3"/>
  <c r="AK118" i="3"/>
  <c r="AK49" i="3"/>
  <c r="AK20" i="3"/>
  <c r="AK129" i="3"/>
  <c r="AK164" i="3"/>
  <c r="AK150" i="3"/>
  <c r="AK81" i="3"/>
  <c r="AK45" i="3"/>
  <c r="AK155" i="3"/>
  <c r="AK132" i="3"/>
  <c r="AK95" i="3"/>
  <c r="AK56" i="3"/>
  <c r="AK27" i="3"/>
  <c r="AK70" i="3"/>
  <c r="AK100" i="3"/>
  <c r="AK46" i="3"/>
  <c r="AK88" i="3"/>
  <c r="AK52" i="3"/>
  <c r="AK154" i="3"/>
  <c r="AK163" i="3"/>
  <c r="AK117" i="3"/>
  <c r="AK63" i="3"/>
  <c r="AK34" i="3"/>
  <c r="AK120" i="3"/>
  <c r="AK99" i="3"/>
  <c r="AK149" i="3"/>
  <c r="AK24" i="3"/>
  <c r="AK59" i="3"/>
  <c r="AK153" i="3"/>
  <c r="AK146" i="3"/>
  <c r="AK124" i="3"/>
  <c r="AK173" i="3"/>
  <c r="AK48" i="3"/>
  <c r="AK76" i="3"/>
  <c r="AK114" i="3"/>
  <c r="AK156" i="3"/>
  <c r="AK142" i="3"/>
  <c r="AK73" i="3"/>
  <c r="AK119" i="3"/>
  <c r="AK152" i="3"/>
  <c r="AK177" i="3"/>
  <c r="AK147" i="3"/>
  <c r="AK109" i="3"/>
  <c r="AK55" i="3"/>
  <c r="AK83" i="3"/>
  <c r="AK113" i="3"/>
  <c r="AK91" i="3"/>
  <c r="AK151" i="3"/>
  <c r="AK80" i="3"/>
  <c r="AK167" i="3"/>
  <c r="AK62" i="3"/>
  <c r="AK137" i="3"/>
  <c r="AK123" i="3"/>
  <c r="AK180" i="3"/>
  <c r="AK90" i="3"/>
  <c r="AK176" i="3"/>
  <c r="AK22" i="3"/>
  <c r="AK141" i="3"/>
  <c r="AK87" i="3"/>
  <c r="AK126" i="3"/>
  <c r="AK37" i="3"/>
  <c r="AK144" i="3"/>
  <c r="AK138" i="3"/>
  <c r="AK116" i="3"/>
  <c r="AK166" i="3"/>
  <c r="AK26" i="3"/>
  <c r="AK112" i="3"/>
  <c r="AK170" i="3"/>
  <c r="AK175" i="3"/>
  <c r="AK23" i="3"/>
  <c r="AK143" i="3"/>
  <c r="AK58" i="3"/>
  <c r="AK36" i="3"/>
  <c r="AK136" i="3"/>
  <c r="AK130" i="3"/>
  <c r="AK101" i="3"/>
  <c r="AK47" i="3"/>
  <c r="AK75" i="3"/>
  <c r="AK168" i="3"/>
  <c r="AK171" i="3"/>
  <c r="AK29" i="3"/>
  <c r="G16" i="3"/>
  <c r="AK43" i="3"/>
  <c r="AK103" i="3"/>
  <c r="AK178" i="3"/>
  <c r="AK161" i="3"/>
  <c r="AK102" i="3"/>
  <c r="AK61" i="3"/>
  <c r="AK121" i="3"/>
  <c r="AK165" i="3"/>
  <c r="AK68" i="3"/>
  <c r="AK85" i="3"/>
  <c r="AK172" i="3"/>
  <c r="AK82" i="3"/>
  <c r="AK110" i="3"/>
  <c r="AK69" i="3"/>
  <c r="AK38" i="3"/>
  <c r="AK54" i="3"/>
  <c r="AK131" i="3"/>
  <c r="AK33" i="3"/>
  <c r="AK106" i="3"/>
  <c r="AK174" i="3"/>
  <c r="AK107" i="3"/>
  <c r="AK40" i="3"/>
  <c r="AK97" i="3"/>
  <c r="AK134" i="3"/>
  <c r="AK145" i="3"/>
  <c r="AK104" i="3"/>
  <c r="AK78" i="3"/>
  <c r="AK41" i="3"/>
  <c r="AK31" i="3"/>
  <c r="AK44" i="3"/>
  <c r="AK148" i="3"/>
  <c r="AK139" i="3"/>
  <c r="AK66" i="3"/>
  <c r="AK51" i="3"/>
  <c r="AK65" i="3"/>
  <c r="AK93" i="3"/>
  <c r="AK30" i="3"/>
  <c r="AK162" i="3"/>
  <c r="E16" i="3"/>
  <c r="K525" i="2"/>
  <c r="L524" i="2"/>
  <c r="K1117" i="2"/>
  <c r="L1116" i="2"/>
  <c r="AL133" i="3" l="1"/>
  <c r="AL106" i="3"/>
  <c r="AL117" i="3"/>
  <c r="AL154" i="3"/>
  <c r="AL70" i="3"/>
  <c r="AL69" i="3"/>
  <c r="AL42" i="3"/>
  <c r="AL53" i="3"/>
  <c r="AL172" i="3"/>
  <c r="AL137" i="3"/>
  <c r="AL156" i="3"/>
  <c r="AL26" i="3"/>
  <c r="AL101" i="3"/>
  <c r="AL108" i="3"/>
  <c r="AL151" i="3"/>
  <c r="AL73" i="3"/>
  <c r="AL92" i="3"/>
  <c r="AL44" i="3"/>
  <c r="AL167" i="3"/>
  <c r="AL168" i="3"/>
  <c r="AL28" i="3"/>
  <c r="AL63" i="3"/>
  <c r="AL57" i="3"/>
  <c r="AL83" i="3"/>
  <c r="AL94" i="3"/>
  <c r="AL40" i="3"/>
  <c r="AL67" i="3"/>
  <c r="AL114" i="3"/>
  <c r="AL125" i="3"/>
  <c r="AL98" i="3"/>
  <c r="AL173" i="3"/>
  <c r="AL51" i="3"/>
  <c r="AL50" i="3"/>
  <c r="AL61" i="3"/>
  <c r="AL34" i="3"/>
  <c r="AL145" i="3"/>
  <c r="AL164" i="3"/>
  <c r="AL129" i="3"/>
  <c r="AL45" i="3"/>
  <c r="AL82" i="3"/>
  <c r="AL71" i="3"/>
  <c r="AL81" i="3"/>
  <c r="AL100" i="3"/>
  <c r="AL127" i="3"/>
  <c r="AL65" i="3"/>
  <c r="AL148" i="3"/>
  <c r="AL159" i="3"/>
  <c r="AL62" i="3"/>
  <c r="AL99" i="3"/>
  <c r="AL110" i="3"/>
  <c r="AL56" i="3"/>
  <c r="AL134" i="3"/>
  <c r="AL157" i="3"/>
  <c r="AL35" i="3"/>
  <c r="AL46" i="3"/>
  <c r="AL103" i="3"/>
  <c r="AL23" i="3"/>
  <c r="AL165" i="3"/>
  <c r="AL93" i="3"/>
  <c r="AL130" i="3"/>
  <c r="AL141" i="3"/>
  <c r="AL150" i="3"/>
  <c r="AL39" i="3"/>
  <c r="AL37" i="3"/>
  <c r="AL29" i="3"/>
  <c r="AL66" i="3"/>
  <c r="AL77" i="3"/>
  <c r="AL47" i="3"/>
  <c r="AL158" i="3"/>
  <c r="AL86" i="3"/>
  <c r="AL142" i="3"/>
  <c r="AL140" i="3"/>
  <c r="AL132" i="3"/>
  <c r="AL161" i="3"/>
  <c r="AL180" i="3"/>
  <c r="AL166" i="3"/>
  <c r="AL30" i="3"/>
  <c r="AL22" i="3"/>
  <c r="AL78" i="3"/>
  <c r="AL76" i="3"/>
  <c r="AL68" i="3"/>
  <c r="AL87" i="3"/>
  <c r="AL97" i="3"/>
  <c r="AL116" i="3"/>
  <c r="AL102" i="3"/>
  <c r="AL36" i="3"/>
  <c r="AL131" i="3"/>
  <c r="AL109" i="3"/>
  <c r="AL179" i="3"/>
  <c r="AL171" i="3"/>
  <c r="AL175" i="3"/>
  <c r="AL33" i="3"/>
  <c r="AL52" i="3"/>
  <c r="AL38" i="3"/>
  <c r="AL139" i="3"/>
  <c r="AL162" i="3"/>
  <c r="AL84" i="3"/>
  <c r="AL115" i="3"/>
  <c r="AL107" i="3"/>
  <c r="AL31" i="3"/>
  <c r="AL128" i="3"/>
  <c r="AL155" i="3"/>
  <c r="AL147" i="3"/>
  <c r="AL75" i="3"/>
  <c r="AL160" i="3"/>
  <c r="AL20" i="3"/>
  <c r="AL146" i="3"/>
  <c r="AL43" i="3"/>
  <c r="AL118" i="3"/>
  <c r="AL64" i="3"/>
  <c r="AL91" i="3"/>
  <c r="AL178" i="3"/>
  <c r="AL170" i="3"/>
  <c r="AL96" i="3"/>
  <c r="AL123" i="3"/>
  <c r="AL177" i="3"/>
  <c r="AL138" i="3"/>
  <c r="AL54" i="3"/>
  <c r="AL27" i="3"/>
  <c r="AL176" i="3"/>
  <c r="AL104" i="3"/>
  <c r="AL32" i="3"/>
  <c r="AL59" i="3"/>
  <c r="AL113" i="3"/>
  <c r="AL74" i="3"/>
  <c r="AL149" i="3"/>
  <c r="AL122" i="3"/>
  <c r="AL112" i="3"/>
  <c r="AL90" i="3"/>
  <c r="AL49" i="3"/>
  <c r="AL169" i="3"/>
  <c r="AL85" i="3"/>
  <c r="AL58" i="3"/>
  <c r="AL88" i="3"/>
  <c r="AL143" i="3"/>
  <c r="AL95" i="3"/>
  <c r="AL136" i="3"/>
  <c r="AL60" i="3"/>
  <c r="AL111" i="3"/>
  <c r="AL25" i="3"/>
  <c r="AL121" i="3"/>
  <c r="AL152" i="3"/>
  <c r="AL24" i="3"/>
  <c r="AL21" i="3"/>
  <c r="AL124" i="3"/>
  <c r="AL163" i="3"/>
  <c r="AL119" i="3"/>
  <c r="AL144" i="3"/>
  <c r="AL48" i="3"/>
  <c r="AL80" i="3"/>
  <c r="AL79" i="3"/>
  <c r="AL135" i="3"/>
  <c r="AL55" i="3"/>
  <c r="AL174" i="3"/>
  <c r="AL126" i="3"/>
  <c r="AL153" i="3"/>
  <c r="AL105" i="3"/>
  <c r="AL41" i="3"/>
  <c r="AL72" i="3"/>
  <c r="AL89" i="3"/>
  <c r="AL120" i="3"/>
  <c r="K526" i="2"/>
  <c r="L525" i="2"/>
  <c r="AC156" i="3"/>
  <c r="A157" i="3"/>
  <c r="C156" i="3"/>
  <c r="AJ74" i="3"/>
  <c r="AJ148" i="3"/>
  <c r="AJ39" i="3"/>
  <c r="AJ58" i="3"/>
  <c r="AJ132" i="3"/>
  <c r="AJ174" i="3"/>
  <c r="AJ106" i="3"/>
  <c r="AJ180" i="3"/>
  <c r="AJ103" i="3"/>
  <c r="AJ145" i="3"/>
  <c r="AJ84" i="3"/>
  <c r="AJ126" i="3"/>
  <c r="AJ113" i="3"/>
  <c r="AJ68" i="3"/>
  <c r="AJ110" i="3"/>
  <c r="AJ161" i="3"/>
  <c r="AJ20" i="3"/>
  <c r="AJ62" i="3"/>
  <c r="AJ137" i="3"/>
  <c r="AJ141" i="3"/>
  <c r="AJ46" i="3"/>
  <c r="AJ73" i="3"/>
  <c r="AJ52" i="3"/>
  <c r="AJ94" i="3"/>
  <c r="AJ57" i="3"/>
  <c r="AJ179" i="3"/>
  <c r="AJ25" i="3"/>
  <c r="AJ163" i="3"/>
  <c r="AJ136" i="3"/>
  <c r="AJ115" i="3"/>
  <c r="AJ120" i="3"/>
  <c r="AJ99" i="3"/>
  <c r="AJ143" i="3"/>
  <c r="AJ61" i="3"/>
  <c r="AJ111" i="3"/>
  <c r="AJ178" i="3"/>
  <c r="AJ156" i="3"/>
  <c r="AJ55" i="3"/>
  <c r="AJ66" i="3"/>
  <c r="AJ140" i="3"/>
  <c r="AJ23" i="3"/>
  <c r="AJ50" i="3"/>
  <c r="AJ21" i="3"/>
  <c r="AJ119" i="3"/>
  <c r="AJ98" i="3"/>
  <c r="AJ92" i="3"/>
  <c r="AJ134" i="3"/>
  <c r="AJ129" i="3"/>
  <c r="AJ76" i="3"/>
  <c r="AJ118" i="3"/>
  <c r="AJ97" i="3"/>
  <c r="AJ28" i="3"/>
  <c r="AJ70" i="3"/>
  <c r="AJ153" i="3"/>
  <c r="AJ173" i="3"/>
  <c r="AJ54" i="3"/>
  <c r="AJ121" i="3"/>
  <c r="AJ60" i="3"/>
  <c r="AJ102" i="3"/>
  <c r="AJ49" i="3"/>
  <c r="AJ29" i="3"/>
  <c r="AJ41" i="3"/>
  <c r="AJ171" i="3"/>
  <c r="AJ176" i="3"/>
  <c r="AJ77" i="3"/>
  <c r="AJ128" i="3"/>
  <c r="AJ56" i="3"/>
  <c r="AJ95" i="3"/>
  <c r="AJ124" i="3"/>
  <c r="AJ147" i="3"/>
  <c r="AJ165" i="3"/>
  <c r="AJ47" i="3"/>
  <c r="AJ109" i="3"/>
  <c r="AJ138" i="3"/>
  <c r="AJ64" i="3"/>
  <c r="AJ151" i="3"/>
  <c r="AJ135" i="3"/>
  <c r="AJ101" i="3"/>
  <c r="AJ83" i="3"/>
  <c r="AJ172" i="3"/>
  <c r="AJ87" i="3"/>
  <c r="AJ146" i="3"/>
  <c r="AJ72" i="3"/>
  <c r="AJ127" i="3"/>
  <c r="AJ155" i="3"/>
  <c r="AJ157" i="3"/>
  <c r="AJ108" i="3"/>
  <c r="AJ150" i="3"/>
  <c r="AJ82" i="3"/>
  <c r="AJ175" i="3"/>
  <c r="AJ167" i="3"/>
  <c r="AJ91" i="3"/>
  <c r="AJ162" i="3"/>
  <c r="AJ44" i="3"/>
  <c r="AJ86" i="3"/>
  <c r="AJ169" i="3"/>
  <c r="AJ27" i="3"/>
  <c r="AJ34" i="3"/>
  <c r="AJ69" i="3"/>
  <c r="AJ22" i="3"/>
  <c r="AJ177" i="3"/>
  <c r="AJ170" i="3"/>
  <c r="AJ89" i="3"/>
  <c r="AJ139" i="3"/>
  <c r="AJ65" i="3"/>
  <c r="AJ42" i="3"/>
  <c r="AJ160" i="3"/>
  <c r="AJ75" i="3"/>
  <c r="AJ144" i="3"/>
  <c r="AJ105" i="3"/>
  <c r="AJ96" i="3"/>
  <c r="AJ133" i="3"/>
  <c r="AJ80" i="3"/>
  <c r="AJ168" i="3"/>
  <c r="AJ32" i="3"/>
  <c r="AJ154" i="3"/>
  <c r="AJ159" i="3"/>
  <c r="AJ104" i="3"/>
  <c r="AJ63" i="3"/>
  <c r="AJ90" i="3"/>
  <c r="AJ149" i="3"/>
  <c r="AJ31" i="3"/>
  <c r="AJ40" i="3"/>
  <c r="AJ158" i="3"/>
  <c r="AJ26" i="3"/>
  <c r="AJ164" i="3"/>
  <c r="AJ71" i="3"/>
  <c r="AJ93" i="3"/>
  <c r="AJ45" i="3"/>
  <c r="AJ79" i="3"/>
  <c r="AJ30" i="3"/>
  <c r="AJ33" i="3"/>
  <c r="AJ100" i="3"/>
  <c r="AJ142" i="3"/>
  <c r="AJ123" i="3"/>
  <c r="AJ51" i="3"/>
  <c r="AJ37" i="3"/>
  <c r="AJ112" i="3"/>
  <c r="AJ116" i="3"/>
  <c r="AJ88" i="3"/>
  <c r="AJ131" i="3"/>
  <c r="AJ48" i="3"/>
  <c r="AJ81" i="3"/>
  <c r="AJ152" i="3"/>
  <c r="AJ24" i="3"/>
  <c r="AJ166" i="3"/>
  <c r="AJ38" i="3"/>
  <c r="AJ125" i="3"/>
  <c r="AJ36" i="3"/>
  <c r="AJ59" i="3"/>
  <c r="AJ53" i="3"/>
  <c r="AJ67" i="3"/>
  <c r="AJ117" i="3"/>
  <c r="AJ85" i="3"/>
  <c r="AJ78" i="3"/>
  <c r="AJ130" i="3"/>
  <c r="AJ107" i="3"/>
  <c r="AJ43" i="3"/>
  <c r="AJ122" i="3"/>
  <c r="AJ35" i="3"/>
  <c r="AJ114" i="3"/>
  <c r="K937" i="2"/>
  <c r="L936" i="2"/>
  <c r="K765" i="2"/>
  <c r="L764" i="2"/>
  <c r="AK8" i="3"/>
  <c r="AM8" i="3" s="1"/>
  <c r="AK11" i="3"/>
  <c r="AM11" i="3" s="1"/>
  <c r="AO11" i="3" s="1"/>
  <c r="AP11" i="3" s="1"/>
  <c r="V11" i="3" s="1"/>
  <c r="AL8" i="3"/>
  <c r="AN8" i="3" s="1"/>
  <c r="AK9" i="3"/>
  <c r="AM9" i="3" s="1"/>
  <c r="AL13" i="3"/>
  <c r="AN13" i="3" s="1"/>
  <c r="AK7" i="3"/>
  <c r="AM7" i="3" s="1"/>
  <c r="AK10" i="3"/>
  <c r="AM10" i="3" s="1"/>
  <c r="AL11" i="3"/>
  <c r="AN11" i="3" s="1"/>
  <c r="AL10" i="3"/>
  <c r="AN10" i="3" s="1"/>
  <c r="AL12" i="3"/>
  <c r="AN12" i="3" s="1"/>
  <c r="AK14" i="3"/>
  <c r="AM14" i="3" s="1"/>
  <c r="AL14" i="3"/>
  <c r="AN14" i="3" s="1"/>
  <c r="AL9" i="3"/>
  <c r="AN9" i="3" s="1"/>
  <c r="AK12" i="3"/>
  <c r="AM12" i="3" s="1"/>
  <c r="AO12" i="3" s="1"/>
  <c r="AP12" i="3" s="1"/>
  <c r="V12" i="3" s="1"/>
  <c r="AK13" i="3"/>
  <c r="AM13" i="3" s="1"/>
  <c r="AL7" i="3"/>
  <c r="AN7" i="3" s="1"/>
  <c r="K334" i="2"/>
  <c r="L333" i="2"/>
  <c r="K1118" i="2"/>
  <c r="L1117" i="2"/>
  <c r="L148" i="2"/>
  <c r="K149" i="2"/>
  <c r="AO9" i="3" l="1"/>
  <c r="AP9" i="3" s="1"/>
  <c r="V9" i="3" s="1"/>
  <c r="AM85" i="3"/>
  <c r="AO85" i="3"/>
  <c r="AN85" i="3"/>
  <c r="AM112" i="3"/>
  <c r="AN112" i="3"/>
  <c r="AO112" i="3"/>
  <c r="AM31" i="3"/>
  <c r="AO31" i="3"/>
  <c r="AN31" i="3"/>
  <c r="AM42" i="3"/>
  <c r="AN42" i="3"/>
  <c r="AO42" i="3"/>
  <c r="AO175" i="3"/>
  <c r="AM175" i="3"/>
  <c r="AN175" i="3"/>
  <c r="AM138" i="3"/>
  <c r="AO138" i="3"/>
  <c r="AN138" i="3"/>
  <c r="AO60" i="3"/>
  <c r="AN60" i="3"/>
  <c r="AM60" i="3"/>
  <c r="AM50" i="3"/>
  <c r="AN50" i="3"/>
  <c r="AO50" i="3"/>
  <c r="AN179" i="3"/>
  <c r="AM179" i="3"/>
  <c r="AO179" i="3"/>
  <c r="AO145" i="3"/>
  <c r="AM145" i="3"/>
  <c r="AN145" i="3"/>
  <c r="AO117" i="3"/>
  <c r="AN117" i="3"/>
  <c r="AM117" i="3"/>
  <c r="AO37" i="3"/>
  <c r="AN37" i="3"/>
  <c r="AM37" i="3"/>
  <c r="AO149" i="3"/>
  <c r="AN149" i="3"/>
  <c r="AM149" i="3"/>
  <c r="AM65" i="3"/>
  <c r="AO65" i="3"/>
  <c r="AN65" i="3"/>
  <c r="AM82" i="3"/>
  <c r="AN82" i="3"/>
  <c r="AO82" i="3"/>
  <c r="AO109" i="3"/>
  <c r="AN109" i="3"/>
  <c r="AM109" i="3"/>
  <c r="AN121" i="3"/>
  <c r="AO121" i="3"/>
  <c r="AM121" i="3"/>
  <c r="AM23" i="3"/>
  <c r="AO23" i="3"/>
  <c r="AN23" i="3"/>
  <c r="AN57" i="3"/>
  <c r="AM57" i="3"/>
  <c r="AO57" i="3"/>
  <c r="AN103" i="3"/>
  <c r="AM103" i="3"/>
  <c r="AO103" i="3"/>
  <c r="AM90" i="3"/>
  <c r="AO90" i="3"/>
  <c r="AN90" i="3"/>
  <c r="AN139" i="3"/>
  <c r="AO139" i="3"/>
  <c r="AM139" i="3"/>
  <c r="AO150" i="3"/>
  <c r="AN150" i="3"/>
  <c r="AM150" i="3"/>
  <c r="AO47" i="3"/>
  <c r="AM47" i="3"/>
  <c r="AN47" i="3"/>
  <c r="AO54" i="3"/>
  <c r="AN54" i="3"/>
  <c r="AM54" i="3"/>
  <c r="AN140" i="3"/>
  <c r="AM140" i="3"/>
  <c r="AO140" i="3"/>
  <c r="AO94" i="3"/>
  <c r="AN94" i="3"/>
  <c r="AM94" i="3"/>
  <c r="AO180" i="3"/>
  <c r="AN180" i="3"/>
  <c r="AM180" i="3"/>
  <c r="AO53" i="3"/>
  <c r="AN53" i="3"/>
  <c r="AM53" i="3"/>
  <c r="AN123" i="3"/>
  <c r="AM123" i="3"/>
  <c r="AO123" i="3"/>
  <c r="AN63" i="3"/>
  <c r="AM63" i="3"/>
  <c r="AO63" i="3"/>
  <c r="AO89" i="3"/>
  <c r="AN89" i="3"/>
  <c r="AM89" i="3"/>
  <c r="AO108" i="3"/>
  <c r="AN108" i="3"/>
  <c r="AM108" i="3"/>
  <c r="AO165" i="3"/>
  <c r="AN165" i="3"/>
  <c r="AM165" i="3"/>
  <c r="AO173" i="3"/>
  <c r="AN173" i="3"/>
  <c r="AM173" i="3"/>
  <c r="AM66" i="3"/>
  <c r="AN66" i="3"/>
  <c r="AO66" i="3"/>
  <c r="AN52" i="3"/>
  <c r="AM52" i="3"/>
  <c r="AO52" i="3"/>
  <c r="AM106" i="3"/>
  <c r="AN106" i="3"/>
  <c r="AO106" i="3"/>
  <c r="AM59" i="3"/>
  <c r="AO59" i="3"/>
  <c r="AN59" i="3"/>
  <c r="AM104" i="3"/>
  <c r="AO104" i="3"/>
  <c r="AN104" i="3"/>
  <c r="AM170" i="3"/>
  <c r="AN170" i="3"/>
  <c r="AO170" i="3"/>
  <c r="AN157" i="3"/>
  <c r="AM157" i="3"/>
  <c r="AO157" i="3"/>
  <c r="AN147" i="3"/>
  <c r="AM147" i="3"/>
  <c r="AO147" i="3"/>
  <c r="AO153" i="3"/>
  <c r="AM153" i="3"/>
  <c r="AN153" i="3"/>
  <c r="AM55" i="3"/>
  <c r="AO55" i="3"/>
  <c r="AN55" i="3"/>
  <c r="AO73" i="3"/>
  <c r="AM73" i="3"/>
  <c r="AN73" i="3"/>
  <c r="AO174" i="3"/>
  <c r="AN174" i="3"/>
  <c r="AM174" i="3"/>
  <c r="AO36" i="3"/>
  <c r="AN36" i="3"/>
  <c r="AM36" i="3"/>
  <c r="AE7" i="3"/>
  <c r="AG7" i="3" s="1"/>
  <c r="AE9" i="3"/>
  <c r="AG9" i="3" s="1"/>
  <c r="AD10" i="3"/>
  <c r="AF10" i="3" s="1"/>
  <c r="AO100" i="3"/>
  <c r="AN100" i="3"/>
  <c r="AD14" i="3"/>
  <c r="AF14" i="3" s="1"/>
  <c r="AD13" i="3"/>
  <c r="AF13" i="3" s="1"/>
  <c r="AM100" i="3"/>
  <c r="AE13" i="3"/>
  <c r="AG13" i="3" s="1"/>
  <c r="AE11" i="3"/>
  <c r="AG11" i="3" s="1"/>
  <c r="AE14" i="3"/>
  <c r="AG14" i="3" s="1"/>
  <c r="AE10" i="3"/>
  <c r="AG10" i="3" s="1"/>
  <c r="AD9" i="3"/>
  <c r="AF9" i="3" s="1"/>
  <c r="AH9" i="3" s="1"/>
  <c r="AI9" i="3" s="1"/>
  <c r="U9" i="3" s="1"/>
  <c r="AD7" i="3"/>
  <c r="AF7" i="3" s="1"/>
  <c r="AH7" i="3" s="1"/>
  <c r="AI7" i="3" s="1"/>
  <c r="U7" i="3" s="1"/>
  <c r="AD11" i="3"/>
  <c r="AF11" i="3" s="1"/>
  <c r="AH11" i="3" s="1"/>
  <c r="AI11" i="3" s="1"/>
  <c r="U11" i="3" s="1"/>
  <c r="AE8" i="3"/>
  <c r="AG8" i="3" s="1"/>
  <c r="AD8" i="3"/>
  <c r="AF8" i="3" s="1"/>
  <c r="AD12" i="3"/>
  <c r="AF12" i="3" s="1"/>
  <c r="AE12" i="3"/>
  <c r="AG12" i="3" s="1"/>
  <c r="AN159" i="3"/>
  <c r="AO159" i="3"/>
  <c r="AM159" i="3"/>
  <c r="AM177" i="3"/>
  <c r="AO177" i="3"/>
  <c r="AN177" i="3"/>
  <c r="AN155" i="3"/>
  <c r="AM155" i="3"/>
  <c r="AO155" i="3"/>
  <c r="AO124" i="3"/>
  <c r="AN124" i="3"/>
  <c r="AM124" i="3"/>
  <c r="AO70" i="3"/>
  <c r="AN70" i="3"/>
  <c r="AM70" i="3"/>
  <c r="AO156" i="3"/>
  <c r="AN156" i="3"/>
  <c r="AM156" i="3"/>
  <c r="AO46" i="3"/>
  <c r="AN46" i="3"/>
  <c r="AM46" i="3"/>
  <c r="AO132" i="3"/>
  <c r="AN132" i="3"/>
  <c r="AM132" i="3"/>
  <c r="AS10" i="3"/>
  <c r="AU10" i="3" s="1"/>
  <c r="AS13" i="3"/>
  <c r="AU13" i="3" s="1"/>
  <c r="AS14" i="3"/>
  <c r="AU14" i="3" s="1"/>
  <c r="AS11" i="3"/>
  <c r="AU11" i="3" s="1"/>
  <c r="AR9" i="3"/>
  <c r="AT9" i="3" s="1"/>
  <c r="AS9" i="3"/>
  <c r="AU9" i="3" s="1"/>
  <c r="AR7" i="3"/>
  <c r="AT7" i="3" s="1"/>
  <c r="AR12" i="3"/>
  <c r="AT12" i="3" s="1"/>
  <c r="AS8" i="3"/>
  <c r="AU8" i="3" s="1"/>
  <c r="AR8" i="3"/>
  <c r="AT8" i="3" s="1"/>
  <c r="AR14" i="3"/>
  <c r="AT14" i="3" s="1"/>
  <c r="AR10" i="3"/>
  <c r="AT10" i="3" s="1"/>
  <c r="AR13" i="3"/>
  <c r="AT13" i="3" s="1"/>
  <c r="AR11" i="3"/>
  <c r="AT11" i="3" s="1"/>
  <c r="AS12" i="3"/>
  <c r="AU12" i="3" s="1"/>
  <c r="AS7" i="3"/>
  <c r="AU7" i="3" s="1"/>
  <c r="K1119" i="2"/>
  <c r="L1118" i="2"/>
  <c r="AO13" i="3"/>
  <c r="AP13" i="3" s="1"/>
  <c r="V13" i="3" s="1"/>
  <c r="K766" i="2"/>
  <c r="L765" i="2"/>
  <c r="AO125" i="3"/>
  <c r="AN125" i="3"/>
  <c r="AM125" i="3"/>
  <c r="AO33" i="3"/>
  <c r="AM33" i="3"/>
  <c r="AN33" i="3"/>
  <c r="AM154" i="3"/>
  <c r="AN154" i="3"/>
  <c r="AO154" i="3"/>
  <c r="AO22" i="3"/>
  <c r="AN22" i="3"/>
  <c r="AM22" i="3"/>
  <c r="AM127" i="3"/>
  <c r="AN127" i="3"/>
  <c r="AO127" i="3"/>
  <c r="AM95" i="3"/>
  <c r="AO95" i="3"/>
  <c r="AN95" i="3"/>
  <c r="AM28" i="3"/>
  <c r="AN28" i="3"/>
  <c r="AO28" i="3"/>
  <c r="AM178" i="3"/>
  <c r="AN178" i="3"/>
  <c r="AO178" i="3"/>
  <c r="AO141" i="3"/>
  <c r="AN141" i="3"/>
  <c r="AM141" i="3"/>
  <c r="AN58" i="3"/>
  <c r="AM58" i="3"/>
  <c r="AO58" i="3"/>
  <c r="AN67" i="3"/>
  <c r="AM67" i="3"/>
  <c r="AO67" i="3"/>
  <c r="L334" i="2"/>
  <c r="K335" i="2"/>
  <c r="AO38" i="3"/>
  <c r="AN38" i="3"/>
  <c r="AM38" i="3"/>
  <c r="AO30" i="3"/>
  <c r="AN30" i="3"/>
  <c r="AM30" i="3"/>
  <c r="AN32" i="3"/>
  <c r="AO32" i="3"/>
  <c r="AM32" i="3"/>
  <c r="AN69" i="3"/>
  <c r="AO69" i="3"/>
  <c r="AM69" i="3"/>
  <c r="AN72" i="3"/>
  <c r="AO72" i="3"/>
  <c r="AM72" i="3"/>
  <c r="AM56" i="3"/>
  <c r="AN56" i="3"/>
  <c r="AO56" i="3"/>
  <c r="AO97" i="3"/>
  <c r="AM97" i="3"/>
  <c r="AN97" i="3"/>
  <c r="AO111" i="3"/>
  <c r="AM111" i="3"/>
  <c r="AN111" i="3"/>
  <c r="AO137" i="3"/>
  <c r="AN137" i="3"/>
  <c r="AM137" i="3"/>
  <c r="AO39" i="3"/>
  <c r="AN39" i="3"/>
  <c r="AM39" i="3"/>
  <c r="AN142" i="3"/>
  <c r="AM142" i="3"/>
  <c r="AO142" i="3"/>
  <c r="K938" i="2"/>
  <c r="L937" i="2"/>
  <c r="AN166" i="3"/>
  <c r="AM166" i="3"/>
  <c r="AO166" i="3"/>
  <c r="AO79" i="3"/>
  <c r="AN79" i="3"/>
  <c r="AM79" i="3"/>
  <c r="AN168" i="3"/>
  <c r="AO168" i="3"/>
  <c r="AM168" i="3"/>
  <c r="AM34" i="3"/>
  <c r="AN34" i="3"/>
  <c r="AO34" i="3"/>
  <c r="AM146" i="3"/>
  <c r="AO146" i="3"/>
  <c r="AN146" i="3"/>
  <c r="AN128" i="3"/>
  <c r="AO128" i="3"/>
  <c r="AM128" i="3"/>
  <c r="AO118" i="3"/>
  <c r="AN118" i="3"/>
  <c r="AM118" i="3"/>
  <c r="AO61" i="3"/>
  <c r="AN61" i="3"/>
  <c r="AM61" i="3"/>
  <c r="AN62" i="3"/>
  <c r="AO62" i="3"/>
  <c r="AM62" i="3"/>
  <c r="AO148" i="3"/>
  <c r="AN148" i="3"/>
  <c r="AM148" i="3"/>
  <c r="AM114" i="3"/>
  <c r="AN114" i="3"/>
  <c r="AO114" i="3"/>
  <c r="AN24" i="3"/>
  <c r="AM24" i="3"/>
  <c r="AO24" i="3"/>
  <c r="AM45" i="3"/>
  <c r="AO45" i="3"/>
  <c r="AN45" i="3"/>
  <c r="AN80" i="3"/>
  <c r="AO80" i="3"/>
  <c r="AM80" i="3"/>
  <c r="AN27" i="3"/>
  <c r="AM27" i="3"/>
  <c r="AO27" i="3"/>
  <c r="AM87" i="3"/>
  <c r="AO87" i="3"/>
  <c r="AN87" i="3"/>
  <c r="AO77" i="3"/>
  <c r="AN77" i="3"/>
  <c r="AM77" i="3"/>
  <c r="AO76" i="3"/>
  <c r="AN76" i="3"/>
  <c r="AM76" i="3"/>
  <c r="AM143" i="3"/>
  <c r="AO143" i="3"/>
  <c r="AN143" i="3"/>
  <c r="AO20" i="3"/>
  <c r="AN20" i="3"/>
  <c r="AM20" i="3"/>
  <c r="AO74" i="3"/>
  <c r="AM74" i="3"/>
  <c r="AN74" i="3"/>
  <c r="AO14" i="3"/>
  <c r="AP14" i="3" s="1"/>
  <c r="V14" i="3" s="1"/>
  <c r="AN35" i="3"/>
  <c r="AM35" i="3"/>
  <c r="AO35" i="3"/>
  <c r="AN152" i="3"/>
  <c r="AO152" i="3"/>
  <c r="AM152" i="3"/>
  <c r="AN93" i="3"/>
  <c r="AM93" i="3"/>
  <c r="AO93" i="3"/>
  <c r="AO133" i="3"/>
  <c r="AN133" i="3"/>
  <c r="AM133" i="3"/>
  <c r="AO169" i="3"/>
  <c r="AN169" i="3"/>
  <c r="AM169" i="3"/>
  <c r="AO172" i="3"/>
  <c r="AN172" i="3"/>
  <c r="AM172" i="3"/>
  <c r="AN176" i="3"/>
  <c r="AO176" i="3"/>
  <c r="AM176" i="3"/>
  <c r="AO129" i="3"/>
  <c r="AN129" i="3"/>
  <c r="AM129" i="3"/>
  <c r="AM99" i="3"/>
  <c r="AO99" i="3"/>
  <c r="AN99" i="3"/>
  <c r="AO161" i="3"/>
  <c r="AM161" i="3"/>
  <c r="AN161" i="3"/>
  <c r="AO8" i="3"/>
  <c r="AP8" i="3" s="1"/>
  <c r="V8" i="3" s="1"/>
  <c r="AM122" i="3"/>
  <c r="AN122" i="3"/>
  <c r="AO122" i="3"/>
  <c r="AO81" i="3"/>
  <c r="AM81" i="3"/>
  <c r="AN81" i="3"/>
  <c r="AM71" i="3"/>
  <c r="AO71" i="3"/>
  <c r="AN71" i="3"/>
  <c r="AN96" i="3"/>
  <c r="AO96" i="3"/>
  <c r="AM96" i="3"/>
  <c r="AO86" i="3"/>
  <c r="AN86" i="3"/>
  <c r="AM86" i="3"/>
  <c r="AN83" i="3"/>
  <c r="AM83" i="3"/>
  <c r="AO83" i="3"/>
  <c r="AN171" i="3"/>
  <c r="AM171" i="3"/>
  <c r="AO171" i="3"/>
  <c r="AO134" i="3"/>
  <c r="AN134" i="3"/>
  <c r="AM134" i="3"/>
  <c r="AN120" i="3"/>
  <c r="AO120" i="3"/>
  <c r="AM120" i="3"/>
  <c r="AO110" i="3"/>
  <c r="AN110" i="3"/>
  <c r="AM110" i="3"/>
  <c r="AC157" i="3"/>
  <c r="A158" i="3"/>
  <c r="C157" i="3"/>
  <c r="AN43" i="3"/>
  <c r="AM43" i="3"/>
  <c r="AO43" i="3"/>
  <c r="AN48" i="3"/>
  <c r="AO48" i="3"/>
  <c r="AM48" i="3"/>
  <c r="AN164" i="3"/>
  <c r="AO164" i="3"/>
  <c r="AM164" i="3"/>
  <c r="AO105" i="3"/>
  <c r="AM105" i="3"/>
  <c r="AN105" i="3"/>
  <c r="AO44" i="3"/>
  <c r="AN44" i="3"/>
  <c r="AM44" i="3"/>
  <c r="AO101" i="3"/>
  <c r="AN101" i="3"/>
  <c r="AM101" i="3"/>
  <c r="AO41" i="3"/>
  <c r="AN41" i="3"/>
  <c r="AM41" i="3"/>
  <c r="AO92" i="3"/>
  <c r="AN92" i="3"/>
  <c r="AM92" i="3"/>
  <c r="AN115" i="3"/>
  <c r="AM115" i="3"/>
  <c r="AO115" i="3"/>
  <c r="AM68" i="3"/>
  <c r="AO68" i="3"/>
  <c r="AN68" i="3"/>
  <c r="AO51" i="3"/>
  <c r="AN51" i="3"/>
  <c r="AM51" i="3"/>
  <c r="AN107" i="3"/>
  <c r="AM107" i="3"/>
  <c r="AO107" i="3"/>
  <c r="AO131" i="3"/>
  <c r="AN131" i="3"/>
  <c r="AM131" i="3"/>
  <c r="AM26" i="3"/>
  <c r="AN26" i="3"/>
  <c r="AO26" i="3"/>
  <c r="AN144" i="3"/>
  <c r="AO144" i="3"/>
  <c r="AM144" i="3"/>
  <c r="AN162" i="3"/>
  <c r="AO162" i="3"/>
  <c r="AM162" i="3"/>
  <c r="AM135" i="3"/>
  <c r="AO135" i="3"/>
  <c r="AN135" i="3"/>
  <c r="AN29" i="3"/>
  <c r="AM29" i="3"/>
  <c r="AO29" i="3"/>
  <c r="AM98" i="3"/>
  <c r="AN98" i="3"/>
  <c r="AO98" i="3"/>
  <c r="AM136" i="3"/>
  <c r="AN136" i="3"/>
  <c r="AO136" i="3"/>
  <c r="AM113" i="3"/>
  <c r="AO113" i="3"/>
  <c r="AN113" i="3"/>
  <c r="AO10" i="3"/>
  <c r="AP10" i="3" s="1"/>
  <c r="V10" i="3" s="1"/>
  <c r="AN130" i="3"/>
  <c r="AO130" i="3"/>
  <c r="AM130" i="3"/>
  <c r="AO88" i="3"/>
  <c r="AM88" i="3"/>
  <c r="AN88" i="3"/>
  <c r="AO158" i="3"/>
  <c r="AN158" i="3"/>
  <c r="AM158" i="3"/>
  <c r="AO75" i="3"/>
  <c r="AN75" i="3"/>
  <c r="AM75" i="3"/>
  <c r="AN91" i="3"/>
  <c r="AM91" i="3"/>
  <c r="AO91" i="3"/>
  <c r="AO151" i="3"/>
  <c r="AM151" i="3"/>
  <c r="AN151" i="3"/>
  <c r="AN49" i="3"/>
  <c r="AO49" i="3"/>
  <c r="AM49" i="3"/>
  <c r="AO119" i="3"/>
  <c r="AN119" i="3"/>
  <c r="AM119" i="3"/>
  <c r="AM163" i="3"/>
  <c r="AN163" i="3"/>
  <c r="AO163" i="3"/>
  <c r="AO126" i="3"/>
  <c r="AN126" i="3"/>
  <c r="AM126" i="3"/>
  <c r="K527" i="2"/>
  <c r="L526" i="2"/>
  <c r="K150" i="2"/>
  <c r="L149" i="2"/>
  <c r="AO7" i="3"/>
  <c r="AP7" i="3" s="1"/>
  <c r="V7" i="3" s="1"/>
  <c r="AM78" i="3"/>
  <c r="AO78" i="3"/>
  <c r="AN78" i="3"/>
  <c r="AM116" i="3"/>
  <c r="AO116" i="3"/>
  <c r="AN116" i="3"/>
  <c r="AN40" i="3"/>
  <c r="AO40" i="3"/>
  <c r="AM40" i="3"/>
  <c r="AO160" i="3"/>
  <c r="AN160" i="3"/>
  <c r="AM160" i="3"/>
  <c r="AM167" i="3"/>
  <c r="AO167" i="3"/>
  <c r="AN167" i="3"/>
  <c r="AO64" i="3"/>
  <c r="AN64" i="3"/>
  <c r="AM64" i="3"/>
  <c r="AO102" i="3"/>
  <c r="AN102" i="3"/>
  <c r="AM102" i="3"/>
  <c r="AN21" i="3"/>
  <c r="AO21" i="3"/>
  <c r="AM21" i="3"/>
  <c r="AM25" i="3"/>
  <c r="AO25" i="3"/>
  <c r="AN25" i="3"/>
  <c r="AO84" i="3"/>
  <c r="AN84" i="3"/>
  <c r="AM84" i="3"/>
  <c r="AH12" i="3" l="1"/>
  <c r="AI12" i="3" s="1"/>
  <c r="U12" i="3" s="1"/>
  <c r="AV9" i="3"/>
  <c r="AW9" i="3" s="1"/>
  <c r="W9" i="3" s="1"/>
  <c r="K767" i="2"/>
  <c r="L766" i="2"/>
  <c r="K1120" i="2"/>
  <c r="L1119" i="2"/>
  <c r="AV11" i="3"/>
  <c r="AW11" i="3" s="1"/>
  <c r="W11" i="3" s="1"/>
  <c r="AV13" i="3"/>
  <c r="AW13" i="3" s="1"/>
  <c r="W13" i="3" s="1"/>
  <c r="K151" i="2"/>
  <c r="L150" i="2"/>
  <c r="AV10" i="3"/>
  <c r="AW10" i="3" s="1"/>
  <c r="W10" i="3" s="1"/>
  <c r="AH13" i="3"/>
  <c r="AI13" i="3" s="1"/>
  <c r="U13" i="3" s="1"/>
  <c r="AV14" i="3"/>
  <c r="AW14" i="3" s="1"/>
  <c r="W14" i="3" s="1"/>
  <c r="AH14" i="3"/>
  <c r="AI14" i="3" s="1"/>
  <c r="U14" i="3" s="1"/>
  <c r="K528" i="2"/>
  <c r="L527" i="2"/>
  <c r="AC158" i="3"/>
  <c r="A159" i="3"/>
  <c r="C158" i="3"/>
  <c r="K939" i="2"/>
  <c r="L938" i="2"/>
  <c r="AV8" i="3"/>
  <c r="AW8" i="3" s="1"/>
  <c r="W8" i="3" s="1"/>
  <c r="L335" i="2"/>
  <c r="K336" i="2"/>
  <c r="AV12" i="3"/>
  <c r="AW12" i="3" s="1"/>
  <c r="W12" i="3" s="1"/>
  <c r="AH10" i="3"/>
  <c r="AI10" i="3" s="1"/>
  <c r="U10" i="3" s="1"/>
  <c r="AV7" i="3"/>
  <c r="AW7" i="3" s="1"/>
  <c r="W7" i="3" s="1"/>
  <c r="AH8" i="3"/>
  <c r="AI8" i="3" s="1"/>
  <c r="U8" i="3" s="1"/>
  <c r="AC159" i="3" l="1"/>
  <c r="C159" i="3"/>
  <c r="A160" i="3"/>
  <c r="K529" i="2"/>
  <c r="L528" i="2"/>
  <c r="L151" i="2"/>
  <c r="K152" i="2"/>
  <c r="K337" i="2"/>
  <c r="L336" i="2"/>
  <c r="K1121" i="2"/>
  <c r="L1120" i="2"/>
  <c r="K940" i="2"/>
  <c r="L939" i="2"/>
  <c r="K768" i="2"/>
  <c r="L767" i="2"/>
  <c r="K1122" i="2" l="1"/>
  <c r="L1121" i="2"/>
  <c r="K769" i="2"/>
  <c r="L768" i="2"/>
  <c r="L940" i="2"/>
  <c r="K941" i="2"/>
  <c r="L337" i="2"/>
  <c r="K338" i="2"/>
  <c r="K153" i="2"/>
  <c r="L152" i="2"/>
  <c r="K530" i="2"/>
  <c r="L529" i="2"/>
  <c r="A161" i="3"/>
  <c r="AC160" i="3"/>
  <c r="C160" i="3"/>
  <c r="AC161" i="3" l="1"/>
  <c r="A162" i="3"/>
  <c r="C161" i="3"/>
  <c r="K154" i="2"/>
  <c r="L153" i="2"/>
  <c r="K531" i="2"/>
  <c r="L530" i="2"/>
  <c r="K339" i="2"/>
  <c r="L338" i="2"/>
  <c r="K942" i="2"/>
  <c r="L941" i="2"/>
  <c r="K770" i="2"/>
  <c r="L769" i="2"/>
  <c r="K1123" i="2"/>
  <c r="L1122" i="2"/>
  <c r="L942" i="2" l="1"/>
  <c r="K943" i="2"/>
  <c r="L1123" i="2"/>
  <c r="K1124" i="2"/>
  <c r="K771" i="2"/>
  <c r="L770" i="2"/>
  <c r="K532" i="2"/>
  <c r="L531" i="2"/>
  <c r="L154" i="2"/>
  <c r="K155" i="2"/>
  <c r="K340" i="2"/>
  <c r="L339" i="2"/>
  <c r="AC162" i="3"/>
  <c r="A163" i="3"/>
  <c r="C162" i="3"/>
  <c r="AC163" i="3" l="1"/>
  <c r="A164" i="3"/>
  <c r="C163" i="3"/>
  <c r="K341" i="2"/>
  <c r="L340" i="2"/>
  <c r="K156" i="2"/>
  <c r="L155" i="2"/>
  <c r="K533" i="2"/>
  <c r="L532" i="2"/>
  <c r="K772" i="2"/>
  <c r="L772" i="2" s="1"/>
  <c r="L771" i="2"/>
  <c r="K1125" i="2"/>
  <c r="L1124" i="2"/>
  <c r="K944" i="2"/>
  <c r="L943" i="2"/>
  <c r="K1126" i="2" l="1"/>
  <c r="L1125" i="2"/>
  <c r="L156" i="2"/>
  <c r="K157" i="2"/>
  <c r="K342" i="2"/>
  <c r="L341" i="2"/>
  <c r="K945" i="2"/>
  <c r="L944" i="2"/>
  <c r="K534" i="2"/>
  <c r="L533" i="2"/>
  <c r="A165" i="3"/>
  <c r="AC164" i="3"/>
  <c r="C164" i="3"/>
  <c r="K535" i="2" l="1"/>
  <c r="L534" i="2"/>
  <c r="K158" i="2"/>
  <c r="L157" i="2"/>
  <c r="AC165" i="3"/>
  <c r="A166" i="3"/>
  <c r="C165" i="3"/>
  <c r="K946" i="2"/>
  <c r="L945" i="2"/>
  <c r="L342" i="2"/>
  <c r="K343" i="2"/>
  <c r="K1127" i="2"/>
  <c r="L1126" i="2"/>
  <c r="K947" i="2" l="1"/>
  <c r="L946" i="2"/>
  <c r="K1128" i="2"/>
  <c r="L1127" i="2"/>
  <c r="L343" i="2"/>
  <c r="K344" i="2"/>
  <c r="A167" i="3"/>
  <c r="AC166" i="3"/>
  <c r="C166" i="3"/>
  <c r="K159" i="2"/>
  <c r="L158" i="2"/>
  <c r="K536" i="2"/>
  <c r="L535" i="2"/>
  <c r="K537" i="2" l="1"/>
  <c r="L536" i="2"/>
  <c r="L159" i="2"/>
  <c r="K160" i="2"/>
  <c r="AC167" i="3"/>
  <c r="A168" i="3"/>
  <c r="C167" i="3"/>
  <c r="K345" i="2"/>
  <c r="L344" i="2"/>
  <c r="K1129" i="2"/>
  <c r="L1128" i="2"/>
  <c r="K948" i="2"/>
  <c r="L947" i="2"/>
  <c r="K1130" i="2" l="1"/>
  <c r="L1129" i="2"/>
  <c r="AC168" i="3"/>
  <c r="A169" i="3"/>
  <c r="C168" i="3"/>
  <c r="K161" i="2"/>
  <c r="L160" i="2"/>
  <c r="K949" i="2"/>
  <c r="L948" i="2"/>
  <c r="L345" i="2"/>
  <c r="K346" i="2"/>
  <c r="K538" i="2"/>
  <c r="L537" i="2"/>
  <c r="K347" i="2" l="1"/>
  <c r="L346" i="2"/>
  <c r="L949" i="2"/>
  <c r="K950" i="2"/>
  <c r="K162" i="2"/>
  <c r="L161" i="2"/>
  <c r="C169" i="3"/>
  <c r="AC169" i="3"/>
  <c r="A170" i="3"/>
  <c r="K539" i="2"/>
  <c r="L538" i="2"/>
  <c r="K1131" i="2"/>
  <c r="L1130" i="2"/>
  <c r="L1131" i="2" l="1"/>
  <c r="K1132" i="2"/>
  <c r="K540" i="2"/>
  <c r="L539" i="2"/>
  <c r="A171" i="3"/>
  <c r="AC170" i="3"/>
  <c r="C170" i="3"/>
  <c r="K951" i="2"/>
  <c r="L950" i="2"/>
  <c r="L162" i="2"/>
  <c r="K163" i="2"/>
  <c r="K348" i="2"/>
  <c r="L347" i="2"/>
  <c r="K952" i="2" l="1"/>
  <c r="L951" i="2"/>
  <c r="K1133" i="2"/>
  <c r="L1132" i="2"/>
  <c r="K349" i="2"/>
  <c r="L348" i="2"/>
  <c r="K164" i="2"/>
  <c r="L163" i="2"/>
  <c r="AC171" i="3"/>
  <c r="A172" i="3"/>
  <c r="C171" i="3"/>
  <c r="K541" i="2"/>
  <c r="L540" i="2"/>
  <c r="K542" i="2" l="1"/>
  <c r="L541" i="2"/>
  <c r="A173" i="3"/>
  <c r="AC172" i="3"/>
  <c r="C172" i="3"/>
  <c r="L164" i="2"/>
  <c r="K165" i="2"/>
  <c r="K350" i="2"/>
  <c r="L349" i="2"/>
  <c r="K1134" i="2"/>
  <c r="L1133" i="2"/>
  <c r="K953" i="2"/>
  <c r="L952" i="2"/>
  <c r="K166" i="2" l="1"/>
  <c r="L165" i="2"/>
  <c r="K954" i="2"/>
  <c r="L953" i="2"/>
  <c r="K1135" i="2"/>
  <c r="L1134" i="2"/>
  <c r="L350" i="2"/>
  <c r="K351" i="2"/>
  <c r="AC173" i="3"/>
  <c r="A174" i="3"/>
  <c r="C173" i="3"/>
  <c r="K543" i="2"/>
  <c r="L542" i="2"/>
  <c r="K544" i="2" l="1"/>
  <c r="L543" i="2"/>
  <c r="K955" i="2"/>
  <c r="L954" i="2"/>
  <c r="AC174" i="3"/>
  <c r="A175" i="3"/>
  <c r="C174" i="3"/>
  <c r="L351" i="2"/>
  <c r="K352" i="2"/>
  <c r="K1136" i="2"/>
  <c r="L1135" i="2"/>
  <c r="K167" i="2"/>
  <c r="L166" i="2"/>
  <c r="AC175" i="3" l="1"/>
  <c r="C175" i="3"/>
  <c r="A176" i="3"/>
  <c r="L167" i="2"/>
  <c r="K168" i="2"/>
  <c r="K1137" i="2"/>
  <c r="L1136" i="2"/>
  <c r="K353" i="2"/>
  <c r="L352" i="2"/>
  <c r="K956" i="2"/>
  <c r="L955" i="2"/>
  <c r="K545" i="2"/>
  <c r="L544" i="2"/>
  <c r="K957" i="2" l="1"/>
  <c r="L956" i="2"/>
  <c r="L353" i="2"/>
  <c r="K354" i="2"/>
  <c r="K169" i="2"/>
  <c r="L168" i="2"/>
  <c r="K1138" i="2"/>
  <c r="L1137" i="2"/>
  <c r="AC176" i="3"/>
  <c r="A177" i="3"/>
  <c r="C176" i="3"/>
  <c r="K546" i="2"/>
  <c r="L545" i="2"/>
  <c r="K547" i="2" l="1"/>
  <c r="L546" i="2"/>
  <c r="AC177" i="3"/>
  <c r="A178" i="3"/>
  <c r="C177" i="3"/>
  <c r="K1139" i="2"/>
  <c r="L1138" i="2"/>
  <c r="K170" i="2"/>
  <c r="L169" i="2"/>
  <c r="K355" i="2"/>
  <c r="L354" i="2"/>
  <c r="K958" i="2"/>
  <c r="L957" i="2"/>
  <c r="A179" i="3" l="1"/>
  <c r="C178" i="3"/>
  <c r="AC178" i="3"/>
  <c r="K959" i="2"/>
  <c r="L958" i="2"/>
  <c r="K356" i="2"/>
  <c r="L355" i="2"/>
  <c r="L170" i="2"/>
  <c r="K171" i="2"/>
  <c r="K1140" i="2"/>
  <c r="L1139" i="2"/>
  <c r="K548" i="2"/>
  <c r="L547" i="2"/>
  <c r="K1141" i="2" l="1"/>
  <c r="L1140" i="2"/>
  <c r="K357" i="2"/>
  <c r="L356" i="2"/>
  <c r="K549" i="2"/>
  <c r="L548" i="2"/>
  <c r="K172" i="2"/>
  <c r="L171" i="2"/>
  <c r="K960" i="2"/>
  <c r="L959" i="2"/>
  <c r="AC179" i="3"/>
  <c r="A180" i="3"/>
  <c r="C179" i="3"/>
  <c r="AC180" i="3" l="1"/>
  <c r="C180" i="3"/>
  <c r="K961" i="2"/>
  <c r="L960" i="2"/>
  <c r="K550" i="2"/>
  <c r="L549" i="2"/>
  <c r="K173" i="2"/>
  <c r="L172" i="2"/>
  <c r="K358" i="2"/>
  <c r="L357" i="2"/>
  <c r="K1142" i="2"/>
  <c r="L1141" i="2"/>
  <c r="L173" i="2" l="1"/>
  <c r="K174" i="2"/>
  <c r="L358" i="2"/>
  <c r="K359" i="2"/>
  <c r="K551" i="2"/>
  <c r="L550" i="2"/>
  <c r="K962" i="2"/>
  <c r="L961" i="2"/>
  <c r="K1143" i="2"/>
  <c r="L1142" i="2"/>
  <c r="K1144" i="2" l="1"/>
  <c r="L1143" i="2"/>
  <c r="K963" i="2"/>
  <c r="L962" i="2"/>
  <c r="L359" i="2"/>
  <c r="K360" i="2"/>
  <c r="K552" i="2"/>
  <c r="L551" i="2"/>
  <c r="L174" i="2"/>
  <c r="K175" i="2"/>
  <c r="K176" i="2" l="1"/>
  <c r="L175" i="2"/>
  <c r="K553" i="2"/>
  <c r="L552" i="2"/>
  <c r="K361" i="2"/>
  <c r="L360" i="2"/>
  <c r="K964" i="2"/>
  <c r="L964" i="2" s="1"/>
  <c r="L963" i="2"/>
  <c r="K1145" i="2"/>
  <c r="L1144" i="2"/>
  <c r="K1146" i="2" l="1"/>
  <c r="L1145" i="2"/>
  <c r="L361" i="2"/>
  <c r="K362" i="2"/>
  <c r="K554" i="2"/>
  <c r="L553" i="2"/>
  <c r="L176" i="2"/>
  <c r="K177" i="2"/>
  <c r="L177" i="2" l="1"/>
  <c r="K178" i="2"/>
  <c r="K363" i="2"/>
  <c r="L362" i="2"/>
  <c r="K555" i="2"/>
  <c r="L554" i="2"/>
  <c r="K1147" i="2"/>
  <c r="L1146" i="2"/>
  <c r="K1148" i="2" l="1"/>
  <c r="L1147" i="2"/>
  <c r="K556" i="2"/>
  <c r="L555" i="2"/>
  <c r="K364" i="2"/>
  <c r="L363" i="2"/>
  <c r="K179" i="2"/>
  <c r="L178" i="2"/>
  <c r="K557" i="2" l="1"/>
  <c r="L556" i="2"/>
  <c r="K180" i="2"/>
  <c r="L179" i="2"/>
  <c r="K365" i="2"/>
  <c r="L364" i="2"/>
  <c r="K1149" i="2"/>
  <c r="L1148" i="2"/>
  <c r="K1150" i="2" l="1"/>
  <c r="L1149" i="2"/>
  <c r="K366" i="2"/>
  <c r="L365" i="2"/>
  <c r="K181" i="2"/>
  <c r="L180" i="2"/>
  <c r="K558" i="2"/>
  <c r="L557" i="2"/>
  <c r="L366" i="2" l="1"/>
  <c r="K367" i="2"/>
  <c r="K559" i="2"/>
  <c r="L558" i="2"/>
  <c r="K182" i="2"/>
  <c r="L181" i="2"/>
  <c r="K1151" i="2"/>
  <c r="L1150" i="2"/>
  <c r="K1152" i="2" l="1"/>
  <c r="L1151" i="2"/>
  <c r="L182" i="2"/>
  <c r="K183" i="2"/>
  <c r="K560" i="2"/>
  <c r="L559" i="2"/>
  <c r="L367" i="2"/>
  <c r="K368" i="2"/>
  <c r="K369" i="2" l="1"/>
  <c r="L368" i="2"/>
  <c r="K184" i="2"/>
  <c r="L183" i="2"/>
  <c r="K561" i="2"/>
  <c r="L560" i="2"/>
  <c r="K1153" i="2"/>
  <c r="L1152" i="2"/>
  <c r="K1154" i="2" l="1"/>
  <c r="L1153" i="2"/>
  <c r="K562" i="2"/>
  <c r="L561" i="2"/>
  <c r="L184" i="2"/>
  <c r="K185" i="2"/>
  <c r="L369" i="2"/>
  <c r="K370" i="2"/>
  <c r="K371" i="2" l="1"/>
  <c r="L370" i="2"/>
  <c r="L185" i="2"/>
  <c r="K186" i="2"/>
  <c r="K563" i="2"/>
  <c r="L562" i="2"/>
  <c r="K1155" i="2"/>
  <c r="L1154" i="2"/>
  <c r="K1156" i="2" l="1"/>
  <c r="L1156" i="2" s="1"/>
  <c r="L1155" i="2"/>
  <c r="L186" i="2"/>
  <c r="K187" i="2"/>
  <c r="L563" i="2"/>
  <c r="K564" i="2"/>
  <c r="K372" i="2"/>
  <c r="L371" i="2"/>
  <c r="K373" i="2" l="1"/>
  <c r="L372" i="2"/>
  <c r="K565" i="2"/>
  <c r="L564" i="2"/>
  <c r="K188" i="2"/>
  <c r="L187" i="2"/>
  <c r="K189" i="2" l="1"/>
  <c r="L188" i="2"/>
  <c r="K566" i="2"/>
  <c r="L565" i="2"/>
  <c r="K374" i="2"/>
  <c r="L373" i="2"/>
  <c r="L374" i="2" l="1"/>
  <c r="K375" i="2"/>
  <c r="K567" i="2"/>
  <c r="L566" i="2"/>
  <c r="L189" i="2"/>
  <c r="K190" i="2"/>
  <c r="L190" i="2" l="1"/>
  <c r="K191" i="2"/>
  <c r="K568" i="2"/>
  <c r="L567" i="2"/>
  <c r="L375" i="2"/>
  <c r="K376" i="2"/>
  <c r="K377" i="2" l="1"/>
  <c r="L376" i="2"/>
  <c r="K569" i="2"/>
  <c r="L568" i="2"/>
  <c r="K192" i="2"/>
  <c r="L191" i="2"/>
  <c r="L192" i="2" l="1"/>
  <c r="K193" i="2"/>
  <c r="K570" i="2"/>
  <c r="L569" i="2"/>
  <c r="L377" i="2"/>
  <c r="K378" i="2"/>
  <c r="K379" i="2" l="1"/>
  <c r="L378" i="2"/>
  <c r="K571" i="2"/>
  <c r="L570" i="2"/>
  <c r="L193" i="2"/>
  <c r="K194" i="2"/>
  <c r="K195" i="2" l="1"/>
  <c r="L194" i="2"/>
  <c r="K572" i="2"/>
  <c r="L571" i="2"/>
  <c r="K380" i="2"/>
  <c r="L379" i="2"/>
  <c r="K381" i="2" l="1"/>
  <c r="L380" i="2"/>
  <c r="K573" i="2"/>
  <c r="L572" i="2"/>
  <c r="K196" i="2"/>
  <c r="L196" i="2" s="1"/>
  <c r="L195" i="2"/>
  <c r="K574" i="2" l="1"/>
  <c r="L573" i="2"/>
  <c r="K382" i="2"/>
  <c r="L381" i="2"/>
  <c r="L382" i="2" l="1"/>
  <c r="K383" i="2"/>
  <c r="K575" i="2"/>
  <c r="L574" i="2"/>
  <c r="K576" i="2" l="1"/>
  <c r="L575" i="2"/>
  <c r="L383" i="2"/>
  <c r="K384" i="2"/>
  <c r="K385" i="2" l="1"/>
  <c r="L384" i="2"/>
  <c r="L576" i="2"/>
  <c r="K577" i="2"/>
  <c r="K578" i="2" l="1"/>
  <c r="L577" i="2"/>
  <c r="K386" i="2"/>
  <c r="L385" i="2"/>
  <c r="K387" i="2" l="1"/>
  <c r="L386" i="2"/>
  <c r="K579" i="2"/>
  <c r="L578" i="2"/>
  <c r="K580" i="2" l="1"/>
  <c r="L580" i="2" s="1"/>
  <c r="L579" i="2"/>
  <c r="K388" i="2"/>
  <c r="L388" i="2" s="1"/>
  <c r="L387" i="2"/>
  <c r="CX209" i="1"/>
  <c r="CZ237" i="1"/>
  <c r="DB180" i="1"/>
  <c r="DC221" i="1"/>
  <c r="DC183" i="1"/>
  <c r="CY229" i="1"/>
  <c r="DD207" i="1"/>
  <c r="CY218" i="1"/>
  <c r="DD170" i="1"/>
  <c r="CY214" i="1"/>
  <c r="DD171" i="1"/>
  <c r="DB243" i="1"/>
  <c r="CX175" i="1"/>
  <c r="CY250" i="1"/>
  <c r="CX201" i="1"/>
  <c r="DD159" i="1"/>
  <c r="DB170" i="1"/>
  <c r="CX165" i="1"/>
  <c r="CX180" i="1"/>
  <c r="DB216" i="1"/>
  <c r="DB196" i="1"/>
  <c r="CX160" i="1"/>
  <c r="CY190" i="1"/>
  <c r="CX171" i="1"/>
  <c r="CZ175" i="1"/>
  <c r="DB234" i="1"/>
  <c r="DC216" i="1"/>
  <c r="CZ224" i="1"/>
  <c r="CZ204" i="1"/>
  <c r="DC231" i="1"/>
  <c r="CY169" i="1"/>
  <c r="CY187" i="1"/>
  <c r="DB165" i="1"/>
  <c r="DD239" i="1"/>
  <c r="CZ164" i="1"/>
  <c r="DB223" i="1"/>
  <c r="DD241" i="1"/>
  <c r="DD193" i="1"/>
  <c r="CX174" i="1"/>
  <c r="DB248" i="1"/>
  <c r="CZ254" i="1"/>
  <c r="DD237" i="1"/>
  <c r="CY167" i="1"/>
  <c r="DC223" i="1"/>
  <c r="DD173" i="1"/>
  <c r="DC200" i="1"/>
  <c r="CX161" i="1"/>
  <c r="CX255" i="1"/>
  <c r="DD250" i="1"/>
  <c r="DC225" i="1"/>
  <c r="DC243" i="1"/>
  <c r="CX226" i="1"/>
  <c r="DD246" i="1"/>
  <c r="CY215" i="1"/>
  <c r="CX211" i="1"/>
  <c r="CZ221" i="1"/>
  <c r="CZ171" i="1"/>
  <c r="CY194" i="1"/>
  <c r="CY221" i="1"/>
  <c r="CZ190" i="1"/>
  <c r="DC159" i="1"/>
  <c r="CZ186" i="1"/>
  <c r="CY197" i="1"/>
  <c r="CY247" i="1"/>
  <c r="DD169" i="1"/>
  <c r="CY236" i="1"/>
  <c r="DB207" i="1"/>
  <c r="CY232" i="1"/>
  <c r="DD156" i="1"/>
  <c r="DB218" i="1"/>
  <c r="DC245" i="1"/>
  <c r="CY254" i="1"/>
  <c r="CY162" i="1"/>
  <c r="CY178" i="1"/>
  <c r="CY239" i="1"/>
  <c r="CX238" i="1"/>
  <c r="DC218" i="1"/>
  <c r="DD215" i="1"/>
  <c r="CX218" i="1"/>
  <c r="CZ183" i="1"/>
  <c r="CX227" i="1"/>
  <c r="DD233" i="1"/>
  <c r="DB168" i="1"/>
  <c r="DC179" i="1"/>
  <c r="DD253" i="1"/>
  <c r="DC156" i="1"/>
  <c r="DB222" i="1"/>
  <c r="CZ248" i="1"/>
  <c r="CX221" i="1"/>
  <c r="DD208" i="1"/>
  <c r="DB233" i="1"/>
  <c r="DB235" i="1"/>
  <c r="CZ158" i="1"/>
  <c r="CX253" i="1"/>
  <c r="CX208" i="1"/>
  <c r="CY201" i="1"/>
  <c r="CX249" i="1"/>
  <c r="DC164" i="1"/>
  <c r="CZ193" i="1"/>
  <c r="DD197" i="1"/>
  <c r="CY207" i="1"/>
  <c r="DD220" i="1"/>
  <c r="CX203" i="1"/>
  <c r="DD192" i="1"/>
  <c r="DC193" i="1"/>
  <c r="CY182" i="1"/>
  <c r="DC241" i="1"/>
  <c r="CZ256" i="1"/>
  <c r="CX170" i="1"/>
  <c r="DC211" i="1"/>
  <c r="CY168" i="1"/>
  <c r="DC208" i="1"/>
  <c r="CX254" i="1"/>
  <c r="DC168" i="1"/>
  <c r="DB191" i="1"/>
  <c r="CY184" i="1"/>
  <c r="CZ247" i="1"/>
  <c r="CX181" i="1"/>
  <c r="DC195" i="1"/>
  <c r="CZ222" i="1"/>
  <c r="DD217" i="1"/>
  <c r="CY158" i="1"/>
  <c r="CX247" i="1"/>
  <c r="CZ223" i="1"/>
  <c r="DB157" i="1"/>
  <c r="CY191" i="1"/>
  <c r="CX196" i="1"/>
  <c r="DD249" i="1"/>
  <c r="CZ187" i="1"/>
  <c r="CZ205" i="1"/>
  <c r="DB253" i="1"/>
  <c r="DD161" i="1"/>
  <c r="CZ233" i="1"/>
  <c r="DD162" i="1"/>
  <c r="DC232" i="1"/>
  <c r="CX188" i="1"/>
  <c r="DC214" i="1"/>
  <c r="DB172" i="1"/>
  <c r="CY164" i="1"/>
  <c r="CY173" i="1"/>
  <c r="CZ170" i="1"/>
  <c r="DB231" i="1"/>
  <c r="DD247" i="1"/>
  <c r="DC202" i="1"/>
  <c r="CZ199" i="1"/>
  <c r="DB183" i="1"/>
  <c r="DC239" i="1"/>
  <c r="DD227" i="1"/>
  <c r="DC161" i="1"/>
  <c r="DB179" i="1"/>
  <c r="DB220" i="1"/>
  <c r="DD242" i="1"/>
  <c r="DB202" i="1"/>
  <c r="DD205" i="1"/>
  <c r="DC247" i="1"/>
  <c r="CX220" i="1"/>
  <c r="DD221" i="1"/>
  <c r="CX207" i="1"/>
  <c r="CY165" i="1"/>
  <c r="DB219" i="1"/>
  <c r="DD245" i="1"/>
  <c r="CY216" i="1"/>
  <c r="CZ245" i="1"/>
  <c r="CZ235" i="1"/>
  <c r="DD190" i="1"/>
  <c r="DB156" i="1"/>
  <c r="CX252" i="1"/>
  <c r="DB232" i="1"/>
  <c r="DD235" i="1"/>
  <c r="DC180" i="1"/>
  <c r="CY179" i="1"/>
  <c r="DD222" i="1"/>
  <c r="DC217" i="1"/>
  <c r="CY241" i="1"/>
  <c r="CX248" i="1"/>
  <c r="DC238" i="1"/>
  <c r="DB195" i="1"/>
  <c r="CY183" i="1"/>
  <c r="CX167" i="1"/>
  <c r="CY205" i="1"/>
  <c r="DB241" i="1"/>
  <c r="CZ174" i="1"/>
  <c r="DC205" i="1"/>
  <c r="CY246" i="1"/>
  <c r="DC171" i="1"/>
  <c r="CZ226" i="1"/>
  <c r="CY240" i="1"/>
  <c r="CY255" i="1"/>
  <c r="DB193" i="1"/>
  <c r="CZ189" i="1"/>
  <c r="DC240" i="1"/>
  <c r="DD236" i="1"/>
  <c r="DB229" i="1"/>
  <c r="DD254" i="1"/>
  <c r="CZ217" i="1"/>
  <c r="CZ246" i="1"/>
  <c r="CY172" i="1"/>
  <c r="CX159" i="1"/>
  <c r="CY210" i="1"/>
  <c r="DB206" i="1"/>
  <c r="CX197" i="1"/>
  <c r="DC229" i="1"/>
  <c r="CX223" i="1"/>
  <c r="CX219" i="1"/>
  <c r="DB209" i="1"/>
  <c r="CX229" i="1"/>
  <c r="DD191" i="1"/>
  <c r="DD228" i="1"/>
  <c r="CZ229" i="1"/>
  <c r="CY230" i="1"/>
  <c r="DC254" i="1"/>
  <c r="CX251" i="1"/>
  <c r="CX194" i="1"/>
  <c r="CZ185" i="1"/>
  <c r="DD172" i="1"/>
  <c r="DD231" i="1"/>
  <c r="DB208" i="1"/>
  <c r="CX169" i="1"/>
  <c r="DD219" i="1"/>
  <c r="CY227" i="1"/>
  <c r="CX185" i="1"/>
  <c r="CZ182" i="1"/>
  <c r="DC210" i="1"/>
  <c r="DB240" i="1"/>
  <c r="CX176" i="1"/>
  <c r="DB225" i="1"/>
  <c r="CY171" i="1"/>
  <c r="DC184" i="1"/>
  <c r="DC157" i="1"/>
  <c r="DC181" i="1"/>
  <c r="CY228" i="1"/>
  <c r="DC206" i="1"/>
  <c r="CY244" i="1"/>
  <c r="DC224" i="1"/>
  <c r="CY199" i="1"/>
  <c r="CX156" i="1"/>
  <c r="CY243" i="1"/>
  <c r="CX245" i="1"/>
  <c r="DC227" i="1"/>
  <c r="DD189" i="1"/>
  <c r="CX173" i="1"/>
  <c r="DC189" i="1"/>
  <c r="DC253" i="1"/>
  <c r="CX242" i="1"/>
  <c r="DC256" i="1"/>
  <c r="CX172" i="1"/>
  <c r="CY185" i="1"/>
  <c r="CX215" i="1"/>
  <c r="DD204" i="1"/>
  <c r="DB158" i="1"/>
  <c r="CZ244" i="1"/>
  <c r="CX192" i="1"/>
  <c r="CX199" i="1"/>
  <c r="CZ172" i="1"/>
  <c r="CY157" i="1"/>
  <c r="DC222" i="1"/>
  <c r="CX195" i="1"/>
  <c r="CZ178" i="1"/>
  <c r="DD244" i="1"/>
  <c r="DD238" i="1"/>
  <c r="CX236" i="1"/>
  <c r="DC213" i="1"/>
  <c r="CZ210" i="1"/>
  <c r="DB199" i="1"/>
  <c r="CX183" i="1"/>
  <c r="CY235" i="1"/>
  <c r="CY170" i="1"/>
  <c r="DC191" i="1"/>
  <c r="CZ255" i="1"/>
  <c r="DC172" i="1"/>
  <c r="CY253" i="1"/>
  <c r="CY223" i="1"/>
  <c r="DC169" i="1"/>
  <c r="CZ202" i="1"/>
  <c r="CY180" i="1"/>
  <c r="CX235" i="1"/>
  <c r="CX210" i="1"/>
  <c r="CZ188" i="1"/>
  <c r="DC220" i="1"/>
  <c r="CX190" i="1"/>
  <c r="CX244" i="1"/>
  <c r="DD182" i="1"/>
  <c r="CZ220" i="1"/>
  <c r="DD168" i="1"/>
  <c r="CZ160" i="1"/>
  <c r="CY237" i="1"/>
  <c r="DC234" i="1"/>
  <c r="CY242" i="1"/>
  <c r="DB224" i="1"/>
  <c r="CX232" i="1"/>
  <c r="CX206" i="1"/>
  <c r="DC160" i="1"/>
  <c r="DB249" i="1"/>
  <c r="CZ219" i="1"/>
  <c r="DB186" i="1"/>
  <c r="DB227" i="1"/>
  <c r="DC190" i="1"/>
  <c r="K159" i="1"/>
  <c r="DB236" i="1"/>
  <c r="DC248" i="1"/>
  <c r="CZ168" i="1"/>
  <c r="DD201" i="1"/>
  <c r="DC251" i="1"/>
  <c r="DC199" i="1"/>
  <c r="CX179" i="1"/>
  <c r="DC173" i="1"/>
  <c r="DC197" i="1"/>
  <c r="CX187" i="1"/>
  <c r="DB239" i="1"/>
  <c r="CX163" i="1"/>
  <c r="DB182" i="1"/>
  <c r="DB162" i="1"/>
  <c r="CX231" i="1"/>
  <c r="CZ207" i="1"/>
  <c r="CZ201" i="1"/>
  <c r="DB251" i="1"/>
  <c r="CX239" i="1"/>
  <c r="CY209" i="1"/>
  <c r="DD224" i="1"/>
  <c r="DB185" i="1"/>
  <c r="DB164" i="1"/>
  <c r="CZ181" i="1"/>
  <c r="DD181" i="1"/>
  <c r="CY213" i="1"/>
  <c r="DC158" i="1"/>
  <c r="DB161" i="1"/>
  <c r="CY208" i="1"/>
  <c r="CX166" i="1"/>
  <c r="CZ236" i="1"/>
  <c r="DB221" i="1"/>
  <c r="DB244" i="1"/>
  <c r="CY219" i="1"/>
  <c r="CZ192" i="1"/>
  <c r="CY256" i="1"/>
  <c r="DD199" i="1"/>
  <c r="CZ162" i="1"/>
  <c r="CZ239" i="1"/>
  <c r="DC230" i="1"/>
  <c r="DD177" i="1"/>
  <c r="CZ163" i="1"/>
  <c r="CY252" i="1"/>
  <c r="DD198" i="1"/>
  <c r="CY251" i="1"/>
  <c r="CY156" i="1"/>
  <c r="CY195" i="1"/>
  <c r="CZ225" i="1"/>
  <c r="CY212" i="1"/>
  <c r="CZ177" i="1"/>
  <c r="CZ166" i="1"/>
  <c r="CY211" i="1"/>
  <c r="DD240" i="1"/>
  <c r="DB238" i="1"/>
  <c r="DB171" i="1"/>
  <c r="CX225" i="1"/>
  <c r="CY200" i="1"/>
  <c r="DD194" i="1"/>
  <c r="DD167" i="1"/>
  <c r="CX157" i="1"/>
  <c r="CX164" i="1"/>
  <c r="DB205" i="1"/>
  <c r="DC228" i="1"/>
  <c r="DD187" i="1"/>
  <c r="CY217" i="1"/>
  <c r="CY159" i="1"/>
  <c r="CZ161" i="1"/>
  <c r="CX189" i="1"/>
  <c r="CX241" i="1"/>
  <c r="DB198" i="1"/>
  <c r="CZ211" i="1"/>
  <c r="DB211" i="1"/>
  <c r="DC186" i="1"/>
  <c r="DB174" i="1"/>
  <c r="CZ159" i="1"/>
  <c r="CY198" i="1"/>
  <c r="DC194" i="1"/>
  <c r="CX233" i="1"/>
  <c r="CZ230" i="1"/>
  <c r="CX198" i="1"/>
  <c r="DB210" i="1"/>
  <c r="CZ203" i="1"/>
  <c r="CZ243" i="1"/>
  <c r="CY238" i="1"/>
  <c r="CZ176" i="1"/>
  <c r="DC178" i="1"/>
  <c r="CX240" i="1"/>
  <c r="CY249" i="1"/>
  <c r="DC196" i="1"/>
  <c r="CZ194" i="1"/>
  <c r="DC182" i="1"/>
  <c r="DC209" i="1"/>
  <c r="CZ241" i="1"/>
  <c r="CZ232" i="1"/>
  <c r="DC246" i="1"/>
  <c r="DB237" i="1"/>
  <c r="CZ250" i="1"/>
  <c r="DB159" i="1"/>
  <c r="CX224" i="1"/>
  <c r="DD212" i="1"/>
  <c r="DD166" i="1"/>
  <c r="CX213" i="1"/>
  <c r="CY175" i="1"/>
  <c r="DB213" i="1"/>
  <c r="CZ208" i="1"/>
  <c r="DC252" i="1"/>
  <c r="CX158" i="1"/>
  <c r="CZ198" i="1"/>
  <c r="DC207" i="1"/>
  <c r="DB190" i="1"/>
  <c r="DC212" i="1"/>
  <c r="DD206" i="1"/>
  <c r="DB169" i="1"/>
  <c r="DB175" i="1"/>
  <c r="DC176" i="1"/>
  <c r="DD226" i="1"/>
  <c r="CY231" i="1"/>
  <c r="DD216" i="1"/>
  <c r="DC185" i="1"/>
  <c r="DB250" i="1"/>
  <c r="CX217" i="1"/>
  <c r="DB176" i="1"/>
  <c r="DD186" i="1"/>
  <c r="DC255" i="1"/>
  <c r="DB201" i="1"/>
  <c r="CZ231" i="1"/>
  <c r="CY202" i="1"/>
  <c r="DD210" i="1"/>
  <c r="DD225" i="1"/>
  <c r="CX246" i="1"/>
  <c r="CZ196" i="1"/>
  <c r="CY163" i="1"/>
  <c r="CZ252" i="1"/>
  <c r="DC250" i="1"/>
  <c r="CY225" i="1"/>
  <c r="CX177" i="1"/>
  <c r="DD230" i="1"/>
  <c r="CY226" i="1"/>
  <c r="CY193" i="1"/>
  <c r="DB245" i="1"/>
  <c r="DB166" i="1"/>
  <c r="CX202" i="1"/>
  <c r="DD179" i="1"/>
  <c r="DD202" i="1"/>
  <c r="CY196" i="1"/>
  <c r="CY189" i="1"/>
  <c r="CZ227" i="1"/>
  <c r="CX168" i="1"/>
  <c r="DB215" i="1"/>
  <c r="DC233" i="1"/>
  <c r="CY166" i="1"/>
  <c r="CY234" i="1"/>
  <c r="DB178" i="1"/>
  <c r="DD184" i="1"/>
  <c r="CX184" i="1"/>
  <c r="DB226" i="1"/>
  <c r="DD229" i="1"/>
  <c r="DC167" i="1"/>
  <c r="DB204" i="1"/>
  <c r="CY192" i="1"/>
  <c r="CZ209" i="1"/>
  <c r="CX193" i="1"/>
  <c r="DD209" i="1"/>
  <c r="CX237" i="1"/>
  <c r="DD178" i="1"/>
  <c r="DD163" i="1"/>
  <c r="DB187" i="1"/>
  <c r="DB228" i="1"/>
  <c r="CX228" i="1"/>
  <c r="DD255" i="1"/>
  <c r="DC201" i="1"/>
  <c r="DC175" i="1"/>
  <c r="DD248" i="1"/>
  <c r="DB246" i="1"/>
  <c r="CZ191" i="1"/>
  <c r="CZ242" i="1"/>
  <c r="CZ167" i="1"/>
  <c r="CX205" i="1"/>
  <c r="DB242" i="1"/>
  <c r="CZ234" i="1"/>
  <c r="CX178" i="1"/>
  <c r="DB255" i="1"/>
  <c r="DD165" i="1"/>
  <c r="DC237" i="1"/>
  <c r="DC215" i="1"/>
  <c r="DB247" i="1"/>
  <c r="CY174" i="1"/>
  <c r="CY220" i="1"/>
  <c r="DD214" i="1"/>
  <c r="DB192" i="1"/>
  <c r="DD200" i="1"/>
  <c r="DC174" i="1"/>
  <c r="DB163" i="1"/>
  <c r="DB197" i="1"/>
  <c r="DC192" i="1"/>
  <c r="CX200" i="1"/>
  <c r="CZ206" i="1"/>
  <c r="DD180" i="1"/>
  <c r="DC170" i="1"/>
  <c r="DC235" i="1"/>
  <c r="CZ213" i="1"/>
  <c r="CZ240" i="1"/>
  <c r="DC188" i="1"/>
  <c r="DB254" i="1"/>
  <c r="DC244" i="1"/>
  <c r="CY177" i="1"/>
  <c r="CZ218" i="1"/>
  <c r="CZ214" i="1"/>
  <c r="DD252" i="1"/>
  <c r="DD195" i="1"/>
  <c r="DC242" i="1"/>
  <c r="DB177" i="1"/>
  <c r="DB160" i="1"/>
  <c r="DD256" i="1"/>
  <c r="CX230" i="1"/>
  <c r="CY206" i="1"/>
  <c r="DB188" i="1"/>
  <c r="CZ249" i="1"/>
  <c r="DB252" i="1"/>
  <c r="DD218" i="1"/>
  <c r="DD157" i="1"/>
  <c r="CZ200" i="1"/>
  <c r="CZ228" i="1"/>
  <c r="CZ215" i="1"/>
  <c r="DC249" i="1"/>
  <c r="DC226" i="1"/>
  <c r="DD183" i="1"/>
  <c r="CZ195" i="1"/>
  <c r="BK112" i="1"/>
  <c r="BJ112" i="1"/>
  <c r="CY203" i="1"/>
  <c r="DD160" i="1"/>
  <c r="CZ238" i="1"/>
  <c r="DB194" i="1"/>
  <c r="DB184" i="1"/>
  <c r="DB214" i="1"/>
  <c r="CY188" i="1"/>
  <c r="DB173" i="1"/>
  <c r="CX214" i="1"/>
  <c r="CX204" i="1"/>
  <c r="CX250" i="1"/>
  <c r="DD213" i="1"/>
  <c r="CY222" i="1"/>
  <c r="DD223" i="1"/>
  <c r="DB200" i="1"/>
  <c r="DC165" i="1"/>
  <c r="CZ169" i="1"/>
  <c r="DD243" i="1"/>
  <c r="CZ157" i="1"/>
  <c r="DD232" i="1"/>
  <c r="DB230" i="1"/>
  <c r="DC204" i="1"/>
  <c r="DC219" i="1"/>
  <c r="DC198" i="1"/>
  <c r="CX212" i="1"/>
  <c r="DD175" i="1"/>
  <c r="DD196" i="1"/>
  <c r="CZ216" i="1"/>
  <c r="DB181" i="1"/>
  <c r="DD203" i="1"/>
  <c r="DD251" i="1"/>
  <c r="DD188" i="1"/>
  <c r="CX216" i="1"/>
  <c r="CY248" i="1"/>
  <c r="CZ184" i="1"/>
  <c r="DC187" i="1"/>
  <c r="DC236" i="1"/>
  <c r="CX222" i="1"/>
  <c r="DD176" i="1"/>
  <c r="DD158" i="1"/>
  <c r="CY181" i="1"/>
  <c r="CY224" i="1"/>
  <c r="CX256" i="1"/>
  <c r="CZ173" i="1"/>
  <c r="DC177" i="1"/>
  <c r="CY161" i="1"/>
  <c r="CY186" i="1"/>
  <c r="DC203" i="1"/>
  <c r="CZ197" i="1"/>
  <c r="DB203" i="1"/>
  <c r="DC166" i="1"/>
  <c r="DB167" i="1"/>
  <c r="CZ253" i="1"/>
  <c r="CY176" i="1"/>
  <c r="DB189" i="1"/>
  <c r="CZ212" i="1"/>
  <c r="DB212" i="1"/>
  <c r="DB256" i="1"/>
  <c r="CY160" i="1"/>
  <c r="DD174" i="1"/>
  <c r="CZ179" i="1"/>
  <c r="DB217" i="1"/>
  <c r="CX182" i="1"/>
  <c r="DD164" i="1"/>
  <c r="CX186" i="1"/>
  <c r="CY233" i="1"/>
  <c r="DC162" i="1"/>
  <c r="DD211" i="1"/>
  <c r="CZ180" i="1"/>
  <c r="CX234" i="1"/>
  <c r="CZ251" i="1"/>
  <c r="DD185" i="1"/>
  <c r="CX191" i="1"/>
  <c r="CX162" i="1"/>
  <c r="CZ165" i="1"/>
  <c r="CY245" i="1"/>
  <c r="CZ156" i="1"/>
  <c r="DC163" i="1"/>
  <c r="DD234" i="1"/>
  <c r="CY204" i="1"/>
  <c r="CX24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Rook, Jacob</author>
    <author>Timothy Hegarty</author>
    <author>Hasan, Md Munir</author>
  </authors>
  <commentList>
    <comment ref="F6" authorId="0" shapeId="0" xr:uid="{A08F4E13-5D83-45D5-872C-39198B011208}">
      <text>
        <r>
          <rPr>
            <b/>
            <u/>
            <sz val="9"/>
            <color indexed="81"/>
            <rFont val="Tahoma"/>
            <family val="2"/>
          </rPr>
          <t>Input Voltage - Min:</t>
        </r>
        <r>
          <rPr>
            <b/>
            <sz val="9"/>
            <color indexed="81"/>
            <rFont val="Tahoma"/>
            <family val="2"/>
          </rPr>
          <t xml:space="preserve">
</t>
        </r>
        <r>
          <rPr>
            <sz val="9"/>
            <color indexed="81"/>
            <rFont val="Tahoma"/>
            <family val="2"/>
          </rPr>
          <t>Minimum input voltage.</t>
        </r>
        <r>
          <rPr>
            <b/>
            <sz val="9"/>
            <color indexed="81"/>
            <rFont val="Tahoma"/>
            <family val="2"/>
          </rPr>
          <t xml:space="preserve">
Text in  cell is flag red if:
</t>
        </r>
        <r>
          <rPr>
            <sz val="9"/>
            <color indexed="81"/>
            <rFont val="Tahoma"/>
            <family val="2"/>
          </rPr>
          <t>The minimum input voltage is not in the 3.5 V to 40 V input range.</t>
        </r>
      </text>
    </comment>
    <comment ref="F7" authorId="0" shapeId="0" xr:uid="{AECA0331-2390-472D-BEEB-8C4A92C2C803}">
      <text>
        <r>
          <rPr>
            <b/>
            <sz val="9"/>
            <color indexed="81"/>
            <rFont val="Tahoma"/>
            <family val="2"/>
          </rPr>
          <t xml:space="preserve">Input Voltage - Max:
</t>
        </r>
        <r>
          <rPr>
            <sz val="9"/>
            <color indexed="81"/>
            <rFont val="Tahoma"/>
            <family val="2"/>
          </rPr>
          <t>Nominal input voltage.</t>
        </r>
        <r>
          <rPr>
            <b/>
            <sz val="9"/>
            <color indexed="81"/>
            <rFont val="Tahoma"/>
            <family val="2"/>
          </rPr>
          <t xml:space="preserve">
Text in  cell is flag red if:
</t>
        </r>
        <r>
          <rPr>
            <sz val="9"/>
            <color indexed="81"/>
            <rFont val="Tahoma"/>
            <family val="2"/>
          </rPr>
          <t>The nominal input voltage is not in the 3.5 V to 40 V input range or it is not in between the entered min and max.</t>
        </r>
      </text>
    </comment>
    <comment ref="F8" authorId="0" shapeId="0" xr:uid="{560E3F37-9B18-498E-8C39-4A20CB29D7A5}">
      <text>
        <r>
          <rPr>
            <b/>
            <u/>
            <sz val="9"/>
            <color indexed="81"/>
            <rFont val="Tahoma"/>
            <family val="2"/>
          </rPr>
          <t xml:space="preserve">Input Voltage - Max:
</t>
        </r>
        <r>
          <rPr>
            <sz val="9"/>
            <color indexed="81"/>
            <rFont val="Tahoma"/>
            <family val="2"/>
          </rPr>
          <t xml:space="preserve">Maximum input voltage.
</t>
        </r>
        <r>
          <rPr>
            <b/>
            <sz val="9"/>
            <color indexed="81"/>
            <rFont val="Tahoma"/>
            <family val="2"/>
          </rPr>
          <t xml:space="preserve">
Text in  cell is flag red if:
</t>
        </r>
        <r>
          <rPr>
            <sz val="9"/>
            <color indexed="81"/>
            <rFont val="Tahoma"/>
            <family val="2"/>
          </rPr>
          <t>The maximum input voltage is not in the 3.5 V to 40 V input range.</t>
        </r>
      </text>
    </comment>
    <comment ref="F9" authorId="0" shapeId="0" xr:uid="{552B32B1-661F-4441-9065-58CCB2859DFE}">
      <text>
        <r>
          <rPr>
            <b/>
            <u/>
            <sz val="9"/>
            <color indexed="81"/>
            <rFont val="Tahoma"/>
            <family val="2"/>
          </rPr>
          <t xml:space="preserve">Battery Voltage:
</t>
        </r>
        <r>
          <rPr>
            <sz val="9"/>
            <color indexed="81"/>
            <rFont val="Tahoma"/>
            <family val="2"/>
          </rPr>
          <t xml:space="preserve">Battery charge voltage.
</t>
        </r>
        <r>
          <rPr>
            <b/>
            <sz val="9"/>
            <color indexed="81"/>
            <rFont val="Tahoma"/>
            <family val="2"/>
          </rPr>
          <t xml:space="preserve">Text in the cell is flagged red if:
</t>
        </r>
        <r>
          <rPr>
            <sz val="9"/>
            <color indexed="81"/>
            <rFont val="Tahoma"/>
            <family val="2"/>
          </rPr>
          <t xml:space="preserve">The voltage is outside the battery regulation range of 5 V to 23 V. </t>
        </r>
      </text>
    </comment>
    <comment ref="F10" authorId="0" shapeId="0" xr:uid="{83830970-19B9-4191-B782-DACC6945DB26}">
      <text>
        <r>
          <rPr>
            <b/>
            <u/>
            <sz val="9"/>
            <color indexed="81"/>
            <rFont val="Tahoma"/>
            <family val="2"/>
          </rPr>
          <t xml:space="preserve">Full Load Output Current:
</t>
        </r>
        <r>
          <rPr>
            <sz val="9"/>
            <color indexed="81"/>
            <rFont val="Tahoma"/>
            <family val="2"/>
          </rPr>
          <t xml:space="preserve">The Full Load Output current is the sum of the maximum charge current and maximum system load current. </t>
        </r>
      </text>
    </comment>
    <comment ref="F13" authorId="0" shapeId="0" xr:uid="{2239DE73-466B-42C5-BBD2-402D8A13849E}">
      <text>
        <r>
          <rPr>
            <b/>
            <u/>
            <sz val="9"/>
            <color indexed="81"/>
            <rFont val="Tahoma"/>
            <family val="2"/>
          </rPr>
          <t>Desired Switching Frequency:</t>
        </r>
        <r>
          <rPr>
            <sz val="9"/>
            <color indexed="81"/>
            <rFont val="Tahoma"/>
            <family val="2"/>
          </rPr>
          <t xml:space="preserve">
The device switching frequency can be programmed between 200 kHz to 600 kHz using a resistor from the FSW_SYNC pin to PGND. Enter Desired Switching Frequency to get the recommended Switching Frequency Resistor needed for that switching frequency.
</t>
        </r>
        <r>
          <rPr>
            <b/>
            <sz val="9"/>
            <color indexed="81"/>
            <rFont val="Tahoma"/>
            <family val="2"/>
          </rPr>
          <t>Note:</t>
        </r>
        <r>
          <rPr>
            <sz val="9"/>
            <color indexed="81"/>
            <rFont val="Tahoma"/>
            <family val="2"/>
          </rPr>
          <t xml:space="preserve"> Calculations that require the Switching Frequency will use the </t>
        </r>
        <r>
          <rPr>
            <u/>
            <sz val="9"/>
            <color indexed="81"/>
            <rFont val="Tahoma"/>
            <family val="2"/>
          </rPr>
          <t>Recognized Switching Frequency</t>
        </r>
        <r>
          <rPr>
            <sz val="9"/>
            <color indexed="81"/>
            <rFont val="Tahoma"/>
            <family val="2"/>
          </rPr>
          <t xml:space="preserve"> </t>
        </r>
        <r>
          <rPr>
            <b/>
            <sz val="9"/>
            <color indexed="81"/>
            <rFont val="Tahoma"/>
            <family val="2"/>
          </rPr>
          <t>not</t>
        </r>
        <r>
          <rPr>
            <sz val="9"/>
            <color indexed="81"/>
            <rFont val="Tahoma"/>
            <family val="2"/>
          </rPr>
          <t xml:space="preserve"> the </t>
        </r>
        <r>
          <rPr>
            <u/>
            <sz val="9"/>
            <color indexed="81"/>
            <rFont val="Tahoma"/>
            <family val="2"/>
          </rPr>
          <t>Desired Switching Frequency</t>
        </r>
        <r>
          <rPr>
            <sz val="9"/>
            <color indexed="81"/>
            <rFont val="Tahoma"/>
            <family val="2"/>
          </rPr>
          <t xml:space="preserve">
</t>
        </r>
        <r>
          <rPr>
            <b/>
            <sz val="9"/>
            <color indexed="81"/>
            <rFont val="Tahoma"/>
            <family val="2"/>
          </rPr>
          <t xml:space="preserve">Text in cell is flagged red if:
</t>
        </r>
        <r>
          <rPr>
            <sz val="9"/>
            <color indexed="81"/>
            <rFont val="Tahoma"/>
            <family val="2"/>
          </rPr>
          <t>The Desired Switching Frequency is outside the operating switching frequency range of 200 kHz to 600 kHz.</t>
        </r>
      </text>
    </comment>
    <comment ref="F14" authorId="0" shapeId="0" xr:uid="{DBE3A63F-45EF-4F1E-BD2B-5D70F397330E}">
      <text>
        <r>
          <rPr>
            <b/>
            <u/>
            <sz val="9"/>
            <color indexed="81"/>
            <rFont val="Tahoma"/>
            <family val="2"/>
          </rPr>
          <t>Recommended Switching Frequency Resistor:</t>
        </r>
        <r>
          <rPr>
            <b/>
            <sz val="9"/>
            <color indexed="81"/>
            <rFont val="Tahoma"/>
            <family val="2"/>
          </rPr>
          <t xml:space="preserve">
</t>
        </r>
        <r>
          <rPr>
            <sz val="9"/>
            <color indexed="81"/>
            <rFont val="Tahoma"/>
            <family val="2"/>
          </rPr>
          <t>The device switching frequency can be programmed between 200 kHz to 600 kHz using a resistor from the FSW_SYNC pin to PGND. The R</t>
        </r>
        <r>
          <rPr>
            <vertAlign val="subscript"/>
            <sz val="9"/>
            <color indexed="81"/>
            <rFont val="Tahoma"/>
            <family val="2"/>
          </rPr>
          <t>FSW</t>
        </r>
        <r>
          <rPr>
            <sz val="9"/>
            <color indexed="81"/>
            <rFont val="Tahoma"/>
            <family val="2"/>
          </rPr>
          <t xml:space="preserve"> resistor is related to the nominal switching frequency (F</t>
        </r>
        <r>
          <rPr>
            <vertAlign val="subscript"/>
            <sz val="9"/>
            <color indexed="81"/>
            <rFont val="Tahoma"/>
            <family val="2"/>
          </rPr>
          <t>SW</t>
        </r>
        <r>
          <rPr>
            <sz val="9"/>
            <color indexed="81"/>
            <rFont val="Tahoma"/>
            <family val="2"/>
          </rPr>
          <t xml:space="preserve">) by the equation:
</t>
        </r>
        <r>
          <rPr>
            <b/>
            <sz val="9"/>
            <color indexed="81"/>
            <rFont val="Tahoma"/>
            <family val="2"/>
          </rPr>
          <t>R</t>
        </r>
        <r>
          <rPr>
            <b/>
            <vertAlign val="subscript"/>
            <sz val="9"/>
            <color indexed="81"/>
            <rFont val="Tahoma"/>
            <family val="2"/>
          </rPr>
          <t xml:space="preserve">FSW </t>
        </r>
        <r>
          <rPr>
            <b/>
            <sz val="9"/>
            <color indexed="81"/>
            <rFont val="Tahoma"/>
            <family val="2"/>
          </rPr>
          <t>= 1/(10*(F</t>
        </r>
        <r>
          <rPr>
            <b/>
            <vertAlign val="subscript"/>
            <sz val="9"/>
            <color indexed="81"/>
            <rFont val="Tahoma"/>
            <family val="2"/>
          </rPr>
          <t>SW</t>
        </r>
        <r>
          <rPr>
            <b/>
            <sz val="9"/>
            <color indexed="81"/>
            <rFont val="Tahoma"/>
            <family val="2"/>
          </rPr>
          <t>*5*10^-12 - 500*10^-9) )</t>
        </r>
      </text>
    </comment>
    <comment ref="F15" authorId="0" shapeId="0" xr:uid="{6B0E1F8B-C145-4209-9F55-E20DACAE3C55}">
      <text>
        <r>
          <rPr>
            <b/>
            <u/>
            <sz val="9"/>
            <color indexed="81"/>
            <rFont val="Tahoma"/>
            <family val="2"/>
          </rPr>
          <t>Selected Switching Frequency Resistor:</t>
        </r>
        <r>
          <rPr>
            <b/>
            <sz val="9"/>
            <color indexed="81"/>
            <rFont val="Tahoma"/>
            <family val="2"/>
          </rPr>
          <t xml:space="preserve">
</t>
        </r>
        <r>
          <rPr>
            <sz val="9"/>
            <color indexed="81"/>
            <rFont val="Tahoma"/>
            <family val="2"/>
          </rPr>
          <t xml:space="preserve">Resistor placed between FSW_SYNC to PGND pin. 
</t>
        </r>
        <r>
          <rPr>
            <b/>
            <sz val="9"/>
            <color indexed="81"/>
            <rFont val="Tahoma"/>
            <family val="2"/>
          </rPr>
          <t xml:space="preserve">Text in cell is flagged red if:
</t>
        </r>
        <r>
          <rPr>
            <sz val="9"/>
            <color indexed="81"/>
            <rFont val="Tahoma"/>
            <family val="2"/>
          </rPr>
          <t>The entered resistance is not in between 40 kΩ to 200 kΩ.</t>
        </r>
      </text>
    </comment>
    <comment ref="F16" authorId="0" shapeId="0" xr:uid="{B1686199-44C5-464E-94D7-68CFED0DDF97}">
      <text>
        <r>
          <rPr>
            <b/>
            <u/>
            <sz val="9"/>
            <color indexed="81"/>
            <rFont val="Tahoma"/>
            <family val="2"/>
          </rPr>
          <t xml:space="preserve">Recognized Switching Frequency:
</t>
        </r>
        <r>
          <rPr>
            <sz val="9"/>
            <color indexed="81"/>
            <rFont val="Tahoma"/>
            <family val="2"/>
          </rPr>
          <t xml:space="preserve">Recognized Switching Frequency based off the Selected Switching Frequency Resistor.
</t>
        </r>
        <r>
          <rPr>
            <b/>
            <sz val="9"/>
            <color indexed="81"/>
            <rFont val="Tahoma"/>
            <family val="2"/>
          </rPr>
          <t>Note:</t>
        </r>
        <r>
          <rPr>
            <sz val="9"/>
            <color indexed="81"/>
            <rFont val="Tahoma"/>
            <family val="2"/>
          </rPr>
          <t xml:space="preserve"> The Recognized Switching Frequency is used for all of the calculations that require the Switching Frequency.
</t>
        </r>
        <r>
          <rPr>
            <b/>
            <sz val="9"/>
            <color indexed="81"/>
            <rFont val="Tahoma"/>
            <family val="2"/>
          </rPr>
          <t>Text in cell is flagged red if:</t>
        </r>
        <r>
          <rPr>
            <sz val="9"/>
            <color indexed="81"/>
            <rFont val="Tahoma"/>
            <family val="2"/>
          </rPr>
          <t xml:space="preserve">
The Recognized Switching Frequency does not match the Desired Switching Frequency.</t>
        </r>
      </text>
    </comment>
    <comment ref="F17" authorId="0" shapeId="0" xr:uid="{7140F9B9-C271-46EA-B60F-A32D91AD8BB8}">
      <text>
        <r>
          <rPr>
            <b/>
            <u/>
            <sz val="9"/>
            <color indexed="81"/>
            <rFont val="Tahoma"/>
            <family val="2"/>
          </rPr>
          <t>Duty Cycle Limitation:</t>
        </r>
        <r>
          <rPr>
            <b/>
            <sz val="9"/>
            <color indexed="81"/>
            <rFont val="Tahoma"/>
            <family val="2"/>
          </rPr>
          <t xml:space="preserve">
</t>
        </r>
        <r>
          <rPr>
            <sz val="9"/>
            <color indexed="81"/>
            <rFont val="Tahoma"/>
            <family val="2"/>
          </rPr>
          <t>During boost mode operation, the HS FET is forced to turn on for 225ns in each switching cycle to ensure inductor energy is delivered to the output, effectively limiting the maximum boosting ratio. 
For, example, when the device is configured to switch at 500 kHz, the switching period is 2us, yielding a duty cycle limit of (1-225ns/2us) = 88.75%. 
Given a 5V input, this translates to a maximum 44V output assuming 100% efficiency. The true output will be lower than this ideal limit. At lower switching frequencies, the maximum duty cycle increases, making the limitation less significant.</t>
        </r>
        <r>
          <rPr>
            <sz val="9"/>
            <color indexed="81"/>
            <rFont val="Tahoma"/>
            <family val="2"/>
          </rPr>
          <t xml:space="preserve">
</t>
        </r>
      </text>
    </comment>
    <comment ref="F18" authorId="0" shapeId="0" xr:uid="{53AF9208-79B4-4A55-A643-619646137FE0}">
      <text>
        <r>
          <rPr>
            <b/>
            <u/>
            <sz val="9"/>
            <color indexed="81"/>
            <rFont val="Tahoma"/>
            <family val="2"/>
          </rPr>
          <t>Boost Output Limitation at V</t>
        </r>
        <r>
          <rPr>
            <b/>
            <u/>
            <vertAlign val="subscript"/>
            <sz val="9"/>
            <color indexed="81"/>
            <rFont val="Tahoma"/>
            <family val="2"/>
          </rPr>
          <t>AC(min)</t>
        </r>
        <r>
          <rPr>
            <b/>
            <u/>
            <sz val="9"/>
            <color indexed="81"/>
            <rFont val="Tahoma"/>
            <family val="2"/>
          </rPr>
          <t>:</t>
        </r>
        <r>
          <rPr>
            <sz val="9"/>
            <color indexed="81"/>
            <rFont val="Tahoma"/>
            <family val="2"/>
          </rPr>
          <t xml:space="preserve">
Maximum boost output voltage based off the Duty Cycle Limitation at the V</t>
        </r>
        <r>
          <rPr>
            <vertAlign val="subscript"/>
            <sz val="9"/>
            <color indexed="81"/>
            <rFont val="Tahoma"/>
            <family val="2"/>
          </rPr>
          <t>AC(min)</t>
        </r>
        <r>
          <rPr>
            <sz val="9"/>
            <color indexed="81"/>
            <rFont val="Tahoma"/>
            <family val="2"/>
          </rPr>
          <t xml:space="preserve"> voltage. 
If V</t>
        </r>
        <r>
          <rPr>
            <vertAlign val="subscript"/>
            <sz val="9"/>
            <color indexed="81"/>
            <rFont val="Tahoma"/>
            <family val="2"/>
          </rPr>
          <t>AC(min)</t>
        </r>
        <r>
          <rPr>
            <sz val="9"/>
            <color indexed="81"/>
            <rFont val="Tahoma"/>
            <family val="2"/>
          </rPr>
          <t xml:space="preserve"> is higher than the Battery Voltage, then this voltage does not apply to the Boost Output Limitation and the cell will display "N/A".
</t>
        </r>
        <r>
          <rPr>
            <b/>
            <sz val="9"/>
            <color indexed="81"/>
            <rFont val="Tahoma"/>
            <family val="2"/>
          </rPr>
          <t xml:space="preserve">Text in cell is flagged red if:
</t>
        </r>
        <r>
          <rPr>
            <sz val="9"/>
            <color indexed="81"/>
            <rFont val="Tahoma"/>
            <family val="2"/>
          </rPr>
          <t xml:space="preserve">Boost Output Limitation Voltage is lower than the Battery Voltage. 
</t>
        </r>
      </text>
    </comment>
    <comment ref="F19" authorId="0" shapeId="0" xr:uid="{C70347DD-0D27-47C5-9E81-84093A1B24B9}">
      <text>
        <r>
          <rPr>
            <b/>
            <u/>
            <sz val="9"/>
            <color indexed="81"/>
            <rFont val="Tahoma"/>
            <family val="2"/>
          </rPr>
          <t>Boost Output Limitation at V</t>
        </r>
        <r>
          <rPr>
            <b/>
            <u/>
            <vertAlign val="subscript"/>
            <sz val="9"/>
            <color indexed="81"/>
            <rFont val="Tahoma"/>
            <family val="2"/>
          </rPr>
          <t>AC(nom)</t>
        </r>
        <r>
          <rPr>
            <b/>
            <u/>
            <sz val="9"/>
            <color indexed="81"/>
            <rFont val="Tahoma"/>
            <family val="2"/>
          </rPr>
          <t>:</t>
        </r>
        <r>
          <rPr>
            <sz val="9"/>
            <color indexed="81"/>
            <rFont val="Tahoma"/>
            <family val="2"/>
          </rPr>
          <t xml:space="preserve">
Maximum boost output voltage based off the Duty Cycle Limitation at the V</t>
        </r>
        <r>
          <rPr>
            <vertAlign val="subscript"/>
            <sz val="9"/>
            <color indexed="81"/>
            <rFont val="Tahoma"/>
            <family val="2"/>
          </rPr>
          <t>AC(nom)</t>
        </r>
        <r>
          <rPr>
            <sz val="9"/>
            <color indexed="81"/>
            <rFont val="Tahoma"/>
            <family val="2"/>
          </rPr>
          <t xml:space="preserve"> voltage. 
If V</t>
        </r>
        <r>
          <rPr>
            <vertAlign val="subscript"/>
            <sz val="9"/>
            <color indexed="81"/>
            <rFont val="Tahoma"/>
            <family val="2"/>
          </rPr>
          <t>AC(nom)</t>
        </r>
        <r>
          <rPr>
            <sz val="9"/>
            <color indexed="81"/>
            <rFont val="Tahoma"/>
            <family val="2"/>
          </rPr>
          <t xml:space="preserve"> is higher than the Battery Voltage, then this voltage does not apply to the Boost Output Limitation and the cell will display "N/A".
</t>
        </r>
        <r>
          <rPr>
            <b/>
            <sz val="9"/>
            <color indexed="81"/>
            <rFont val="Tahoma"/>
            <family val="2"/>
          </rPr>
          <t xml:space="preserve">Text in cell is flagged red if:
</t>
        </r>
        <r>
          <rPr>
            <sz val="9"/>
            <color indexed="81"/>
            <rFont val="Tahoma"/>
            <family val="2"/>
          </rPr>
          <t xml:space="preserve">Boost Output Limitation Voltage is lower than the Battery Voltage. 
</t>
        </r>
      </text>
    </comment>
    <comment ref="F20" authorId="0" shapeId="0" xr:uid="{7B52F920-E567-4040-A67C-89776EBE8EE5}">
      <text>
        <r>
          <rPr>
            <b/>
            <u/>
            <sz val="9"/>
            <color indexed="81"/>
            <rFont val="Tahoma"/>
            <family val="2"/>
          </rPr>
          <t>Boost Output Limitation at V</t>
        </r>
        <r>
          <rPr>
            <b/>
            <u/>
            <vertAlign val="subscript"/>
            <sz val="9"/>
            <color indexed="81"/>
            <rFont val="Tahoma"/>
            <family val="2"/>
          </rPr>
          <t>AC(max)</t>
        </r>
        <r>
          <rPr>
            <b/>
            <u/>
            <sz val="9"/>
            <color indexed="81"/>
            <rFont val="Tahoma"/>
            <family val="2"/>
          </rPr>
          <t>:</t>
        </r>
        <r>
          <rPr>
            <sz val="9"/>
            <color indexed="81"/>
            <rFont val="Tahoma"/>
            <family val="2"/>
          </rPr>
          <t xml:space="preserve">
Maximum boost output voltage based off the Duty Cycle Limitation at the V</t>
        </r>
        <r>
          <rPr>
            <vertAlign val="subscript"/>
            <sz val="9"/>
            <color indexed="81"/>
            <rFont val="Tahoma"/>
            <family val="2"/>
          </rPr>
          <t>AC(max)</t>
        </r>
        <r>
          <rPr>
            <sz val="9"/>
            <color indexed="81"/>
            <rFont val="Tahoma"/>
            <family val="2"/>
          </rPr>
          <t xml:space="preserve"> voltage. 
If V</t>
        </r>
        <r>
          <rPr>
            <vertAlign val="subscript"/>
            <sz val="9"/>
            <color indexed="81"/>
            <rFont val="Tahoma"/>
            <family val="2"/>
          </rPr>
          <t>AC(max)</t>
        </r>
        <r>
          <rPr>
            <sz val="9"/>
            <color indexed="81"/>
            <rFont val="Tahoma"/>
            <family val="2"/>
          </rPr>
          <t xml:space="preserve"> is higher than the Battery Voltage, then this voltage does not apply to the Boost Output Limitation and the cell will display "N/A".
</t>
        </r>
        <r>
          <rPr>
            <b/>
            <sz val="9"/>
            <color indexed="81"/>
            <rFont val="Tahoma"/>
            <family val="2"/>
          </rPr>
          <t xml:space="preserve">Text in cell is flagged red if:
</t>
        </r>
        <r>
          <rPr>
            <sz val="9"/>
            <color indexed="81"/>
            <rFont val="Tahoma"/>
            <family val="2"/>
          </rPr>
          <t xml:space="preserve">Boost Output Limitation Voltage is lower than the Battery Voltage. 
</t>
        </r>
      </text>
    </comment>
    <comment ref="F23" authorId="0" shapeId="0" xr:uid="{347297A4-C0F3-4BE0-A4ED-1ADC8EA83674}">
      <text>
        <r>
          <rPr>
            <b/>
            <u/>
            <sz val="9"/>
            <color indexed="81"/>
            <rFont val="Tahoma"/>
            <family val="2"/>
          </rPr>
          <t xml:space="preserve">Maximum Average Inductor Current:
</t>
        </r>
        <r>
          <rPr>
            <sz val="9"/>
            <color indexed="81"/>
            <rFont val="Tahoma"/>
            <family val="2"/>
          </rPr>
          <t xml:space="preserve">The maximum average inductor current occurs at the minimum input voltage and maximum load current:
</t>
        </r>
        <r>
          <rPr>
            <b/>
            <sz val="9"/>
            <color indexed="81"/>
            <rFont val="Tahoma"/>
            <family val="2"/>
          </rPr>
          <t>I</t>
        </r>
        <r>
          <rPr>
            <b/>
            <vertAlign val="subscript"/>
            <sz val="9"/>
            <color indexed="81"/>
            <rFont val="Tahoma"/>
            <family val="2"/>
          </rPr>
          <t>L(MAX)</t>
        </r>
        <r>
          <rPr>
            <b/>
            <sz val="9"/>
            <color indexed="81"/>
            <rFont val="Tahoma"/>
            <family val="2"/>
          </rPr>
          <t>=V</t>
        </r>
        <r>
          <rPr>
            <b/>
            <vertAlign val="subscript"/>
            <sz val="9"/>
            <color indexed="81"/>
            <rFont val="Tahoma"/>
            <family val="2"/>
          </rPr>
          <t>BAT</t>
        </r>
        <r>
          <rPr>
            <b/>
            <sz val="9"/>
            <color indexed="81"/>
            <rFont val="Tahoma"/>
            <family val="2"/>
          </rPr>
          <t>*I</t>
        </r>
        <r>
          <rPr>
            <b/>
            <vertAlign val="subscript"/>
            <sz val="9"/>
            <color indexed="81"/>
            <rFont val="Tahoma"/>
            <family val="2"/>
          </rPr>
          <t>OUT(MAX)</t>
        </r>
        <r>
          <rPr>
            <b/>
            <sz val="9"/>
            <color indexed="81"/>
            <rFont val="Tahoma"/>
            <family val="2"/>
          </rPr>
          <t>/(ⴄ*V</t>
        </r>
        <r>
          <rPr>
            <b/>
            <vertAlign val="subscript"/>
            <sz val="9"/>
            <color indexed="81"/>
            <rFont val="Tahoma"/>
            <family val="2"/>
          </rPr>
          <t>AC(MIN)</t>
        </r>
        <r>
          <rPr>
            <b/>
            <sz val="9"/>
            <color indexed="81"/>
            <rFont val="Tahoma"/>
            <family val="2"/>
          </rPr>
          <t>)</t>
        </r>
      </text>
    </comment>
    <comment ref="F24" authorId="0" shapeId="0" xr:uid="{A40E549E-8AC8-4651-92AE-7EC20D27A18F}">
      <text>
        <r>
          <rPr>
            <b/>
            <sz val="9"/>
            <color indexed="81"/>
            <rFont val="Tahoma"/>
            <family val="2"/>
          </rPr>
          <t xml:space="preserve">Selected Inductor Saturation Current:
</t>
        </r>
        <r>
          <rPr>
            <sz val="9"/>
            <color indexed="81"/>
            <rFont val="Tahoma"/>
            <family val="2"/>
          </rPr>
          <t xml:space="preserve">Saturation current of the inductor that the users intends on using. The Saturation current should be higher than the Maximum Average Inductor Current. 
The Maximum Average Inductor Current can be reduced by changing the Operating Specifications. 
</t>
        </r>
        <r>
          <rPr>
            <b/>
            <sz val="9"/>
            <color indexed="81"/>
            <rFont val="Tahoma"/>
            <family val="2"/>
          </rPr>
          <t xml:space="preserve">Text in cell is flagged red if:
</t>
        </r>
        <r>
          <rPr>
            <sz val="9"/>
            <color indexed="81"/>
            <rFont val="Tahoma"/>
            <family val="2"/>
          </rPr>
          <t>The Selected Inductor Saturation Current is less than the Maximum Average Inductor Current.</t>
        </r>
      </text>
    </comment>
    <comment ref="F25" authorId="0" shapeId="0" xr:uid="{A167B101-7FDB-4A08-A48F-98E654BBA149}">
      <text>
        <r>
          <rPr>
            <b/>
            <u/>
            <sz val="9"/>
            <color indexed="81"/>
            <rFont val="Tahoma"/>
            <family val="2"/>
          </rPr>
          <t>Minimum Inductance:</t>
        </r>
        <r>
          <rPr>
            <sz val="9"/>
            <color indexed="81"/>
            <rFont val="Tahoma"/>
            <family val="2"/>
          </rPr>
          <t xml:space="preserve">
Higher switching frequency allows the use of smaller inductor and capacitor values. Inductor Saturation Current should be higher than the Maximum Average Inductor Current I</t>
        </r>
        <r>
          <rPr>
            <vertAlign val="subscript"/>
            <sz val="9"/>
            <color indexed="81"/>
            <rFont val="Tahoma"/>
            <family val="2"/>
          </rPr>
          <t>L(max)</t>
        </r>
        <r>
          <rPr>
            <sz val="9"/>
            <color indexed="81"/>
            <rFont val="Tahoma"/>
            <family val="2"/>
          </rPr>
          <t xml:space="preserve"> plus half the Maximum Ripple Current I</t>
        </r>
        <r>
          <rPr>
            <vertAlign val="subscript"/>
            <sz val="9"/>
            <color indexed="81"/>
            <rFont val="Tahoma"/>
            <family val="2"/>
          </rPr>
          <t>Ripple(max)</t>
        </r>
        <r>
          <rPr>
            <sz val="9"/>
            <color indexed="81"/>
            <rFont val="Tahoma"/>
            <family val="2"/>
          </rPr>
          <t xml:space="preserve">. 
It is recommended to use an Inductor with and Inductance between 2.2 - 15 µH.
</t>
        </r>
        <r>
          <rPr>
            <b/>
            <sz val="9"/>
            <color indexed="81"/>
            <rFont val="Tahoma"/>
            <family val="2"/>
          </rPr>
          <t>I</t>
        </r>
        <r>
          <rPr>
            <b/>
            <vertAlign val="subscript"/>
            <sz val="9"/>
            <color indexed="81"/>
            <rFont val="Tahoma"/>
            <family val="2"/>
          </rPr>
          <t>SAT</t>
        </r>
        <r>
          <rPr>
            <b/>
            <sz val="9"/>
            <color indexed="81"/>
            <rFont val="Tahoma"/>
            <family val="2"/>
          </rPr>
          <t xml:space="preserve"> ≥ I</t>
        </r>
        <r>
          <rPr>
            <b/>
            <vertAlign val="subscript"/>
            <sz val="9"/>
            <color indexed="81"/>
            <rFont val="Tahoma"/>
            <family val="2"/>
          </rPr>
          <t>L(max)</t>
        </r>
        <r>
          <rPr>
            <b/>
            <sz val="9"/>
            <color indexed="81"/>
            <rFont val="Tahoma"/>
            <family val="2"/>
          </rPr>
          <t xml:space="preserve"> + 0.5 * I</t>
        </r>
        <r>
          <rPr>
            <b/>
            <vertAlign val="subscript"/>
            <sz val="9"/>
            <color indexed="81"/>
            <rFont val="Tahoma"/>
            <family val="2"/>
          </rPr>
          <t>Ripple(max)</t>
        </r>
        <r>
          <rPr>
            <sz val="9"/>
            <color indexed="81"/>
            <rFont val="Tahoma"/>
            <family val="2"/>
          </rPr>
          <t xml:space="preserve">
The inductor ripple current in buck operation depends on input voltage (V</t>
        </r>
        <r>
          <rPr>
            <vertAlign val="subscript"/>
            <sz val="9"/>
            <color indexed="81"/>
            <rFont val="Tahoma"/>
            <family val="2"/>
          </rPr>
          <t>AC</t>
        </r>
        <r>
          <rPr>
            <sz val="9"/>
            <color indexed="81"/>
            <rFont val="Tahoma"/>
            <family val="2"/>
          </rPr>
          <t>), duty cycle (D</t>
        </r>
        <r>
          <rPr>
            <vertAlign val="subscript"/>
            <sz val="9"/>
            <color indexed="81"/>
            <rFont val="Tahoma"/>
            <family val="2"/>
          </rPr>
          <t>Buck</t>
        </r>
        <r>
          <rPr>
            <sz val="9"/>
            <color indexed="81"/>
            <rFont val="Tahoma"/>
            <family val="2"/>
          </rPr>
          <t xml:space="preserve"> = V</t>
        </r>
        <r>
          <rPr>
            <vertAlign val="subscript"/>
            <sz val="9"/>
            <color indexed="81"/>
            <rFont val="Tahoma"/>
            <family val="2"/>
          </rPr>
          <t>BAT</t>
        </r>
        <r>
          <rPr>
            <sz val="9"/>
            <color indexed="81"/>
            <rFont val="Tahoma"/>
            <family val="2"/>
          </rPr>
          <t>/V</t>
        </r>
        <r>
          <rPr>
            <vertAlign val="subscript"/>
            <sz val="9"/>
            <color indexed="81"/>
            <rFont val="Tahoma"/>
            <family val="2"/>
          </rPr>
          <t>AC</t>
        </r>
        <r>
          <rPr>
            <sz val="9"/>
            <color indexed="81"/>
            <rFont val="Tahoma"/>
            <family val="2"/>
          </rPr>
          <t>), switching frequency (F</t>
        </r>
        <r>
          <rPr>
            <vertAlign val="subscript"/>
            <sz val="9"/>
            <color indexed="81"/>
            <rFont val="Tahoma"/>
            <family val="2"/>
          </rPr>
          <t>SW</t>
        </r>
        <r>
          <rPr>
            <sz val="9"/>
            <color indexed="81"/>
            <rFont val="Tahoma"/>
            <family val="2"/>
          </rPr>
          <t xml:space="preserve">) and inductance (L).
</t>
        </r>
        <r>
          <rPr>
            <b/>
            <sz val="9"/>
            <color indexed="81"/>
            <rFont val="Tahoma"/>
            <family val="2"/>
          </rPr>
          <t>I</t>
        </r>
        <r>
          <rPr>
            <b/>
            <vertAlign val="subscript"/>
            <sz val="9"/>
            <color indexed="81"/>
            <rFont val="Tahoma"/>
            <family val="2"/>
          </rPr>
          <t>Ripple_Buck</t>
        </r>
        <r>
          <rPr>
            <b/>
            <sz val="9"/>
            <color indexed="81"/>
            <rFont val="Tahoma"/>
            <family val="2"/>
          </rPr>
          <t xml:space="preserve"> = V</t>
        </r>
        <r>
          <rPr>
            <b/>
            <vertAlign val="subscript"/>
            <sz val="9"/>
            <color indexed="81"/>
            <rFont val="Tahoma"/>
            <family val="2"/>
          </rPr>
          <t>AC</t>
        </r>
        <r>
          <rPr>
            <b/>
            <sz val="9"/>
            <color indexed="81"/>
            <rFont val="Tahoma"/>
            <family val="2"/>
          </rPr>
          <t>*D</t>
        </r>
        <r>
          <rPr>
            <b/>
            <vertAlign val="subscript"/>
            <sz val="9"/>
            <color indexed="81"/>
            <rFont val="Tahoma"/>
            <family val="2"/>
          </rPr>
          <t>Buck</t>
        </r>
        <r>
          <rPr>
            <b/>
            <sz val="9"/>
            <color indexed="81"/>
            <rFont val="Tahoma"/>
            <family val="2"/>
          </rPr>
          <t>*(1-D</t>
        </r>
        <r>
          <rPr>
            <b/>
            <vertAlign val="subscript"/>
            <sz val="9"/>
            <color indexed="81"/>
            <rFont val="Tahoma"/>
            <family val="2"/>
          </rPr>
          <t>Buck</t>
        </r>
        <r>
          <rPr>
            <b/>
            <sz val="9"/>
            <color indexed="81"/>
            <rFont val="Tahoma"/>
            <family val="2"/>
          </rPr>
          <t>)/(F</t>
        </r>
        <r>
          <rPr>
            <b/>
            <vertAlign val="subscript"/>
            <sz val="9"/>
            <color indexed="81"/>
            <rFont val="Tahoma"/>
            <family val="2"/>
          </rPr>
          <t>SW</t>
        </r>
        <r>
          <rPr>
            <b/>
            <sz val="9"/>
            <color indexed="81"/>
            <rFont val="Tahoma"/>
            <family val="2"/>
          </rPr>
          <t>*L)</t>
        </r>
        <r>
          <rPr>
            <sz val="9"/>
            <color indexed="81"/>
            <rFont val="Tahoma"/>
            <family val="2"/>
          </rPr>
          <t xml:space="preserve">
During boost operation, the duty cycle is: D</t>
        </r>
        <r>
          <rPr>
            <vertAlign val="subscript"/>
            <sz val="9"/>
            <color indexed="81"/>
            <rFont val="Tahoma"/>
            <family val="2"/>
          </rPr>
          <t>Boost</t>
        </r>
        <r>
          <rPr>
            <sz val="9"/>
            <color indexed="81"/>
            <rFont val="Tahoma"/>
            <family val="2"/>
          </rPr>
          <t xml:space="preserve"> = 1 - (V</t>
        </r>
        <r>
          <rPr>
            <vertAlign val="subscript"/>
            <sz val="9"/>
            <color indexed="81"/>
            <rFont val="Tahoma"/>
            <family val="2"/>
          </rPr>
          <t>AC</t>
        </r>
        <r>
          <rPr>
            <sz val="9"/>
            <color indexed="81"/>
            <rFont val="Tahoma"/>
            <family val="2"/>
          </rPr>
          <t>/V</t>
        </r>
        <r>
          <rPr>
            <vertAlign val="subscript"/>
            <sz val="9"/>
            <color indexed="81"/>
            <rFont val="Tahoma"/>
            <family val="2"/>
          </rPr>
          <t>BAT</t>
        </r>
        <r>
          <rPr>
            <sz val="9"/>
            <color indexed="81"/>
            <rFont val="Tahoma"/>
            <family val="2"/>
          </rPr>
          <t xml:space="preserve">). The inductor ripple current is:
</t>
        </r>
        <r>
          <rPr>
            <b/>
            <sz val="9"/>
            <color indexed="81"/>
            <rFont val="Tahoma"/>
            <family val="2"/>
          </rPr>
          <t>I</t>
        </r>
        <r>
          <rPr>
            <b/>
            <vertAlign val="subscript"/>
            <sz val="9"/>
            <color indexed="81"/>
            <rFont val="Tahoma"/>
            <family val="2"/>
          </rPr>
          <t>Ripple_Boost</t>
        </r>
        <r>
          <rPr>
            <b/>
            <sz val="9"/>
            <color indexed="81"/>
            <rFont val="Tahoma"/>
            <family val="2"/>
          </rPr>
          <t xml:space="preserve"> = V</t>
        </r>
        <r>
          <rPr>
            <b/>
            <vertAlign val="subscript"/>
            <sz val="9"/>
            <color indexed="81"/>
            <rFont val="Tahoma"/>
            <family val="2"/>
          </rPr>
          <t>AC</t>
        </r>
        <r>
          <rPr>
            <b/>
            <sz val="9"/>
            <color indexed="81"/>
            <rFont val="Tahoma"/>
            <family val="2"/>
          </rPr>
          <t>*D</t>
        </r>
        <r>
          <rPr>
            <b/>
            <vertAlign val="subscript"/>
            <sz val="9"/>
            <color indexed="81"/>
            <rFont val="Tahoma"/>
            <family val="2"/>
          </rPr>
          <t>Boost</t>
        </r>
        <r>
          <rPr>
            <b/>
            <sz val="9"/>
            <color indexed="81"/>
            <rFont val="Tahoma"/>
            <family val="2"/>
          </rPr>
          <t>/(F</t>
        </r>
        <r>
          <rPr>
            <b/>
            <vertAlign val="subscript"/>
            <sz val="9"/>
            <color indexed="81"/>
            <rFont val="Tahoma"/>
            <family val="2"/>
          </rPr>
          <t>SW</t>
        </r>
        <r>
          <rPr>
            <b/>
            <sz val="9"/>
            <color indexed="81"/>
            <rFont val="Tahoma"/>
            <family val="2"/>
          </rPr>
          <t>*L)</t>
        </r>
        <r>
          <rPr>
            <sz val="9"/>
            <color indexed="81"/>
            <rFont val="Tahoma"/>
            <family val="2"/>
          </rPr>
          <t xml:space="preserve">
The maximum inductor ripple current happens with D = 0.5 or close to 0.5. 
Usually inductor ripple is designed in the range of (20-40%) maximum charging current as a trade-off between inductor size and efficiency for practical design. 
</t>
        </r>
        <r>
          <rPr>
            <b/>
            <sz val="9"/>
            <color indexed="81"/>
            <rFont val="Tahoma"/>
            <family val="2"/>
          </rPr>
          <t xml:space="preserve">Text in cell is flagged red if:
</t>
        </r>
        <r>
          <rPr>
            <sz val="9"/>
            <color indexed="81"/>
            <rFont val="Tahoma"/>
            <family val="2"/>
          </rPr>
          <t xml:space="preserve">The minimum inductance is not within the recommended inductance range.
</t>
        </r>
        <r>
          <rPr>
            <b/>
            <sz val="9"/>
            <color indexed="81"/>
            <rFont val="Tahoma"/>
            <family val="2"/>
          </rPr>
          <t>Text in cell shows "ERROR" if:</t>
        </r>
        <r>
          <rPr>
            <sz val="9"/>
            <color indexed="81"/>
            <rFont val="Tahoma"/>
            <family val="2"/>
          </rPr>
          <t xml:space="preserve">
The Selected Inductor Saturation Current is lower than the Maximum Average Inductor Current.</t>
        </r>
      </text>
    </comment>
    <comment ref="F26" authorId="0" shapeId="0" xr:uid="{E79C7901-4AA5-4544-896B-2B9DE4C25F82}">
      <text>
        <r>
          <rPr>
            <b/>
            <u/>
            <sz val="9"/>
            <color indexed="81"/>
            <rFont val="Tahoma"/>
            <family val="2"/>
          </rPr>
          <t xml:space="preserve">Selected Inductance:
</t>
        </r>
        <r>
          <rPr>
            <sz val="9"/>
            <color indexed="81"/>
            <rFont val="Tahoma"/>
            <family val="2"/>
          </rPr>
          <t xml:space="preserve">Recommended to use the Recommended Inductance for the most efficient use of the charger.
</t>
        </r>
        <r>
          <rPr>
            <b/>
            <sz val="9"/>
            <color indexed="81"/>
            <rFont val="Tahoma"/>
            <family val="2"/>
          </rPr>
          <t xml:space="preserve">Text in cell is flagged red if:
</t>
        </r>
        <r>
          <rPr>
            <sz val="9"/>
            <color indexed="81"/>
            <rFont val="Tahoma"/>
            <family val="2"/>
          </rPr>
          <t>Value is less than Minimum Inductance.</t>
        </r>
      </text>
    </comment>
    <comment ref="F27" authorId="1" shapeId="0" xr:uid="{6361F962-34B5-49AB-83C6-EDB5DF251972}">
      <text>
        <r>
          <rPr>
            <b/>
            <u/>
            <sz val="9"/>
            <color indexed="81"/>
            <rFont val="Tahoma"/>
            <family val="2"/>
          </rPr>
          <t>Recommended Inductor DCR</t>
        </r>
        <r>
          <rPr>
            <b/>
            <sz val="9"/>
            <color indexed="81"/>
            <rFont val="Tahoma"/>
            <family val="2"/>
          </rPr>
          <t xml:space="preserve">:
</t>
        </r>
        <r>
          <rPr>
            <sz val="9"/>
            <color indexed="81"/>
            <rFont val="Tahoma"/>
            <family val="2"/>
          </rPr>
          <t>The recommended inductor DCR range is 5mohm~25mohm. Inductor DCR beyond this range may hold system stability risk which is not recommended.</t>
        </r>
      </text>
    </comment>
    <comment ref="F28" authorId="1" shapeId="0" xr:uid="{EC6666E0-DD1A-4914-94AB-4879A66A8B81}">
      <text>
        <r>
          <rPr>
            <b/>
            <u/>
            <sz val="9"/>
            <color indexed="81"/>
            <rFont val="Tahoma"/>
            <family val="2"/>
          </rPr>
          <t>Recommended Inductor DCR</t>
        </r>
        <r>
          <rPr>
            <b/>
            <sz val="9"/>
            <color indexed="81"/>
            <rFont val="Tahoma"/>
            <family val="2"/>
          </rPr>
          <t xml:space="preserve">:
</t>
        </r>
        <r>
          <rPr>
            <sz val="9"/>
            <color indexed="81"/>
            <rFont val="Tahoma"/>
            <family val="2"/>
          </rPr>
          <t>The recommended inductor DCR range is 5mohm~25mohm. Inductor DCR beyond this range may hold system stability risk which is not recommended.</t>
        </r>
      </text>
    </comment>
    <comment ref="F29" authorId="0" shapeId="0" xr:uid="{40E1B18A-AD79-44FD-848B-3621C44CDAE2}">
      <text>
        <r>
          <rPr>
            <b/>
            <u/>
            <sz val="9"/>
            <color indexed="81"/>
            <rFont val="Tahoma"/>
            <family val="2"/>
          </rPr>
          <t xml:space="preserve">Selected Inductor DCR:
</t>
        </r>
        <r>
          <rPr>
            <sz val="9"/>
            <color indexed="81"/>
            <rFont val="Tahoma"/>
            <family val="2"/>
          </rPr>
          <t xml:space="preserve">The recommended inductor DCR range is 5~25 mΩ for each phase. Inductor DCR beyond this range may hold system stability risk which is not recommended.
</t>
        </r>
        <r>
          <rPr>
            <b/>
            <sz val="9"/>
            <color indexed="81"/>
            <rFont val="Tahoma"/>
            <family val="2"/>
          </rPr>
          <t xml:space="preserve">Text in cell is flagged red if:
</t>
        </r>
        <r>
          <rPr>
            <sz val="9"/>
            <color indexed="81"/>
            <rFont val="Tahoma"/>
            <family val="2"/>
          </rPr>
          <t xml:space="preserve">Value is outside the recommended range.
</t>
        </r>
      </text>
    </comment>
    <comment ref="F36" authorId="0" shapeId="0" xr:uid="{9F8F1260-B798-45E8-8B61-1E8AF21B5534}">
      <text>
        <r>
          <rPr>
            <b/>
            <u/>
            <sz val="9"/>
            <color indexed="81"/>
            <rFont val="Tahoma"/>
            <family val="2"/>
          </rPr>
          <t xml:space="preserve">Peak Inductor Current:
</t>
        </r>
        <r>
          <rPr>
            <sz val="9"/>
            <color indexed="81"/>
            <rFont val="Tahoma"/>
            <family val="2"/>
          </rPr>
          <t xml:space="preserve">The peak inductor current occurs at minimum input voltage and is given by:
</t>
        </r>
        <r>
          <rPr>
            <b/>
            <sz val="9"/>
            <color indexed="81"/>
            <rFont val="Tahoma"/>
            <family val="2"/>
          </rPr>
          <t>I</t>
        </r>
        <r>
          <rPr>
            <b/>
            <vertAlign val="subscript"/>
            <sz val="9"/>
            <color indexed="81"/>
            <rFont val="Tahoma"/>
            <family val="2"/>
          </rPr>
          <t>L(PEAK)</t>
        </r>
        <r>
          <rPr>
            <b/>
            <sz val="9"/>
            <color indexed="81"/>
            <rFont val="Tahoma"/>
            <family val="2"/>
          </rPr>
          <t>=I</t>
        </r>
        <r>
          <rPr>
            <b/>
            <vertAlign val="subscript"/>
            <sz val="9"/>
            <color indexed="81"/>
            <rFont val="Tahoma"/>
            <family val="2"/>
          </rPr>
          <t>L(MAX)</t>
        </r>
        <r>
          <rPr>
            <b/>
            <sz val="9"/>
            <color indexed="81"/>
            <rFont val="Tahoma"/>
            <family val="2"/>
          </rPr>
          <t>+V</t>
        </r>
        <r>
          <rPr>
            <b/>
            <vertAlign val="subscript"/>
            <sz val="9"/>
            <color indexed="81"/>
            <rFont val="Tahoma"/>
            <family val="2"/>
          </rPr>
          <t>IN(MIN)</t>
        </r>
        <r>
          <rPr>
            <b/>
            <sz val="9"/>
            <color indexed="81"/>
            <rFont val="Tahoma"/>
            <family val="2"/>
          </rPr>
          <t>*(V</t>
        </r>
        <r>
          <rPr>
            <b/>
            <vertAlign val="subscript"/>
            <sz val="9"/>
            <color indexed="81"/>
            <rFont val="Tahoma"/>
            <family val="2"/>
          </rPr>
          <t>OUT</t>
        </r>
        <r>
          <rPr>
            <b/>
            <sz val="9"/>
            <color indexed="81"/>
            <rFont val="Tahoma"/>
            <family val="2"/>
          </rPr>
          <t>-V</t>
        </r>
        <r>
          <rPr>
            <b/>
            <vertAlign val="subscript"/>
            <sz val="9"/>
            <color indexed="81"/>
            <rFont val="Tahoma"/>
            <family val="2"/>
          </rPr>
          <t>IN(MIN)</t>
        </r>
        <r>
          <rPr>
            <b/>
            <sz val="9"/>
            <color indexed="81"/>
            <rFont val="Tahoma"/>
            <family val="2"/>
          </rPr>
          <t>)/(2*L*F</t>
        </r>
        <r>
          <rPr>
            <b/>
            <vertAlign val="subscript"/>
            <sz val="9"/>
            <color indexed="81"/>
            <rFont val="Tahoma"/>
            <family val="2"/>
          </rPr>
          <t>SW</t>
        </r>
        <r>
          <rPr>
            <b/>
            <sz val="9"/>
            <color indexed="81"/>
            <rFont val="Tahoma"/>
            <family val="2"/>
          </rPr>
          <t>*V</t>
        </r>
        <r>
          <rPr>
            <b/>
            <vertAlign val="subscript"/>
            <sz val="9"/>
            <color indexed="81"/>
            <rFont val="Tahoma"/>
            <family val="2"/>
          </rPr>
          <t>OUT</t>
        </r>
        <r>
          <rPr>
            <b/>
            <sz val="9"/>
            <color indexed="81"/>
            <rFont val="Tahoma"/>
            <family val="2"/>
          </rPr>
          <t>)</t>
        </r>
      </text>
    </comment>
    <comment ref="F39" authorId="0" shapeId="0" xr:uid="{411C585F-6A77-4313-B1CF-A49234BE088F}">
      <text>
        <r>
          <rPr>
            <b/>
            <u/>
            <sz val="9"/>
            <color indexed="81"/>
            <rFont val="Tahoma"/>
            <family val="2"/>
          </rPr>
          <t xml:space="preserve">Recommended Input Current Sense Resistor:
</t>
        </r>
        <r>
          <rPr>
            <sz val="9"/>
            <color indexed="81"/>
            <rFont val="Tahoma"/>
            <family val="2"/>
          </rPr>
          <t>The input current sense resistor between ACP and ACN is typically 2 mΩ, but can be increased to achieve better accuracy at lower sensed currents. In USB-PD EPR applications, a 5-mΩ sense resistor is recommended to achieve programmability in a 50 mA/step. 
In addition, if input current limit function is not desired, ACP and ACN may be shorted together. A filter network is recommended as shown in section 8.2 Typical Application.</t>
        </r>
      </text>
    </comment>
    <comment ref="F40" authorId="0" shapeId="0" xr:uid="{DE142475-538D-44F9-A886-E55D4FC7DCAD}">
      <text>
        <r>
          <rPr>
            <b/>
            <u/>
            <sz val="9"/>
            <color indexed="81"/>
            <rFont val="Tahoma"/>
            <family val="2"/>
          </rPr>
          <t xml:space="preserve">Selected Input Current Sense Resistor:
</t>
        </r>
        <r>
          <rPr>
            <sz val="9"/>
            <color indexed="81"/>
            <rFont val="Tahoma"/>
            <family val="2"/>
          </rPr>
          <t xml:space="preserve">Enter selected Input Current Sense Resistor. If  the input current limit function is not desired, enter 0 into the cell.
</t>
        </r>
      </text>
    </comment>
    <comment ref="F41" authorId="0" shapeId="0" xr:uid="{C460B828-7ABD-4445-90F9-F39A7FF9EBB4}">
      <text>
        <r>
          <rPr>
            <b/>
            <u/>
            <sz val="9"/>
            <color indexed="81"/>
            <rFont val="Tahoma"/>
            <family val="2"/>
          </rPr>
          <t xml:space="preserve">Maximum Input Current Limit:
</t>
        </r>
        <r>
          <rPr>
            <sz val="9"/>
            <color indexed="81"/>
            <rFont val="Tahoma"/>
            <family val="2"/>
          </rPr>
          <t xml:space="preserve">The Maximum Input Current Limit is based on the Selected Input Current Sense Resistor. When using a 2-mΩ resistor, the input current limit range is from 1 A to 50 A with 125 mA/step. 
A larger sense resistor provides a larger sense voltage and higher regulation accuracy, but at the expense of higher conduction loss. For example, using a 5-mΩ resistor yields programmability from 400 mA to 20 A with 50 mA/step.
Maximum Input Current Limit is set with the following equation:
</t>
        </r>
        <r>
          <rPr>
            <b/>
            <sz val="9"/>
            <color indexed="81"/>
            <rFont val="Tahoma"/>
            <family val="2"/>
          </rPr>
          <t>I</t>
        </r>
        <r>
          <rPr>
            <b/>
            <vertAlign val="subscript"/>
            <sz val="9"/>
            <color indexed="81"/>
            <rFont val="Tahoma"/>
            <family val="2"/>
          </rPr>
          <t>AC_MAX(max)</t>
        </r>
        <r>
          <rPr>
            <b/>
            <sz val="9"/>
            <color indexed="81"/>
            <rFont val="Tahoma"/>
            <family val="2"/>
          </rPr>
          <t xml:space="preserve"> = 50 A * 2 mΩ/R</t>
        </r>
        <r>
          <rPr>
            <b/>
            <vertAlign val="subscript"/>
            <sz val="9"/>
            <color indexed="81"/>
            <rFont val="Tahoma"/>
            <family val="2"/>
          </rPr>
          <t>AC_SNS</t>
        </r>
      </text>
    </comment>
    <comment ref="F42" authorId="0" shapeId="0" xr:uid="{CD7D536A-CFE2-487D-8AD9-08B7D6D79F7F}">
      <text>
        <r>
          <rPr>
            <b/>
            <u/>
            <sz val="9"/>
            <color indexed="81"/>
            <rFont val="Tahoma"/>
            <family val="2"/>
          </rPr>
          <t xml:space="preserve">Input Current Resolution:
</t>
        </r>
        <r>
          <rPr>
            <sz val="9"/>
            <color indexed="81"/>
            <rFont val="Tahoma"/>
            <family val="2"/>
          </rPr>
          <t xml:space="preserve">The Maximum Input Current Limit is based on the Selected Input Current Sense Resistor. When using a 2-mΩ resistor, the input current limit range is from 1 A to 50 A with 125 mA/step. 
A larger sense resistor provides a larger sense voltage and higher regulation accuracy, but at the expense of higher conduction loss. For example, using a 5-mΩ resistor yields programmability from 400 mA to 20 A with 50 mA/step.
Maximum Input Current Limit is set with the following equation:
</t>
        </r>
        <r>
          <rPr>
            <b/>
            <sz val="9"/>
            <color indexed="81"/>
            <rFont val="Tahoma"/>
            <family val="2"/>
          </rPr>
          <t>I</t>
        </r>
        <r>
          <rPr>
            <b/>
            <vertAlign val="subscript"/>
            <sz val="9"/>
            <color indexed="81"/>
            <rFont val="Tahoma"/>
            <family val="2"/>
          </rPr>
          <t>AC_MAX(∆)</t>
        </r>
        <r>
          <rPr>
            <b/>
            <sz val="9"/>
            <color indexed="81"/>
            <rFont val="Tahoma"/>
            <family val="2"/>
          </rPr>
          <t xml:space="preserve"> = 125 mA/step * 2 mΩ/R</t>
        </r>
        <r>
          <rPr>
            <b/>
            <vertAlign val="subscript"/>
            <sz val="9"/>
            <color indexed="81"/>
            <rFont val="Tahoma"/>
            <family val="2"/>
          </rPr>
          <t>AC_SNS</t>
        </r>
      </text>
    </comment>
    <comment ref="F43" authorId="0" shapeId="0" xr:uid="{F57F49D2-E933-4F18-B2E0-45D759A4771C}">
      <text>
        <r>
          <rPr>
            <b/>
            <u/>
            <sz val="9"/>
            <color indexed="81"/>
            <rFont val="Tahoma"/>
            <family val="2"/>
          </rPr>
          <t xml:space="preserve">Desired Input Current Limit:
</t>
        </r>
        <r>
          <rPr>
            <sz val="9"/>
            <color indexed="81"/>
            <rFont val="Tahoma"/>
            <family val="2"/>
          </rPr>
          <t>To set the maximum input current using the IIN pin, a pull-down resistor to PGND is used. When using a 2-mΩ R</t>
        </r>
        <r>
          <rPr>
            <vertAlign val="subscript"/>
            <sz val="9"/>
            <color indexed="81"/>
            <rFont val="Tahoma"/>
            <family val="2"/>
          </rPr>
          <t>AC_SNS</t>
        </r>
        <r>
          <rPr>
            <sz val="9"/>
            <color indexed="81"/>
            <rFont val="Tahoma"/>
            <family val="2"/>
          </rPr>
          <t xml:space="preserve"> resistor, the input current limit is controlled by: 
</t>
        </r>
        <r>
          <rPr>
            <b/>
            <sz val="9"/>
            <color indexed="81"/>
            <rFont val="Tahoma"/>
            <family val="2"/>
          </rPr>
          <t>I</t>
        </r>
        <r>
          <rPr>
            <b/>
            <vertAlign val="subscript"/>
            <sz val="9"/>
            <color indexed="81"/>
            <rFont val="Tahoma"/>
            <family val="2"/>
          </rPr>
          <t>AC_MAX</t>
        </r>
        <r>
          <rPr>
            <b/>
            <sz val="9"/>
            <color indexed="81"/>
            <rFont val="Tahoma"/>
            <family val="2"/>
          </rPr>
          <t xml:space="preserve"> = K</t>
        </r>
        <r>
          <rPr>
            <b/>
            <vertAlign val="subscript"/>
            <sz val="9"/>
            <color indexed="81"/>
            <rFont val="Tahoma"/>
            <family val="2"/>
          </rPr>
          <t>ILIM</t>
        </r>
        <r>
          <rPr>
            <b/>
            <sz val="9"/>
            <color indexed="81"/>
            <rFont val="Tahoma"/>
            <family val="2"/>
          </rPr>
          <t xml:space="preserve"> / R</t>
        </r>
        <r>
          <rPr>
            <b/>
            <vertAlign val="subscript"/>
            <sz val="9"/>
            <color indexed="81"/>
            <rFont val="Tahoma"/>
            <family val="2"/>
          </rPr>
          <t>IIN</t>
        </r>
        <r>
          <rPr>
            <b/>
            <sz val="9"/>
            <color indexed="81"/>
            <rFont val="Tahoma"/>
            <family val="2"/>
          </rPr>
          <t xml:space="preserve">
K</t>
        </r>
        <r>
          <rPr>
            <b/>
            <vertAlign val="subscript"/>
            <sz val="9"/>
            <color indexed="81"/>
            <rFont val="Tahoma"/>
            <family val="2"/>
          </rPr>
          <t>ILIM</t>
        </r>
        <r>
          <rPr>
            <b/>
            <sz val="9"/>
            <color indexed="81"/>
            <rFont val="Tahoma"/>
            <family val="2"/>
          </rPr>
          <t xml:space="preserve"> = 50 A-kΩ *2-mΩ/R</t>
        </r>
        <r>
          <rPr>
            <b/>
            <vertAlign val="subscript"/>
            <sz val="9"/>
            <color indexed="81"/>
            <rFont val="Tahoma"/>
            <family val="2"/>
          </rPr>
          <t>AC_SNS</t>
        </r>
        <r>
          <rPr>
            <sz val="9"/>
            <color indexed="81"/>
            <rFont val="Tahoma"/>
            <family val="2"/>
          </rPr>
          <t xml:space="preserve">
The actual input current limit is the lower value between IIN pin setting and register setting (IAC_DPM). For example, if the register setting is 20 A, and IIN pin has a 5-kΩ resistor (K</t>
        </r>
        <r>
          <rPr>
            <vertAlign val="subscript"/>
            <sz val="9"/>
            <color indexed="81"/>
            <rFont val="Tahoma"/>
            <family val="2"/>
          </rPr>
          <t>ILIM</t>
        </r>
        <r>
          <rPr>
            <sz val="9"/>
            <color indexed="81"/>
            <rFont val="Tahoma"/>
            <family val="2"/>
          </rPr>
          <t xml:space="preserve"> = 50 A-kΩ) to ground for 10 A, the actual input current limit is 10 A.
The IIN pin can also be used to monitor input current. The voltage on IIN pin (V</t>
        </r>
        <r>
          <rPr>
            <vertAlign val="subscript"/>
            <sz val="9"/>
            <color indexed="81"/>
            <rFont val="Tahoma"/>
            <family val="2"/>
          </rPr>
          <t>IIN</t>
        </r>
        <r>
          <rPr>
            <sz val="9"/>
            <color indexed="81"/>
            <rFont val="Tahoma"/>
            <family val="2"/>
          </rPr>
          <t xml:space="preserve">) is proportional to the input current. Pin voltage can be used to monitor input current with the following relationship:
</t>
        </r>
        <r>
          <rPr>
            <b/>
            <sz val="9"/>
            <color indexed="81"/>
            <rFont val="Tahoma"/>
            <family val="2"/>
          </rPr>
          <t>I</t>
        </r>
        <r>
          <rPr>
            <b/>
            <vertAlign val="subscript"/>
            <sz val="9"/>
            <color indexed="81"/>
            <rFont val="Tahoma"/>
            <family val="2"/>
          </rPr>
          <t>AC</t>
        </r>
        <r>
          <rPr>
            <b/>
            <sz val="9"/>
            <color indexed="81"/>
            <rFont val="Tahoma"/>
            <family val="2"/>
          </rPr>
          <t xml:space="preserve"> = K</t>
        </r>
        <r>
          <rPr>
            <b/>
            <vertAlign val="subscript"/>
            <sz val="9"/>
            <color indexed="81"/>
            <rFont val="Tahoma"/>
            <family val="2"/>
          </rPr>
          <t>ILIM</t>
        </r>
        <r>
          <rPr>
            <b/>
            <sz val="9"/>
            <color indexed="81"/>
            <rFont val="Tahoma"/>
            <family val="2"/>
          </rPr>
          <t xml:space="preserve"> * V</t>
        </r>
        <r>
          <rPr>
            <b/>
            <vertAlign val="subscript"/>
            <sz val="9"/>
            <color indexed="81"/>
            <rFont val="Tahoma"/>
            <family val="2"/>
          </rPr>
          <t>IIN</t>
        </r>
        <r>
          <rPr>
            <b/>
            <sz val="9"/>
            <color indexed="81"/>
            <rFont val="Tahoma"/>
            <family val="2"/>
          </rPr>
          <t xml:space="preserve"> / (R</t>
        </r>
        <r>
          <rPr>
            <b/>
            <vertAlign val="subscript"/>
            <sz val="9"/>
            <color indexed="81"/>
            <rFont val="Tahoma"/>
            <family val="2"/>
          </rPr>
          <t>IIN</t>
        </r>
        <r>
          <rPr>
            <b/>
            <sz val="9"/>
            <color indexed="81"/>
            <rFont val="Tahoma"/>
            <family val="2"/>
          </rPr>
          <t xml:space="preserve"> * V</t>
        </r>
        <r>
          <rPr>
            <b/>
            <vertAlign val="subscript"/>
            <sz val="9"/>
            <color indexed="81"/>
            <rFont val="Tahoma"/>
            <family val="2"/>
          </rPr>
          <t>REF_ILIM_HIZ</t>
        </r>
        <r>
          <rPr>
            <b/>
            <sz val="9"/>
            <color indexed="81"/>
            <rFont val="Tahoma"/>
            <family val="2"/>
          </rPr>
          <t xml:space="preserve">)
</t>
        </r>
        <r>
          <rPr>
            <sz val="9"/>
            <color indexed="81"/>
            <rFont val="Tahoma"/>
            <family val="2"/>
          </rPr>
          <t>If IIN pin is shorted, the input current limit is set by the IAC_DPM register. If hardware input current limit function is not needed, it is recommended to short this pin to GND. If IIN pin is pulled above V</t>
        </r>
        <r>
          <rPr>
            <vertAlign val="subscript"/>
            <sz val="9"/>
            <color indexed="81"/>
            <rFont val="Tahoma"/>
            <family val="2"/>
          </rPr>
          <t>IH_ILIM_HIZ</t>
        </r>
        <r>
          <rPr>
            <sz val="9"/>
            <color indexed="81"/>
            <rFont val="Tahoma"/>
            <family val="2"/>
          </rPr>
          <t>, the device enters HIZ mode. The IIN pin function can be disabled by setting the EN_IIN_PIN bit to 0. When the pin is disabled, input current limit and monitoring functions as well as HIZ mode control via the pin are not available.</t>
        </r>
      </text>
    </comment>
    <comment ref="F45" authorId="0" shapeId="0" xr:uid="{E55498C5-FC41-47D3-AE23-03F051AAB86D}">
      <text>
        <r>
          <rPr>
            <b/>
            <u/>
            <sz val="9"/>
            <color indexed="81"/>
            <rFont val="Tahoma"/>
            <family val="2"/>
          </rPr>
          <t xml:space="preserve">Selected Input Pull-down Resistor:
</t>
        </r>
        <r>
          <rPr>
            <sz val="9"/>
            <color indexed="81"/>
            <rFont val="Tahoma"/>
            <family val="2"/>
          </rPr>
          <t xml:space="preserve">Enter Selected Input Pull-down Resistor.
</t>
        </r>
        <r>
          <rPr>
            <b/>
            <sz val="9"/>
            <color indexed="81"/>
            <rFont val="Tahoma"/>
            <family val="2"/>
          </rPr>
          <t>Text in cell is flagged red if:</t>
        </r>
        <r>
          <rPr>
            <sz val="9"/>
            <color indexed="81"/>
            <rFont val="Tahoma"/>
            <family val="2"/>
          </rPr>
          <t xml:space="preserve">
Entered Selected Input Pull-down Resistor is not between 1 kΩ and 50 kΩ.</t>
        </r>
      </text>
    </comment>
    <comment ref="F46" authorId="0" shapeId="0" xr:uid="{1AA9770D-450E-44C4-A519-A30BA370CB54}">
      <text>
        <r>
          <rPr>
            <b/>
            <u/>
            <sz val="9"/>
            <color indexed="81"/>
            <rFont val="Tahoma"/>
            <family val="2"/>
          </rPr>
          <t xml:space="preserve">Recognized Input Current Limit:
</t>
        </r>
        <r>
          <rPr>
            <sz val="9"/>
            <color indexed="81"/>
            <rFont val="Tahoma"/>
            <family val="2"/>
          </rPr>
          <t xml:space="preserve">Recognized Input Current Limit based off the Selected Input Current Sense Resistor and Selected Input Pull-down Resistor. 
</t>
        </r>
        <r>
          <rPr>
            <b/>
            <sz val="9"/>
            <color indexed="81"/>
            <rFont val="Tahoma"/>
            <family val="2"/>
          </rPr>
          <t>Text in cell is flagged red if:</t>
        </r>
        <r>
          <rPr>
            <sz val="9"/>
            <color indexed="81"/>
            <rFont val="Tahoma"/>
            <family val="2"/>
          </rPr>
          <t xml:space="preserve">
The Recognized Input Current Limit is not within ±5% of Desired Input Current Limit.</t>
        </r>
      </text>
    </comment>
    <comment ref="F49" authorId="0" shapeId="0" xr:uid="{B1BDFD68-5B27-47A1-B069-1067171AE1B5}">
      <text>
        <r>
          <rPr>
            <b/>
            <u/>
            <sz val="9"/>
            <color indexed="81"/>
            <rFont val="Tahoma"/>
            <family val="2"/>
          </rPr>
          <t xml:space="preserve">Battery Current Sense Resistor:
</t>
        </r>
        <r>
          <rPr>
            <sz val="9"/>
            <color indexed="81"/>
            <rFont val="Tahoma"/>
            <family val="2"/>
          </rPr>
          <t xml:space="preserve">The battery current sense resistor between SRP and SRN is fixed at 5 mΩ; using a different value is not recommended.
</t>
        </r>
      </text>
    </comment>
    <comment ref="F50" authorId="0" shapeId="0" xr:uid="{44028D73-9FFF-4A2E-AF33-C27AAF122E9A}">
      <text>
        <r>
          <rPr>
            <b/>
            <u/>
            <sz val="9"/>
            <color indexed="81"/>
            <rFont val="Tahoma"/>
            <family val="2"/>
          </rPr>
          <t xml:space="preserve">Maximum Output Current Limit:
</t>
        </r>
        <r>
          <rPr>
            <sz val="9"/>
            <color indexed="81"/>
            <rFont val="Tahoma"/>
            <family val="2"/>
          </rPr>
          <t xml:space="preserve">Maximum Input Current Limit is fixed at 20 A. </t>
        </r>
      </text>
    </comment>
    <comment ref="F51" authorId="0" shapeId="0" xr:uid="{20054DBB-810D-4864-BE37-F20E5B862F07}">
      <text>
        <r>
          <rPr>
            <b/>
            <u/>
            <sz val="9"/>
            <color indexed="81"/>
            <rFont val="Tahoma"/>
            <family val="2"/>
          </rPr>
          <t xml:space="preserve">Output Current Resolution:
</t>
        </r>
        <r>
          <rPr>
            <sz val="9"/>
            <color indexed="81"/>
            <rFont val="Tahoma"/>
            <family val="2"/>
          </rPr>
          <t>Output Current Resolution is fixed at 50 mA/step.</t>
        </r>
      </text>
    </comment>
    <comment ref="F52" authorId="0" shapeId="0" xr:uid="{B6FB0578-23DE-4526-B3E4-CEA82A127D43}">
      <text>
        <r>
          <rPr>
            <b/>
            <u/>
            <sz val="9"/>
            <color indexed="81"/>
            <rFont val="Tahoma"/>
            <family val="2"/>
          </rPr>
          <t xml:space="preserve">Recommended Input Current Sense Resistor:
</t>
        </r>
        <r>
          <rPr>
            <sz val="9"/>
            <color indexed="81"/>
            <rFont val="Tahoma"/>
            <family val="2"/>
          </rPr>
          <t>The input current sense resistor between ACP and ACN is typically 2 mΩ, but can be increased to achieve better accuracy at lower sensed currents. In USB-PD EPR applications, a 5-mΩ sense resistor is recommended to achieve programmability in a 50 mA/step. 
In addition, if input current limit function is not desired, ACP and ACN may be shorted together. A filter network is recommended as shown in section 8.2 Typical Application.</t>
        </r>
      </text>
    </comment>
    <comment ref="F54" authorId="0" shapeId="0" xr:uid="{2E15EFC7-1DD6-4F5B-B178-CE69725A10D3}">
      <text>
        <r>
          <rPr>
            <b/>
            <u/>
            <sz val="9"/>
            <color indexed="81"/>
            <rFont val="Tahoma"/>
            <family val="2"/>
          </rPr>
          <t xml:space="preserve">Selected Output Pull-down Resistor:
</t>
        </r>
        <r>
          <rPr>
            <sz val="9"/>
            <color indexed="81"/>
            <rFont val="Tahoma"/>
            <family val="2"/>
          </rPr>
          <t xml:space="preserve">Enter Selected Output Pull-down Resistor.
</t>
        </r>
        <r>
          <rPr>
            <b/>
            <sz val="9"/>
            <color indexed="81"/>
            <rFont val="Tahoma"/>
            <family val="2"/>
          </rPr>
          <t>Text in cell is flagged red if:</t>
        </r>
        <r>
          <rPr>
            <sz val="9"/>
            <color indexed="81"/>
            <rFont val="Tahoma"/>
            <family val="2"/>
          </rPr>
          <t xml:space="preserve">
Entered Selected Output Pull-down Resistor is not between 1 kΩ and 50 kΩ.</t>
        </r>
      </text>
    </comment>
    <comment ref="F55" authorId="0" shapeId="0" xr:uid="{B7D38879-E308-4882-B3EC-29F96E0F006F}">
      <text>
        <r>
          <rPr>
            <b/>
            <u/>
            <sz val="9"/>
            <color indexed="81"/>
            <rFont val="Tahoma"/>
            <family val="2"/>
          </rPr>
          <t xml:space="preserve">Recognized Output Current Limit:
</t>
        </r>
        <r>
          <rPr>
            <sz val="9"/>
            <color indexed="81"/>
            <rFont val="Tahoma"/>
            <family val="2"/>
          </rPr>
          <t xml:space="preserve">Recognized Output Current Limit based off the Battery Current Sense Resistor and Selected Output Pull-down Resistor. 
</t>
        </r>
        <r>
          <rPr>
            <b/>
            <sz val="9"/>
            <color indexed="81"/>
            <rFont val="Tahoma"/>
            <family val="2"/>
          </rPr>
          <t>Text in cell is flagged red if:</t>
        </r>
        <r>
          <rPr>
            <sz val="9"/>
            <color indexed="81"/>
            <rFont val="Tahoma"/>
            <family val="2"/>
          </rPr>
          <t xml:space="preserve">
The Recognized Output Current Limit is not within ±5% of Desired Output Current Limit.</t>
        </r>
      </text>
    </comment>
    <comment ref="F58" authorId="0" shapeId="0" xr:uid="{C1F68868-BEEC-4AC4-9E18-B244905D72A6}">
      <text>
        <r>
          <rPr>
            <b/>
            <u/>
            <sz val="9"/>
            <color indexed="81"/>
            <rFont val="Tahoma"/>
            <family val="2"/>
          </rPr>
          <t xml:space="preserve">Desired Input Overvoltage Limit:
</t>
        </r>
        <r>
          <rPr>
            <sz val="9"/>
            <color indexed="81"/>
            <rFont val="Tahoma"/>
            <family val="2"/>
          </rPr>
          <t>The input operating window is programmed via the ACUV and ACOV pins using a three-resistor divider from V</t>
        </r>
        <r>
          <rPr>
            <vertAlign val="subscript"/>
            <sz val="9"/>
            <color indexed="81"/>
            <rFont val="Tahoma"/>
            <family val="2"/>
          </rPr>
          <t>AC</t>
        </r>
        <r>
          <rPr>
            <sz val="9"/>
            <color indexed="81"/>
            <rFont val="Tahoma"/>
            <family val="2"/>
          </rPr>
          <t xml:space="preserve"> to PGND. When the input voltage is outside the programmed window, the device automatically stops switching, and the PG pin pulls HIGH.
</t>
        </r>
        <r>
          <rPr>
            <b/>
            <sz val="9"/>
            <color indexed="81"/>
            <rFont val="Tahoma"/>
            <family val="2"/>
          </rPr>
          <t>Note:</t>
        </r>
        <r>
          <rPr>
            <sz val="9"/>
            <color indexed="81"/>
            <rFont val="Tahoma"/>
            <family val="2"/>
          </rPr>
          <t xml:space="preserve"> The device also features an internal over-voltage protection preset at V</t>
        </r>
        <r>
          <rPr>
            <vertAlign val="subscript"/>
            <sz val="9"/>
            <color indexed="81"/>
            <rFont val="Tahoma"/>
            <family val="2"/>
          </rPr>
          <t>VAC_INT_OV</t>
        </r>
        <r>
          <rPr>
            <sz val="9"/>
            <color indexed="81"/>
            <rFont val="Tahoma"/>
            <family val="2"/>
          </rPr>
          <t>. When the input voltage rises above the lower of these two thresholds, the device disables the charger.</t>
        </r>
      </text>
    </comment>
    <comment ref="F59" authorId="0" shapeId="0" xr:uid="{89017203-5ED3-4165-AE58-8201DF9F379A}">
      <text>
        <r>
          <rPr>
            <b/>
            <u/>
            <sz val="9"/>
            <color indexed="81"/>
            <rFont val="Tahoma"/>
            <family val="2"/>
          </rPr>
          <t xml:space="preserve">Desired Input Undervoltage Limit:
</t>
        </r>
        <r>
          <rPr>
            <sz val="9"/>
            <color indexed="81"/>
            <rFont val="Tahoma"/>
            <family val="2"/>
          </rPr>
          <t>The input operating window is programmed via the ACUV and ACOV pins using a three-resistor divider from V</t>
        </r>
        <r>
          <rPr>
            <vertAlign val="subscript"/>
            <sz val="9"/>
            <color indexed="81"/>
            <rFont val="Tahoma"/>
            <family val="2"/>
          </rPr>
          <t>AC</t>
        </r>
        <r>
          <rPr>
            <sz val="9"/>
            <color indexed="81"/>
            <rFont val="Tahoma"/>
            <family val="2"/>
          </rPr>
          <t xml:space="preserve"> to PGND. When the input voltage is outside the programmed window, the device automatically stops switching, and the PG pin pulls HIGH.
</t>
        </r>
        <r>
          <rPr>
            <b/>
            <sz val="9"/>
            <color indexed="81"/>
            <rFont val="Tahoma"/>
            <family val="2"/>
          </rPr>
          <t>Note:</t>
        </r>
        <r>
          <rPr>
            <sz val="9"/>
            <color indexed="81"/>
            <rFont val="Tahoma"/>
            <family val="2"/>
          </rPr>
          <t xml:space="preserve"> If VAC_DPM register is programmed to a value higher than POR, the device regulates the V</t>
        </r>
        <r>
          <rPr>
            <vertAlign val="subscript"/>
            <sz val="9"/>
            <color indexed="81"/>
            <rFont val="Tahoma"/>
            <family val="2"/>
          </rPr>
          <t>AC</t>
        </r>
        <r>
          <rPr>
            <sz val="9"/>
            <color indexed="81"/>
            <rFont val="Tahoma"/>
            <family val="2"/>
          </rPr>
          <t xml:space="preserve"> voltage to the higher of VAC_DPM register or V</t>
        </r>
        <r>
          <rPr>
            <vertAlign val="subscript"/>
            <sz val="9"/>
            <color indexed="81"/>
            <rFont val="Tahoma"/>
            <family val="2"/>
          </rPr>
          <t>ACUV_DPM</t>
        </r>
        <r>
          <rPr>
            <sz val="9"/>
            <color indexed="81"/>
            <rFont val="Tahoma"/>
            <family val="2"/>
          </rPr>
          <t xml:space="preserve"> pin voltage. </t>
        </r>
      </text>
    </comment>
    <comment ref="F60" authorId="0" shapeId="0" xr:uid="{C067F047-8D22-46D2-91C0-317F81166323}">
      <text>
        <r>
          <rPr>
            <b/>
            <u/>
            <sz val="9"/>
            <color indexed="81"/>
            <rFont val="Tahoma"/>
            <family val="2"/>
          </rPr>
          <t>Recommended Top Resister:</t>
        </r>
        <r>
          <rPr>
            <u/>
            <sz val="9"/>
            <color indexed="81"/>
            <rFont val="Tahoma"/>
            <family val="2"/>
          </rPr>
          <t xml:space="preserve">
</t>
        </r>
        <r>
          <rPr>
            <sz val="9"/>
            <color indexed="81"/>
            <rFont val="Tahoma"/>
            <family val="2"/>
          </rPr>
          <t>The top resistor, R</t>
        </r>
        <r>
          <rPr>
            <vertAlign val="subscript"/>
            <sz val="9"/>
            <color indexed="81"/>
            <rFont val="Tahoma"/>
            <family val="2"/>
          </rPr>
          <t>AC1</t>
        </r>
        <r>
          <rPr>
            <sz val="9"/>
            <color indexed="81"/>
            <rFont val="Tahoma"/>
            <family val="2"/>
          </rPr>
          <t xml:space="preserve"> is typically selected as 1,000 kΩ to minimize the input voltage leakage current. The internal reference for the over-voltage threshold (VREF_ACOV) is 1.2 V. The internal reference for the under-voltage threshold (VREF_ACUV) is 1.1 V. 
The resistor divider required can be calculated as follows:
</t>
        </r>
        <r>
          <rPr>
            <b/>
            <sz val="9"/>
            <color indexed="81"/>
            <rFont val="Tahoma"/>
            <family val="2"/>
          </rPr>
          <t>V</t>
        </r>
        <r>
          <rPr>
            <b/>
            <vertAlign val="subscript"/>
            <sz val="9"/>
            <color indexed="81"/>
            <rFont val="Tahoma"/>
            <family val="2"/>
          </rPr>
          <t>VACOVP</t>
        </r>
        <r>
          <rPr>
            <b/>
            <sz val="9"/>
            <color indexed="81"/>
            <rFont val="Tahoma"/>
            <family val="2"/>
          </rPr>
          <t xml:space="preserve"> = 1.2V(R</t>
        </r>
        <r>
          <rPr>
            <b/>
            <vertAlign val="subscript"/>
            <sz val="9"/>
            <color indexed="81"/>
            <rFont val="Tahoma"/>
            <family val="2"/>
          </rPr>
          <t>AC1</t>
        </r>
        <r>
          <rPr>
            <b/>
            <sz val="9"/>
            <color indexed="81"/>
            <rFont val="Tahoma"/>
            <family val="2"/>
          </rPr>
          <t>+R</t>
        </r>
        <r>
          <rPr>
            <b/>
            <vertAlign val="subscript"/>
            <sz val="9"/>
            <color indexed="81"/>
            <rFont val="Tahoma"/>
            <family val="2"/>
          </rPr>
          <t>AC2</t>
        </r>
        <r>
          <rPr>
            <b/>
            <sz val="9"/>
            <color indexed="81"/>
            <rFont val="Tahoma"/>
            <family val="2"/>
          </rPr>
          <t>+R</t>
        </r>
        <r>
          <rPr>
            <b/>
            <vertAlign val="subscript"/>
            <sz val="9"/>
            <color indexed="81"/>
            <rFont val="Tahoma"/>
            <family val="2"/>
          </rPr>
          <t>AC3</t>
        </r>
        <r>
          <rPr>
            <b/>
            <sz val="9"/>
            <color indexed="81"/>
            <rFont val="Tahoma"/>
            <family val="2"/>
          </rPr>
          <t>)/R</t>
        </r>
        <r>
          <rPr>
            <b/>
            <vertAlign val="subscript"/>
            <sz val="9"/>
            <color indexed="81"/>
            <rFont val="Tahoma"/>
            <family val="2"/>
          </rPr>
          <t>AC3</t>
        </r>
        <r>
          <rPr>
            <b/>
            <sz val="9"/>
            <color indexed="81"/>
            <rFont val="Tahoma"/>
            <family val="2"/>
          </rPr>
          <t xml:space="preserve">
V</t>
        </r>
        <r>
          <rPr>
            <b/>
            <vertAlign val="subscript"/>
            <sz val="9"/>
            <color indexed="81"/>
            <rFont val="Tahoma"/>
            <family val="2"/>
          </rPr>
          <t>VACUVP</t>
        </r>
        <r>
          <rPr>
            <b/>
            <sz val="9"/>
            <color indexed="81"/>
            <rFont val="Tahoma"/>
            <family val="2"/>
          </rPr>
          <t xml:space="preserve"> = 1.1V(R</t>
        </r>
        <r>
          <rPr>
            <b/>
            <vertAlign val="subscript"/>
            <sz val="9"/>
            <color indexed="81"/>
            <rFont val="Tahoma"/>
            <family val="2"/>
          </rPr>
          <t>AC1</t>
        </r>
        <r>
          <rPr>
            <b/>
            <sz val="9"/>
            <color indexed="81"/>
            <rFont val="Tahoma"/>
            <family val="2"/>
          </rPr>
          <t>+R</t>
        </r>
        <r>
          <rPr>
            <b/>
            <vertAlign val="subscript"/>
            <sz val="9"/>
            <color indexed="81"/>
            <rFont val="Tahoma"/>
            <family val="2"/>
          </rPr>
          <t>AC2</t>
        </r>
        <r>
          <rPr>
            <b/>
            <sz val="9"/>
            <color indexed="81"/>
            <rFont val="Tahoma"/>
            <family val="2"/>
          </rPr>
          <t>+R</t>
        </r>
        <r>
          <rPr>
            <b/>
            <vertAlign val="subscript"/>
            <sz val="9"/>
            <color indexed="81"/>
            <rFont val="Tahoma"/>
            <family val="2"/>
          </rPr>
          <t>AC3</t>
        </r>
        <r>
          <rPr>
            <b/>
            <sz val="9"/>
            <color indexed="81"/>
            <rFont val="Tahoma"/>
            <family val="2"/>
          </rPr>
          <t>)/(R</t>
        </r>
        <r>
          <rPr>
            <b/>
            <vertAlign val="subscript"/>
            <sz val="9"/>
            <color indexed="81"/>
            <rFont val="Tahoma"/>
            <family val="2"/>
          </rPr>
          <t>AC2</t>
        </r>
        <r>
          <rPr>
            <b/>
            <sz val="9"/>
            <color indexed="81"/>
            <rFont val="Tahoma"/>
            <family val="2"/>
          </rPr>
          <t>+R</t>
        </r>
        <r>
          <rPr>
            <b/>
            <vertAlign val="subscript"/>
            <sz val="9"/>
            <color indexed="81"/>
            <rFont val="Tahoma"/>
            <family val="2"/>
          </rPr>
          <t>AC3</t>
        </r>
        <r>
          <rPr>
            <b/>
            <sz val="9"/>
            <color indexed="81"/>
            <rFont val="Tahoma"/>
            <family val="2"/>
          </rPr>
          <t>)</t>
        </r>
      </text>
    </comment>
    <comment ref="F61" authorId="0" shapeId="0" xr:uid="{67ABC96D-AD36-4B21-B271-4D83A1788047}">
      <text>
        <r>
          <rPr>
            <b/>
            <u/>
            <sz val="9"/>
            <color indexed="81"/>
            <rFont val="Tahoma"/>
            <family val="2"/>
          </rPr>
          <t>Recommended Middle Resister:</t>
        </r>
        <r>
          <rPr>
            <u/>
            <sz val="9"/>
            <color indexed="81"/>
            <rFont val="Tahoma"/>
            <family val="2"/>
          </rPr>
          <t xml:space="preserve">
</t>
        </r>
        <r>
          <rPr>
            <sz val="9"/>
            <color indexed="81"/>
            <rFont val="Tahoma"/>
            <family val="2"/>
          </rPr>
          <t xml:space="preserve">The resistor divider required can be calculated as follows:
</t>
        </r>
        <r>
          <rPr>
            <b/>
            <sz val="9"/>
            <color indexed="81"/>
            <rFont val="Tahoma"/>
            <family val="2"/>
          </rPr>
          <t>V</t>
        </r>
        <r>
          <rPr>
            <b/>
            <vertAlign val="subscript"/>
            <sz val="9"/>
            <color indexed="81"/>
            <rFont val="Tahoma"/>
            <family val="2"/>
          </rPr>
          <t>VACOVP</t>
        </r>
        <r>
          <rPr>
            <b/>
            <sz val="9"/>
            <color indexed="81"/>
            <rFont val="Tahoma"/>
            <family val="2"/>
          </rPr>
          <t xml:space="preserve"> = 1.2V(R</t>
        </r>
        <r>
          <rPr>
            <b/>
            <vertAlign val="subscript"/>
            <sz val="9"/>
            <color indexed="81"/>
            <rFont val="Tahoma"/>
            <family val="2"/>
          </rPr>
          <t>AC1</t>
        </r>
        <r>
          <rPr>
            <b/>
            <sz val="9"/>
            <color indexed="81"/>
            <rFont val="Tahoma"/>
            <family val="2"/>
          </rPr>
          <t>+R</t>
        </r>
        <r>
          <rPr>
            <b/>
            <vertAlign val="subscript"/>
            <sz val="9"/>
            <color indexed="81"/>
            <rFont val="Tahoma"/>
            <family val="2"/>
          </rPr>
          <t>AC2</t>
        </r>
        <r>
          <rPr>
            <b/>
            <sz val="9"/>
            <color indexed="81"/>
            <rFont val="Tahoma"/>
            <family val="2"/>
          </rPr>
          <t>+R</t>
        </r>
        <r>
          <rPr>
            <b/>
            <vertAlign val="subscript"/>
            <sz val="9"/>
            <color indexed="81"/>
            <rFont val="Tahoma"/>
            <family val="2"/>
          </rPr>
          <t>AC3</t>
        </r>
        <r>
          <rPr>
            <b/>
            <sz val="9"/>
            <color indexed="81"/>
            <rFont val="Tahoma"/>
            <family val="2"/>
          </rPr>
          <t>)/R</t>
        </r>
        <r>
          <rPr>
            <b/>
            <vertAlign val="subscript"/>
            <sz val="9"/>
            <color indexed="81"/>
            <rFont val="Tahoma"/>
            <family val="2"/>
          </rPr>
          <t>AC3</t>
        </r>
        <r>
          <rPr>
            <b/>
            <sz val="9"/>
            <color indexed="81"/>
            <rFont val="Tahoma"/>
            <family val="2"/>
          </rPr>
          <t xml:space="preserve">
V</t>
        </r>
        <r>
          <rPr>
            <b/>
            <vertAlign val="subscript"/>
            <sz val="9"/>
            <color indexed="81"/>
            <rFont val="Tahoma"/>
            <family val="2"/>
          </rPr>
          <t>VACUVP</t>
        </r>
        <r>
          <rPr>
            <b/>
            <sz val="9"/>
            <color indexed="81"/>
            <rFont val="Tahoma"/>
            <family val="2"/>
          </rPr>
          <t xml:space="preserve"> = 1.1V(R</t>
        </r>
        <r>
          <rPr>
            <b/>
            <vertAlign val="subscript"/>
            <sz val="9"/>
            <color indexed="81"/>
            <rFont val="Tahoma"/>
            <family val="2"/>
          </rPr>
          <t>AC1</t>
        </r>
        <r>
          <rPr>
            <b/>
            <sz val="9"/>
            <color indexed="81"/>
            <rFont val="Tahoma"/>
            <family val="2"/>
          </rPr>
          <t>+R</t>
        </r>
        <r>
          <rPr>
            <b/>
            <vertAlign val="subscript"/>
            <sz val="9"/>
            <color indexed="81"/>
            <rFont val="Tahoma"/>
            <family val="2"/>
          </rPr>
          <t>AC2</t>
        </r>
        <r>
          <rPr>
            <b/>
            <sz val="9"/>
            <color indexed="81"/>
            <rFont val="Tahoma"/>
            <family val="2"/>
          </rPr>
          <t>+R</t>
        </r>
        <r>
          <rPr>
            <b/>
            <vertAlign val="subscript"/>
            <sz val="9"/>
            <color indexed="81"/>
            <rFont val="Tahoma"/>
            <family val="2"/>
          </rPr>
          <t>AC3</t>
        </r>
        <r>
          <rPr>
            <b/>
            <sz val="9"/>
            <color indexed="81"/>
            <rFont val="Tahoma"/>
            <family val="2"/>
          </rPr>
          <t>)/(R</t>
        </r>
        <r>
          <rPr>
            <b/>
            <vertAlign val="subscript"/>
            <sz val="9"/>
            <color indexed="81"/>
            <rFont val="Tahoma"/>
            <family val="2"/>
          </rPr>
          <t>AC2</t>
        </r>
        <r>
          <rPr>
            <b/>
            <sz val="9"/>
            <color indexed="81"/>
            <rFont val="Tahoma"/>
            <family val="2"/>
          </rPr>
          <t>+R</t>
        </r>
        <r>
          <rPr>
            <b/>
            <vertAlign val="subscript"/>
            <sz val="9"/>
            <color indexed="81"/>
            <rFont val="Tahoma"/>
            <family val="2"/>
          </rPr>
          <t>AC3</t>
        </r>
        <r>
          <rPr>
            <b/>
            <sz val="9"/>
            <color indexed="81"/>
            <rFont val="Tahoma"/>
            <family val="2"/>
          </rPr>
          <t>)</t>
        </r>
      </text>
    </comment>
    <comment ref="F62" authorId="0" shapeId="0" xr:uid="{4CEDAF32-4105-4C82-8AF3-425855FC52EF}">
      <text>
        <r>
          <rPr>
            <b/>
            <u/>
            <sz val="9"/>
            <color indexed="81"/>
            <rFont val="Tahoma"/>
            <family val="2"/>
          </rPr>
          <t>Recommended Bottom Resister:</t>
        </r>
        <r>
          <rPr>
            <u/>
            <sz val="9"/>
            <color indexed="81"/>
            <rFont val="Tahoma"/>
            <family val="2"/>
          </rPr>
          <t xml:space="preserve">
</t>
        </r>
        <r>
          <rPr>
            <sz val="9"/>
            <color indexed="81"/>
            <rFont val="Tahoma"/>
            <family val="2"/>
          </rPr>
          <t xml:space="preserve">The resistor divider required can be calculated as follows:
</t>
        </r>
        <r>
          <rPr>
            <b/>
            <sz val="9"/>
            <color indexed="81"/>
            <rFont val="Tahoma"/>
            <family val="2"/>
          </rPr>
          <t>V</t>
        </r>
        <r>
          <rPr>
            <b/>
            <vertAlign val="subscript"/>
            <sz val="9"/>
            <color indexed="81"/>
            <rFont val="Tahoma"/>
            <family val="2"/>
          </rPr>
          <t>VACOVP</t>
        </r>
        <r>
          <rPr>
            <b/>
            <sz val="9"/>
            <color indexed="81"/>
            <rFont val="Tahoma"/>
            <family val="2"/>
          </rPr>
          <t xml:space="preserve"> = 1.2V(R</t>
        </r>
        <r>
          <rPr>
            <b/>
            <vertAlign val="subscript"/>
            <sz val="9"/>
            <color indexed="81"/>
            <rFont val="Tahoma"/>
            <family val="2"/>
          </rPr>
          <t>AC1</t>
        </r>
        <r>
          <rPr>
            <b/>
            <sz val="9"/>
            <color indexed="81"/>
            <rFont val="Tahoma"/>
            <family val="2"/>
          </rPr>
          <t>+R</t>
        </r>
        <r>
          <rPr>
            <b/>
            <vertAlign val="subscript"/>
            <sz val="9"/>
            <color indexed="81"/>
            <rFont val="Tahoma"/>
            <family val="2"/>
          </rPr>
          <t>AC2</t>
        </r>
        <r>
          <rPr>
            <b/>
            <sz val="9"/>
            <color indexed="81"/>
            <rFont val="Tahoma"/>
            <family val="2"/>
          </rPr>
          <t>+R</t>
        </r>
        <r>
          <rPr>
            <b/>
            <vertAlign val="subscript"/>
            <sz val="9"/>
            <color indexed="81"/>
            <rFont val="Tahoma"/>
            <family val="2"/>
          </rPr>
          <t>AC3</t>
        </r>
        <r>
          <rPr>
            <b/>
            <sz val="9"/>
            <color indexed="81"/>
            <rFont val="Tahoma"/>
            <family val="2"/>
          </rPr>
          <t>)/R</t>
        </r>
        <r>
          <rPr>
            <b/>
            <vertAlign val="subscript"/>
            <sz val="9"/>
            <color indexed="81"/>
            <rFont val="Tahoma"/>
            <family val="2"/>
          </rPr>
          <t>AC3</t>
        </r>
        <r>
          <rPr>
            <b/>
            <sz val="9"/>
            <color indexed="81"/>
            <rFont val="Tahoma"/>
            <family val="2"/>
          </rPr>
          <t xml:space="preserve">
V</t>
        </r>
        <r>
          <rPr>
            <b/>
            <vertAlign val="subscript"/>
            <sz val="9"/>
            <color indexed="81"/>
            <rFont val="Tahoma"/>
            <family val="2"/>
          </rPr>
          <t>VACUVP</t>
        </r>
        <r>
          <rPr>
            <b/>
            <sz val="9"/>
            <color indexed="81"/>
            <rFont val="Tahoma"/>
            <family val="2"/>
          </rPr>
          <t xml:space="preserve"> = 1.1V(R</t>
        </r>
        <r>
          <rPr>
            <b/>
            <vertAlign val="subscript"/>
            <sz val="9"/>
            <color indexed="81"/>
            <rFont val="Tahoma"/>
            <family val="2"/>
          </rPr>
          <t>AC1</t>
        </r>
        <r>
          <rPr>
            <b/>
            <sz val="9"/>
            <color indexed="81"/>
            <rFont val="Tahoma"/>
            <family val="2"/>
          </rPr>
          <t>+R</t>
        </r>
        <r>
          <rPr>
            <b/>
            <vertAlign val="subscript"/>
            <sz val="9"/>
            <color indexed="81"/>
            <rFont val="Tahoma"/>
            <family val="2"/>
          </rPr>
          <t>AC2</t>
        </r>
        <r>
          <rPr>
            <b/>
            <sz val="9"/>
            <color indexed="81"/>
            <rFont val="Tahoma"/>
            <family val="2"/>
          </rPr>
          <t>+R</t>
        </r>
        <r>
          <rPr>
            <b/>
            <vertAlign val="subscript"/>
            <sz val="9"/>
            <color indexed="81"/>
            <rFont val="Tahoma"/>
            <family val="2"/>
          </rPr>
          <t>AC3</t>
        </r>
        <r>
          <rPr>
            <b/>
            <sz val="9"/>
            <color indexed="81"/>
            <rFont val="Tahoma"/>
            <family val="2"/>
          </rPr>
          <t>)/(R</t>
        </r>
        <r>
          <rPr>
            <b/>
            <vertAlign val="subscript"/>
            <sz val="9"/>
            <color indexed="81"/>
            <rFont val="Tahoma"/>
            <family val="2"/>
          </rPr>
          <t>AC2</t>
        </r>
        <r>
          <rPr>
            <b/>
            <sz val="9"/>
            <color indexed="81"/>
            <rFont val="Tahoma"/>
            <family val="2"/>
          </rPr>
          <t>+R</t>
        </r>
        <r>
          <rPr>
            <b/>
            <vertAlign val="subscript"/>
            <sz val="9"/>
            <color indexed="81"/>
            <rFont val="Tahoma"/>
            <family val="2"/>
          </rPr>
          <t>AC3</t>
        </r>
        <r>
          <rPr>
            <b/>
            <sz val="9"/>
            <color indexed="81"/>
            <rFont val="Tahoma"/>
            <family val="2"/>
          </rPr>
          <t>)</t>
        </r>
      </text>
    </comment>
    <comment ref="F66" authorId="0" shapeId="0" xr:uid="{52E8F071-2B4C-4968-AFFC-7BCAB634FF22}">
      <text>
        <r>
          <rPr>
            <b/>
            <u/>
            <sz val="9"/>
            <color indexed="81"/>
            <rFont val="Tahoma"/>
            <family val="2"/>
          </rPr>
          <t xml:space="preserve">Recognized Input Overvoltage Limit:
</t>
        </r>
        <r>
          <rPr>
            <sz val="9"/>
            <color indexed="81"/>
            <rFont val="Tahoma"/>
            <family val="2"/>
          </rPr>
          <t>Recognized Input Overvoltage Limit based off R</t>
        </r>
        <r>
          <rPr>
            <vertAlign val="subscript"/>
            <sz val="9"/>
            <color indexed="81"/>
            <rFont val="Tahoma"/>
            <family val="2"/>
          </rPr>
          <t>AC1</t>
        </r>
        <r>
          <rPr>
            <sz val="9"/>
            <color indexed="81"/>
            <rFont val="Tahoma"/>
            <family val="2"/>
          </rPr>
          <t>, R</t>
        </r>
        <r>
          <rPr>
            <vertAlign val="subscript"/>
            <sz val="9"/>
            <color indexed="81"/>
            <rFont val="Tahoma"/>
            <family val="2"/>
          </rPr>
          <t>AC2</t>
        </r>
        <r>
          <rPr>
            <sz val="9"/>
            <color indexed="81"/>
            <rFont val="Tahoma"/>
            <family val="2"/>
          </rPr>
          <t>, and R</t>
        </r>
        <r>
          <rPr>
            <vertAlign val="subscript"/>
            <sz val="9"/>
            <color indexed="81"/>
            <rFont val="Tahoma"/>
            <family val="2"/>
          </rPr>
          <t>AC3</t>
        </r>
        <r>
          <rPr>
            <sz val="9"/>
            <color indexed="81"/>
            <rFont val="Tahoma"/>
            <family val="2"/>
          </rPr>
          <t xml:space="preserve">. 
</t>
        </r>
        <r>
          <rPr>
            <b/>
            <sz val="9"/>
            <color indexed="81"/>
            <rFont val="Tahoma"/>
            <family val="2"/>
          </rPr>
          <t>Text in cell is flagged red if:</t>
        </r>
        <r>
          <rPr>
            <sz val="9"/>
            <color indexed="81"/>
            <rFont val="Tahoma"/>
            <family val="2"/>
          </rPr>
          <t xml:space="preserve">
The Recognized Input Overvoltage Limit is not within ±5% of Desired Input Overvoltage Limit.</t>
        </r>
      </text>
    </comment>
    <comment ref="F67" authorId="0" shapeId="0" xr:uid="{46E90CD1-88B4-4679-A7E5-6B4971633007}">
      <text>
        <r>
          <rPr>
            <b/>
            <u/>
            <sz val="9"/>
            <color indexed="81"/>
            <rFont val="Tahoma"/>
            <family val="2"/>
          </rPr>
          <t xml:space="preserve">Recognized Input Undervoltage Limit:
</t>
        </r>
        <r>
          <rPr>
            <sz val="9"/>
            <color indexed="81"/>
            <rFont val="Tahoma"/>
            <family val="2"/>
          </rPr>
          <t>Recognized Input Undervoltage Limit based off R</t>
        </r>
        <r>
          <rPr>
            <vertAlign val="subscript"/>
            <sz val="9"/>
            <color indexed="81"/>
            <rFont val="Tahoma"/>
            <family val="2"/>
          </rPr>
          <t>AC1</t>
        </r>
        <r>
          <rPr>
            <sz val="9"/>
            <color indexed="81"/>
            <rFont val="Tahoma"/>
            <family val="2"/>
          </rPr>
          <t>, R</t>
        </r>
        <r>
          <rPr>
            <vertAlign val="subscript"/>
            <sz val="9"/>
            <color indexed="81"/>
            <rFont val="Tahoma"/>
            <family val="2"/>
          </rPr>
          <t>AC2</t>
        </r>
        <r>
          <rPr>
            <sz val="9"/>
            <color indexed="81"/>
            <rFont val="Tahoma"/>
            <family val="2"/>
          </rPr>
          <t>, and R</t>
        </r>
        <r>
          <rPr>
            <vertAlign val="subscript"/>
            <sz val="9"/>
            <color indexed="81"/>
            <rFont val="Tahoma"/>
            <family val="2"/>
          </rPr>
          <t>AC3</t>
        </r>
        <r>
          <rPr>
            <sz val="9"/>
            <color indexed="81"/>
            <rFont val="Tahoma"/>
            <family val="2"/>
          </rPr>
          <t xml:space="preserve">. 
</t>
        </r>
        <r>
          <rPr>
            <b/>
            <sz val="9"/>
            <color indexed="81"/>
            <rFont val="Tahoma"/>
            <family val="2"/>
          </rPr>
          <t>Text in cell is flagged red if:</t>
        </r>
        <r>
          <rPr>
            <sz val="9"/>
            <color indexed="81"/>
            <rFont val="Tahoma"/>
            <family val="2"/>
          </rPr>
          <t xml:space="preserve">
The Recognized Input Undervoltage Limit is not within ±5% of Desired Input Undervoltage Limit.</t>
        </r>
      </text>
    </comment>
    <comment ref="F70" authorId="0" shapeId="0" xr:uid="{E019C1C6-B088-41AE-B988-92C5A04A7687}">
      <text>
        <r>
          <rPr>
            <b/>
            <u/>
            <sz val="9"/>
            <color indexed="81"/>
            <rFont val="Tahoma"/>
            <family val="2"/>
          </rPr>
          <t xml:space="preserve">Desired Battery Regulation Target:
</t>
        </r>
        <r>
          <rPr>
            <sz val="9"/>
            <color indexed="81"/>
            <rFont val="Tahoma"/>
            <family val="2"/>
          </rPr>
          <t xml:space="preserve">The battery regulation voltage is programmed using a resistor divider to the FB pin. The default internal voltage reference is 1.536V, and can be changed via the VFB_REG register bits. The top of the resistor divider is recommended to be 249 kΩ.
The bottom resistor can be calculated as:
</t>
        </r>
        <r>
          <rPr>
            <b/>
            <sz val="9"/>
            <color indexed="81"/>
            <rFont val="Tahoma"/>
            <family val="2"/>
          </rPr>
          <t>R</t>
        </r>
        <r>
          <rPr>
            <b/>
            <vertAlign val="subscript"/>
            <sz val="9"/>
            <color indexed="81"/>
            <rFont val="Tahoma"/>
            <family val="2"/>
          </rPr>
          <t>FB_BOT</t>
        </r>
        <r>
          <rPr>
            <b/>
            <sz val="9"/>
            <color indexed="81"/>
            <rFont val="Tahoma"/>
            <family val="2"/>
          </rPr>
          <t xml:space="preserve"> = (R</t>
        </r>
        <r>
          <rPr>
            <b/>
            <vertAlign val="subscript"/>
            <sz val="9"/>
            <color indexed="81"/>
            <rFont val="Tahoma"/>
            <family val="2"/>
          </rPr>
          <t>FB_TOP</t>
        </r>
        <r>
          <rPr>
            <b/>
            <sz val="9"/>
            <color indexed="81"/>
            <rFont val="Tahoma"/>
            <family val="2"/>
          </rPr>
          <t>* V</t>
        </r>
        <r>
          <rPr>
            <b/>
            <vertAlign val="subscript"/>
            <sz val="9"/>
            <color indexed="81"/>
            <rFont val="Tahoma"/>
            <family val="2"/>
          </rPr>
          <t>FB</t>
        </r>
        <r>
          <rPr>
            <b/>
            <sz val="9"/>
            <color indexed="81"/>
            <rFont val="Tahoma"/>
            <family val="2"/>
          </rPr>
          <t xml:space="preserve"> / (V</t>
        </r>
        <r>
          <rPr>
            <b/>
            <vertAlign val="subscript"/>
            <sz val="9"/>
            <color indexed="81"/>
            <rFont val="Tahoma"/>
            <family val="2"/>
          </rPr>
          <t>BATREG</t>
        </r>
        <r>
          <rPr>
            <b/>
            <sz val="9"/>
            <color indexed="81"/>
            <rFont val="Tahoma"/>
            <family val="2"/>
          </rPr>
          <t xml:space="preserve"> - V</t>
        </r>
        <r>
          <rPr>
            <b/>
            <vertAlign val="subscript"/>
            <sz val="9"/>
            <color indexed="81"/>
            <rFont val="Tahoma"/>
            <family val="2"/>
          </rPr>
          <t>FB</t>
        </r>
        <r>
          <rPr>
            <b/>
            <sz val="9"/>
            <color indexed="81"/>
            <rFont val="Tahoma"/>
            <family val="2"/>
          </rPr>
          <t>) ) + R</t>
        </r>
        <r>
          <rPr>
            <b/>
            <vertAlign val="subscript"/>
            <sz val="9"/>
            <color indexed="81"/>
            <rFont val="Tahoma"/>
            <family val="2"/>
          </rPr>
          <t>FBG</t>
        </r>
        <r>
          <rPr>
            <sz val="9"/>
            <color indexed="81"/>
            <rFont val="Tahoma"/>
            <family val="2"/>
          </rPr>
          <t xml:space="preserve">
where:
V</t>
        </r>
        <r>
          <rPr>
            <vertAlign val="subscript"/>
            <sz val="9"/>
            <color indexed="81"/>
            <rFont val="Tahoma"/>
            <family val="2"/>
          </rPr>
          <t>FB</t>
        </r>
        <r>
          <rPr>
            <sz val="9"/>
            <color indexed="81"/>
            <rFont val="Tahoma"/>
            <family val="2"/>
          </rPr>
          <t xml:space="preserve"> is the target feedback voltage programmed through I2C (default 1.536V)
V</t>
        </r>
        <r>
          <rPr>
            <vertAlign val="subscript"/>
            <sz val="9"/>
            <color indexed="81"/>
            <rFont val="Tahoma"/>
            <family val="2"/>
          </rPr>
          <t>BATREG</t>
        </r>
        <r>
          <rPr>
            <sz val="9"/>
            <color indexed="81"/>
            <rFont val="Tahoma"/>
            <family val="2"/>
          </rPr>
          <t xml:space="preserve"> is the desired battery regulation target
R</t>
        </r>
        <r>
          <rPr>
            <vertAlign val="subscript"/>
            <sz val="9"/>
            <color indexed="81"/>
            <rFont val="Tahoma"/>
            <family val="2"/>
          </rPr>
          <t>FBG</t>
        </r>
        <r>
          <rPr>
            <sz val="9"/>
            <color indexed="81"/>
            <rFont val="Tahoma"/>
            <family val="2"/>
          </rPr>
          <t xml:space="preserve"> is the internal FBG pull-down resistor (33 Ω)
Further fine-tuning of the regulation voltage can be achieved by changing the internal feedback reference (V</t>
        </r>
        <r>
          <rPr>
            <vertAlign val="subscript"/>
            <sz val="9"/>
            <color indexed="81"/>
            <rFont val="Tahoma"/>
            <family val="2"/>
          </rPr>
          <t>FB</t>
        </r>
        <r>
          <rPr>
            <sz val="9"/>
            <color indexed="81"/>
            <rFont val="Tahoma"/>
            <family val="2"/>
          </rPr>
          <t>).</t>
        </r>
      </text>
    </comment>
    <comment ref="F72" authorId="2" shapeId="0" xr:uid="{B13F5A04-8CFF-4786-885C-FD6CE1551859}">
      <text>
        <r>
          <rPr>
            <b/>
            <u/>
            <sz val="9"/>
            <color indexed="81"/>
            <rFont val="Tahoma"/>
            <family val="2"/>
          </rPr>
          <t>R</t>
        </r>
        <r>
          <rPr>
            <b/>
            <u/>
            <vertAlign val="subscript"/>
            <sz val="9"/>
            <color indexed="81"/>
            <rFont val="Tahoma"/>
            <family val="2"/>
          </rPr>
          <t>FB_BOT</t>
        </r>
        <r>
          <rPr>
            <b/>
            <u/>
            <sz val="9"/>
            <color indexed="81"/>
            <rFont val="Tahoma"/>
            <family val="2"/>
          </rPr>
          <t>:</t>
        </r>
        <r>
          <rPr>
            <sz val="9"/>
            <color indexed="81"/>
            <rFont val="Tahoma"/>
            <family val="2"/>
          </rPr>
          <t xml:space="preserve">
This resistor value is calculated based on the default feedback voltage V</t>
        </r>
        <r>
          <rPr>
            <vertAlign val="subscript"/>
            <sz val="9"/>
            <color indexed="81"/>
            <rFont val="Tahoma"/>
            <family val="2"/>
          </rPr>
          <t>FB</t>
        </r>
        <r>
          <rPr>
            <sz val="9"/>
            <color indexed="81"/>
            <rFont val="Tahoma"/>
            <family val="2"/>
          </rPr>
          <t xml:space="preserve"> = 1.536V
</t>
        </r>
      </text>
    </comment>
    <comment ref="F73" authorId="2" shapeId="0" xr:uid="{26109D4A-88E7-456B-86FE-1C4C56E9A95E}">
      <text>
        <r>
          <rPr>
            <b/>
            <u/>
            <sz val="9"/>
            <color indexed="81"/>
            <rFont val="Tahoma"/>
            <family val="2"/>
          </rPr>
          <t>V</t>
        </r>
        <r>
          <rPr>
            <b/>
            <u/>
            <vertAlign val="subscript"/>
            <sz val="9"/>
            <color indexed="81"/>
            <rFont val="Tahoma"/>
            <family val="2"/>
          </rPr>
          <t>FB</t>
        </r>
        <r>
          <rPr>
            <b/>
            <u/>
            <sz val="9"/>
            <color indexed="81"/>
            <rFont val="Tahoma"/>
            <family val="2"/>
          </rPr>
          <t xml:space="preserve"> adjustment:</t>
        </r>
        <r>
          <rPr>
            <sz val="9"/>
            <color indexed="81"/>
            <rFont val="Tahoma"/>
            <family val="2"/>
          </rPr>
          <t xml:space="preserve">
Based on the recommended R</t>
        </r>
        <r>
          <rPr>
            <vertAlign val="subscript"/>
            <sz val="9"/>
            <color indexed="81"/>
            <rFont val="Tahoma"/>
            <family val="2"/>
          </rPr>
          <t>FB_BOT</t>
        </r>
        <r>
          <rPr>
            <sz val="9"/>
            <color indexed="81"/>
            <rFont val="Tahoma"/>
            <family val="2"/>
          </rPr>
          <t xml:space="preserve"> resistor, V</t>
        </r>
        <r>
          <rPr>
            <vertAlign val="subscript"/>
            <sz val="9"/>
            <color indexed="81"/>
            <rFont val="Tahoma"/>
            <family val="2"/>
          </rPr>
          <t>FB</t>
        </r>
        <r>
          <rPr>
            <sz val="9"/>
            <color indexed="81"/>
            <rFont val="Tahoma"/>
            <family val="2"/>
          </rPr>
          <t xml:space="preserve"> register is recommened to be set to this value through I2C for accurate battery target voltage regulation.</t>
        </r>
      </text>
    </comment>
    <comment ref="F76" authorId="0" shapeId="0" xr:uid="{ABBB25A8-5587-4F44-A6B1-D8C4E95695A0}">
      <text>
        <r>
          <rPr>
            <b/>
            <u/>
            <sz val="9"/>
            <color indexed="81"/>
            <rFont val="Tahoma"/>
            <family val="2"/>
          </rPr>
          <t xml:space="preserve">Selected Target Feedback Voltage:
</t>
        </r>
        <r>
          <rPr>
            <sz val="9"/>
            <color indexed="81"/>
            <rFont val="Tahoma"/>
            <family val="2"/>
          </rPr>
          <t xml:space="preserve">The default internal voltage reference is 1.536 V, and can be changed via the VFB_REG register bits. 
Range: 1.504 V to 1.566 V
Bit Step: 2 mV
</t>
        </r>
      </text>
    </comment>
    <comment ref="F77" authorId="0" shapeId="0" xr:uid="{865F7ED6-60EF-41C9-947F-B6E59284A208}">
      <text>
        <r>
          <rPr>
            <b/>
            <u/>
            <sz val="9"/>
            <color indexed="81"/>
            <rFont val="Tahoma"/>
            <family val="2"/>
          </rPr>
          <t xml:space="preserve">Recognized Battery Regulation Target:
</t>
        </r>
        <r>
          <rPr>
            <sz val="9"/>
            <color indexed="81"/>
            <rFont val="Tahoma"/>
            <family val="2"/>
          </rPr>
          <t xml:space="preserve">Recognized Battery Regulation Target based of the Selected Feedback Top and Bottom Resistors. 
</t>
        </r>
        <r>
          <rPr>
            <b/>
            <sz val="9"/>
            <color indexed="81"/>
            <rFont val="Tahoma"/>
            <family val="2"/>
          </rPr>
          <t xml:space="preserve">
Text in cell is flagged red if:</t>
        </r>
        <r>
          <rPr>
            <sz val="9"/>
            <color indexed="81"/>
            <rFont val="Tahoma"/>
            <family val="2"/>
          </rPr>
          <t xml:space="preserve">
The Recognized Battery Regulation Target is not within ±0.5% of the Desired Battery Regulation Target.</t>
        </r>
      </text>
    </comment>
    <comment ref="A79" authorId="0" shapeId="0" xr:uid="{0B92D508-E951-4EE4-A8BF-686DF646A5B6}">
      <text>
        <r>
          <rPr>
            <b/>
            <u/>
            <sz val="9"/>
            <color indexed="81"/>
            <rFont val="Tahoma"/>
            <family val="2"/>
          </rPr>
          <t>Thermistor Qualification:</t>
        </r>
        <r>
          <rPr>
            <sz val="9"/>
            <color indexed="81"/>
            <rFont val="Tahoma"/>
            <family val="2"/>
          </rPr>
          <t xml:space="preserve">
The charger device provides a single thermistor input for battery temperature monitor through the TS pin. The voltage on the TS pin must be within the VT1 to VT5 thresholds to initiate a charge cycle. If the TS voltage exceeds the T1-T5 range, the controller suspends charging and waits until the battery temperature is within the T1 to T5 range. 
For further guidance, please refer to the </t>
        </r>
        <r>
          <rPr>
            <b/>
            <sz val="9"/>
            <color indexed="81"/>
            <rFont val="Tahoma"/>
            <family val="2"/>
          </rPr>
          <t>7.3.4.7 Thermistor Qualification</t>
        </r>
        <r>
          <rPr>
            <sz val="9"/>
            <color indexed="81"/>
            <rFont val="Tahoma"/>
            <family val="2"/>
          </rPr>
          <t xml:space="preserve"> section of the datasheet. </t>
        </r>
      </text>
    </comment>
    <comment ref="F80" authorId="0" shapeId="0" xr:uid="{33E9653D-0430-4808-9C73-89C6CD33291E}">
      <text>
        <r>
          <rPr>
            <b/>
            <u/>
            <sz val="9"/>
            <color indexed="81"/>
            <rFont val="Tahoma"/>
            <family val="2"/>
          </rPr>
          <t>Selected Cold Temperature Threshold:</t>
        </r>
        <r>
          <rPr>
            <b/>
            <sz val="9"/>
            <color indexed="81"/>
            <rFont val="Tahoma"/>
            <family val="2"/>
          </rPr>
          <t xml:space="preserve">
</t>
        </r>
        <r>
          <rPr>
            <sz val="9"/>
            <color indexed="81"/>
            <rFont val="Tahoma"/>
            <family val="2"/>
          </rPr>
          <t>The Selected Cold Temperature Threshold is the T1 threshold that the charger will operate in. To set this value, set the TS_T1 bits in the REG0x1B TS_Charging_Threshold_Control Register.
For further guidance on the Thermistor Qualification, please see the note on the "Step 8: Thermistor Qualification" cell.</t>
        </r>
      </text>
    </comment>
    <comment ref="F81" authorId="0" shapeId="0" xr:uid="{736AE559-90E8-4328-9066-F0ECA95F8209}">
      <text>
        <r>
          <rPr>
            <b/>
            <u/>
            <sz val="9"/>
            <color indexed="81"/>
            <rFont val="Tahoma"/>
            <family val="2"/>
          </rPr>
          <t>Selected Hot Temperature Threshold:</t>
        </r>
        <r>
          <rPr>
            <b/>
            <sz val="9"/>
            <color indexed="81"/>
            <rFont val="Tahoma"/>
            <family val="2"/>
          </rPr>
          <t xml:space="preserve">
</t>
        </r>
        <r>
          <rPr>
            <sz val="9"/>
            <color indexed="81"/>
            <rFont val="Tahoma"/>
            <family val="2"/>
          </rPr>
          <t>The Selected Hot Temperature Threshold is the T5 threshold that the charger will operate in. To set this value, set the TS_T5 bits in the REG0x1B TS_Charging_Threshold_Control Register.
For further guidance on the Thermistor Qualification, please see the note on the "Step 8: Thermistor Qualification" cell.</t>
        </r>
      </text>
    </comment>
    <comment ref="F82" authorId="0" shapeId="0" xr:uid="{835201C3-6CA3-4A5D-8DAD-0B98E1246C11}">
      <text>
        <r>
          <rPr>
            <b/>
            <u/>
            <sz val="9"/>
            <color indexed="81"/>
            <rFont val="Tahoma"/>
            <family val="2"/>
          </rPr>
          <t>Selected Thermistor Cold Resistance:</t>
        </r>
        <r>
          <rPr>
            <sz val="9"/>
            <color indexed="81"/>
            <rFont val="Tahoma"/>
            <family val="2"/>
          </rPr>
          <t xml:space="preserve">
Resistance of the chosen thermistor at the Selected Cold Temperature threshold. This can be found in the Thermistor's datasheet.</t>
        </r>
      </text>
    </comment>
    <comment ref="F83" authorId="0" shapeId="0" xr:uid="{055F69C6-E056-4F0F-B048-AD2FEADEBA9F}">
      <text>
        <r>
          <rPr>
            <b/>
            <u/>
            <sz val="9"/>
            <color indexed="81"/>
            <rFont val="Tahoma"/>
            <family val="2"/>
          </rPr>
          <t>Selected Thermistor Hot Resistance:</t>
        </r>
        <r>
          <rPr>
            <sz val="9"/>
            <color indexed="81"/>
            <rFont val="Tahoma"/>
            <family val="2"/>
          </rPr>
          <t xml:space="preserve">
Resistance of the chosen thermistor at the Selected Hot Temperature threshold. This can be found in the Thermistor's datasheet.</t>
        </r>
      </text>
    </comment>
    <comment ref="F84" authorId="0" shapeId="0" xr:uid="{C66E1830-2C68-4D29-BF39-B06EEA76BD88}">
      <text>
        <r>
          <rPr>
            <b/>
            <u/>
            <sz val="9"/>
            <color indexed="81"/>
            <rFont val="Tahoma"/>
            <family val="2"/>
          </rPr>
          <t>Recommended TS Top Resistor:</t>
        </r>
        <r>
          <rPr>
            <sz val="9"/>
            <color indexed="81"/>
            <rFont val="Tahoma"/>
            <family val="2"/>
          </rPr>
          <t xml:space="preserve">
Recommended TS Top Resistor in order for the charger to operate in the Selected Temperature thresholds. The resistors used, need to be as close to the recommended values as possible or else the actual thresholds will vary.
RT1 and RT2 are calculated with the following equations:
                   RTH</t>
        </r>
        <r>
          <rPr>
            <vertAlign val="subscript"/>
            <sz val="9"/>
            <color indexed="81"/>
            <rFont val="Tahoma"/>
            <family val="2"/>
          </rPr>
          <t>COLD</t>
        </r>
        <r>
          <rPr>
            <sz val="9"/>
            <color indexed="81"/>
            <rFont val="Tahoma"/>
            <family val="2"/>
          </rPr>
          <t xml:space="preserve"> * RTH</t>
        </r>
        <r>
          <rPr>
            <vertAlign val="subscript"/>
            <sz val="9"/>
            <color indexed="81"/>
            <rFont val="Tahoma"/>
            <family val="2"/>
          </rPr>
          <t xml:space="preserve">HOT </t>
        </r>
        <r>
          <rPr>
            <sz val="9"/>
            <color indexed="81"/>
            <rFont val="Tahoma"/>
            <family val="2"/>
          </rPr>
          <t>* (1/VT1-1/VT5)
RT2 = -----------------------------------------------------------------
          RTH</t>
        </r>
        <r>
          <rPr>
            <vertAlign val="subscript"/>
            <sz val="9"/>
            <color indexed="81"/>
            <rFont val="Tahoma"/>
            <family val="2"/>
          </rPr>
          <t>HOT</t>
        </r>
        <r>
          <rPr>
            <sz val="9"/>
            <color indexed="81"/>
            <rFont val="Tahoma"/>
            <family val="2"/>
          </rPr>
          <t xml:space="preserve"> * (1/VT5 - 1) - RTH</t>
        </r>
        <r>
          <rPr>
            <vertAlign val="subscript"/>
            <sz val="9"/>
            <color indexed="81"/>
            <rFont val="Tahoma"/>
            <family val="2"/>
          </rPr>
          <t>COLD</t>
        </r>
        <r>
          <rPr>
            <sz val="9"/>
            <color indexed="81"/>
            <rFont val="Tahoma"/>
            <family val="2"/>
          </rPr>
          <t xml:space="preserve"> * (1/VT1 - 1)
                  1/VT1 - 1
RT1 = -------------------------------
            1/RT2 + 1/RTH</t>
        </r>
        <r>
          <rPr>
            <vertAlign val="subscript"/>
            <sz val="9"/>
            <color indexed="81"/>
            <rFont val="Tahoma"/>
            <family val="2"/>
          </rPr>
          <t>COLD</t>
        </r>
        <r>
          <rPr>
            <sz val="9"/>
            <color indexed="81"/>
            <rFont val="Tahoma"/>
            <family val="2"/>
          </rPr>
          <t xml:space="preserve"> 
where VT1 and VT5 are the voltage thresholds that the charger will operate in. VT1 and VT5 can be calculated by multiplying the REGN voltage by the corresponding temperature threshold control ratio. This threshold control ratio can be found in </t>
        </r>
        <r>
          <rPr>
            <b/>
            <sz val="9"/>
            <color indexed="81"/>
            <rFont val="Tahoma"/>
            <family val="2"/>
          </rPr>
          <t>Table 7-23. REG0x1b_TS_Chargin_Threshold_Control Register Field Descriptions.</t>
        </r>
      </text>
    </comment>
    <comment ref="F85" authorId="0" shapeId="0" xr:uid="{4F7BEF7B-2B0B-4DB5-B489-A094351B7E1E}">
      <text>
        <r>
          <rPr>
            <b/>
            <u/>
            <sz val="9"/>
            <color indexed="81"/>
            <rFont val="Tahoma"/>
            <family val="2"/>
          </rPr>
          <t>Recommended TS Bottom Resistor:</t>
        </r>
        <r>
          <rPr>
            <sz val="9"/>
            <color indexed="81"/>
            <rFont val="Tahoma"/>
            <family val="2"/>
          </rPr>
          <t xml:space="preserve">
Recommended TS Top Resistor in order for the charger to operate in the Selected Temperature thresholds. The resistors used, need to be as close to the recommended values as possible or else the actual thresholds will vary.
RT1 and RT2 are calculated with the following equations:
                   RTH</t>
        </r>
        <r>
          <rPr>
            <vertAlign val="subscript"/>
            <sz val="9"/>
            <color indexed="81"/>
            <rFont val="Tahoma"/>
            <family val="2"/>
          </rPr>
          <t>COLD</t>
        </r>
        <r>
          <rPr>
            <sz val="9"/>
            <color indexed="81"/>
            <rFont val="Tahoma"/>
            <family val="2"/>
          </rPr>
          <t xml:space="preserve"> * RTH</t>
        </r>
        <r>
          <rPr>
            <vertAlign val="subscript"/>
            <sz val="9"/>
            <color indexed="81"/>
            <rFont val="Tahoma"/>
            <family val="2"/>
          </rPr>
          <t xml:space="preserve">HOT </t>
        </r>
        <r>
          <rPr>
            <sz val="9"/>
            <color indexed="81"/>
            <rFont val="Tahoma"/>
            <family val="2"/>
          </rPr>
          <t>* (1/VT1-1/VT5)
RT2 = -----------------------------------------------------------------
          RTH</t>
        </r>
        <r>
          <rPr>
            <vertAlign val="subscript"/>
            <sz val="9"/>
            <color indexed="81"/>
            <rFont val="Tahoma"/>
            <family val="2"/>
          </rPr>
          <t>HOT</t>
        </r>
        <r>
          <rPr>
            <sz val="9"/>
            <color indexed="81"/>
            <rFont val="Tahoma"/>
            <family val="2"/>
          </rPr>
          <t xml:space="preserve"> * (1/VT5 - 1) - RTH</t>
        </r>
        <r>
          <rPr>
            <vertAlign val="subscript"/>
            <sz val="9"/>
            <color indexed="81"/>
            <rFont val="Tahoma"/>
            <family val="2"/>
          </rPr>
          <t>COLD</t>
        </r>
        <r>
          <rPr>
            <sz val="9"/>
            <color indexed="81"/>
            <rFont val="Tahoma"/>
            <family val="2"/>
          </rPr>
          <t xml:space="preserve"> * (1/VT1 - 1)
                  1/VT1 - 1
RT1 = -------------------------------
            1/RT2 + 1/RTH</t>
        </r>
        <r>
          <rPr>
            <vertAlign val="subscript"/>
            <sz val="9"/>
            <color indexed="81"/>
            <rFont val="Tahoma"/>
            <family val="2"/>
          </rPr>
          <t>COLD</t>
        </r>
        <r>
          <rPr>
            <sz val="9"/>
            <color indexed="81"/>
            <rFont val="Tahoma"/>
            <family val="2"/>
          </rPr>
          <t xml:space="preserve"> 
where VT1 and VT5 are the voltage thresholds that the charger will operate in. VT1 and VT5 can be calculated by multiplying the REGN voltage by the corresponding temperature threshold control ratio. This threshold control ratio can be found in </t>
        </r>
        <r>
          <rPr>
            <b/>
            <sz val="9"/>
            <color indexed="81"/>
            <rFont val="Tahoma"/>
            <family val="2"/>
          </rPr>
          <t>Table 7-23. REG0x1b_TS_Chargin_Threshold_Control Register Field Descriptions.</t>
        </r>
      </text>
    </comment>
    <comment ref="F88" authorId="0" shapeId="0" xr:uid="{23428B91-2E50-459F-8EA6-65831174376C}">
      <text>
        <r>
          <rPr>
            <b/>
            <u/>
            <sz val="9"/>
            <color indexed="81"/>
            <rFont val="Tahoma"/>
            <family val="2"/>
          </rPr>
          <t xml:space="preserve">Desired Operation:
</t>
        </r>
        <r>
          <rPr>
            <sz val="9"/>
            <color indexed="81"/>
            <rFont val="Tahoma"/>
            <family val="2"/>
          </rPr>
          <t xml:space="preserve">The MODE pin can be used to configure the device as either a Buck-Boost or Buck-Only configuration. When configured as Buck-Only typical inductor value used must be provided to appropriately compensate the converter. 
The Recommended MODE Resistance should be used to get the Desired Operation with the proper converter compensation for the Selected Inductance. 
At POR, the device detects the MODE pin pull down resistance, then sets the device operating mode as shown below. The MODE pin resistance detection is only done one time at the device POR, after that, the charger will not sense the MODE pin voltage anymore. 
Refer to section </t>
        </r>
        <r>
          <rPr>
            <b/>
            <sz val="9"/>
            <color indexed="81"/>
            <rFont val="Tahoma"/>
            <family val="2"/>
          </rPr>
          <t>7.3.3.2 MODE Pin Configuration</t>
        </r>
        <r>
          <rPr>
            <sz val="9"/>
            <color indexed="81"/>
            <rFont val="Tahoma"/>
            <family val="2"/>
          </rPr>
          <t xml:space="preserve"> of the datasheet for further guidance. </t>
        </r>
      </text>
    </comment>
    <comment ref="F93" authorId="0" shapeId="0" xr:uid="{C6337D27-3B49-4FDF-9588-B43C67F9FF18}">
      <text>
        <r>
          <rPr>
            <b/>
            <u/>
            <sz val="9"/>
            <color indexed="81"/>
            <rFont val="Tahoma"/>
            <family val="2"/>
          </rPr>
          <t xml:space="preserve">Recognized Operation:
</t>
        </r>
        <r>
          <rPr>
            <sz val="9"/>
            <color indexed="81"/>
            <rFont val="Tahoma"/>
            <family val="2"/>
          </rPr>
          <t xml:space="preserve">This is the Operation recognized after POR and is solely based off MODE Resistance. 
</t>
        </r>
        <r>
          <rPr>
            <b/>
            <sz val="9"/>
            <color indexed="81"/>
            <rFont val="Tahoma"/>
            <family val="2"/>
          </rPr>
          <t xml:space="preserve">Text in this cell is flagged red if:
</t>
        </r>
        <r>
          <rPr>
            <sz val="9"/>
            <color indexed="81"/>
            <rFont val="Tahoma"/>
            <family val="2"/>
          </rPr>
          <t xml:space="preserve">The value in the cell does not match the Desired Operation.
</t>
        </r>
        <r>
          <rPr>
            <b/>
            <sz val="9"/>
            <color indexed="81"/>
            <rFont val="Tahoma"/>
            <family val="2"/>
          </rPr>
          <t xml:space="preserve">Text in this cell is flagged Undefined if:
</t>
        </r>
        <r>
          <rPr>
            <sz val="9"/>
            <color indexed="81"/>
            <rFont val="Tahoma"/>
            <family val="2"/>
          </rPr>
          <t xml:space="preserve">MODE resistance fall in between two valid MODE resistance ranges that would result in an Undefined MODE. </t>
        </r>
      </text>
    </comment>
    <comment ref="F94" authorId="0" shapeId="0" xr:uid="{C1C3B86D-8ADC-40C3-9624-5AD7D6DB45F9}">
      <text>
        <r>
          <rPr>
            <b/>
            <u/>
            <sz val="9"/>
            <color indexed="81"/>
            <rFont val="Tahoma"/>
            <family val="2"/>
          </rPr>
          <t>Recognized Nominal Inductance:</t>
        </r>
        <r>
          <rPr>
            <sz val="9"/>
            <color indexed="81"/>
            <rFont val="Tahoma"/>
            <family val="2"/>
          </rPr>
          <t xml:space="preserve">
This is the Nominal Inductance recognized after POR and is solely based off MODE Resistance. 
</t>
        </r>
        <r>
          <rPr>
            <b/>
            <sz val="9"/>
            <color indexed="81"/>
            <rFont val="Tahoma"/>
            <family val="2"/>
          </rPr>
          <t xml:space="preserve">
Text in this cell is flagged red if:</t>
        </r>
        <r>
          <rPr>
            <sz val="9"/>
            <color indexed="81"/>
            <rFont val="Tahoma"/>
            <family val="2"/>
          </rPr>
          <t xml:space="preserve">
The MODE Resistance does not fall in between the recommended MODE Resistance range. If the MODE Resistance is not in this recommended range, then the converter will not be compensated properly.
</t>
        </r>
        <r>
          <rPr>
            <b/>
            <sz val="9"/>
            <color indexed="81"/>
            <rFont val="Tahoma"/>
            <family val="2"/>
          </rPr>
          <t>Text in this cell is flagged Undefined if:</t>
        </r>
        <r>
          <rPr>
            <sz val="9"/>
            <color indexed="81"/>
            <rFont val="Tahoma"/>
            <family val="2"/>
          </rPr>
          <t xml:space="preserve">
MODE resistance fall in between two valid MODE resistance ranges that would result in an Undefined MODE. </t>
        </r>
      </text>
    </comment>
    <comment ref="F95" authorId="0" shapeId="0" xr:uid="{37232F35-6273-4CFB-92AF-A3D8A0A8B057}">
      <text>
        <r>
          <rPr>
            <b/>
            <u/>
            <sz val="9"/>
            <color indexed="81"/>
            <rFont val="Tahoma"/>
            <family val="2"/>
          </rPr>
          <t>Minimum Inductor DCR:</t>
        </r>
        <r>
          <rPr>
            <sz val="9"/>
            <color indexed="81"/>
            <rFont val="Tahoma"/>
            <family val="2"/>
          </rPr>
          <t xml:space="preserve">
This is the Minimum Inductor DCR recommended for the Selected Inductance. 
</t>
        </r>
        <r>
          <rPr>
            <b/>
            <sz val="9"/>
            <color indexed="81"/>
            <rFont val="Tahoma"/>
            <family val="2"/>
          </rPr>
          <t xml:space="preserve">
Text in this cell is flagged red if:</t>
        </r>
        <r>
          <rPr>
            <sz val="9"/>
            <color indexed="81"/>
            <rFont val="Tahoma"/>
            <family val="2"/>
          </rPr>
          <t xml:space="preserve">
The MODE Resistance does not fall in between the recommended MODE Resistance range. If the MODE Resistance is not in this recommended range, then the converter will not be compensated properly.
</t>
        </r>
        <r>
          <rPr>
            <b/>
            <sz val="9"/>
            <color indexed="81"/>
            <rFont val="Tahoma"/>
            <family val="2"/>
          </rPr>
          <t>Text in this cell is flagged Undefined if:</t>
        </r>
        <r>
          <rPr>
            <sz val="9"/>
            <color indexed="81"/>
            <rFont val="Tahoma"/>
            <family val="2"/>
          </rPr>
          <t xml:space="preserve">
MODE resistance fall in between two valid MODE resistance ranges that would result in an Undefined MODE. </t>
        </r>
      </text>
    </comment>
    <comment ref="F96" authorId="0" shapeId="0" xr:uid="{F0405EF6-8294-4456-8D9C-2EBC42833C65}">
      <text>
        <r>
          <rPr>
            <b/>
            <u/>
            <sz val="9"/>
            <color indexed="81"/>
            <rFont val="Tahoma"/>
            <family val="2"/>
          </rPr>
          <t>Maximum Inductor DCR:</t>
        </r>
        <r>
          <rPr>
            <sz val="9"/>
            <color indexed="81"/>
            <rFont val="Tahoma"/>
            <family val="2"/>
          </rPr>
          <t xml:space="preserve">
This is the Maximum Inductor DCR recommended for the Selected Inductance. 
</t>
        </r>
        <r>
          <rPr>
            <b/>
            <sz val="9"/>
            <color indexed="81"/>
            <rFont val="Tahoma"/>
            <family val="2"/>
          </rPr>
          <t xml:space="preserve">
Text in this cell is flagged red if:</t>
        </r>
        <r>
          <rPr>
            <sz val="9"/>
            <color indexed="81"/>
            <rFont val="Tahoma"/>
            <family val="2"/>
          </rPr>
          <t xml:space="preserve">
The MODE Resistance does not fall in between the recommended MODE Resistance range. If the MODE Resistance is not in this recommended range, then the converter will not be compensated properly.
</t>
        </r>
        <r>
          <rPr>
            <b/>
            <sz val="9"/>
            <color indexed="81"/>
            <rFont val="Tahoma"/>
            <family val="2"/>
          </rPr>
          <t xml:space="preserve">
Text in this cell is flagged Undefined if:</t>
        </r>
        <r>
          <rPr>
            <sz val="9"/>
            <color indexed="81"/>
            <rFont val="Tahoma"/>
            <family val="2"/>
          </rPr>
          <t xml:space="preserve">
MODE resistance fall in between two valid MODE resistance ranges that would result in an Undefined MODE. </t>
        </r>
      </text>
    </comment>
    <comment ref="F100" authorId="0" shapeId="0" xr:uid="{5CF4E940-827F-4361-8E05-1FC5C035B917}">
      <text>
        <r>
          <rPr>
            <b/>
            <u/>
            <sz val="9"/>
            <color indexed="81"/>
            <rFont val="Tahoma"/>
            <family val="2"/>
          </rPr>
          <t>Input Capacitance:</t>
        </r>
        <r>
          <rPr>
            <sz val="9"/>
            <color indexed="81"/>
            <rFont val="Tahoma"/>
            <family val="2"/>
          </rPr>
          <t xml:space="preserve">
Input capacitor should have enough ripple current rating to absorb input switching ripple current. The worse case RMS ripple current is half of the output when duty cycle is 0.5 in forward buck mode, or reverse boost mode. If the converter does not operate at 50% duty cycle, then worst case capacitor RMS current occurs where the duty cycle is closest to 50% and can be estimated by:
</t>
        </r>
        <r>
          <rPr>
            <b/>
            <sz val="9"/>
            <color indexed="81"/>
            <rFont val="Tahoma"/>
            <family val="2"/>
          </rPr>
          <t xml:space="preserve">
I</t>
        </r>
        <r>
          <rPr>
            <b/>
            <vertAlign val="subscript"/>
            <sz val="9"/>
            <color indexed="81"/>
            <rFont val="Tahoma"/>
            <family val="2"/>
          </rPr>
          <t>CIN</t>
        </r>
        <r>
          <rPr>
            <b/>
            <sz val="9"/>
            <color indexed="81"/>
            <rFont val="Tahoma"/>
            <family val="2"/>
          </rPr>
          <t xml:space="preserve"> = I</t>
        </r>
        <r>
          <rPr>
            <b/>
            <vertAlign val="subscript"/>
            <sz val="9"/>
            <color indexed="81"/>
            <rFont val="Tahoma"/>
            <family val="2"/>
          </rPr>
          <t>CHG</t>
        </r>
        <r>
          <rPr>
            <b/>
            <sz val="9"/>
            <color indexed="81"/>
            <rFont val="Tahoma"/>
            <family val="2"/>
          </rPr>
          <t xml:space="preserve"> * sqrt(D*(1-D))</t>
        </r>
        <r>
          <rPr>
            <sz val="9"/>
            <color indexed="81"/>
            <rFont val="Tahoma"/>
            <family val="2"/>
          </rPr>
          <t xml:space="preserve">
A combination of ceramic and bulk capacitors should be used to provide a short path of high di/dt current and to reduce the voltage ripple. Ceramic capacitors should be placed close to the switching half-bridge. Given total bulk input capacitance, it is recommended to distribute equally on either side of R</t>
        </r>
        <r>
          <rPr>
            <vertAlign val="subscript"/>
            <sz val="9"/>
            <color indexed="81"/>
            <rFont val="Tahoma"/>
            <family val="2"/>
          </rPr>
          <t>AC_SNS</t>
        </r>
        <r>
          <rPr>
            <sz val="9"/>
            <color indexed="81"/>
            <rFont val="Tahoma"/>
            <family val="2"/>
          </rPr>
          <t xml:space="preserve">. 
</t>
        </r>
        <r>
          <rPr>
            <b/>
            <sz val="9"/>
            <color indexed="81"/>
            <rFont val="Tahoma"/>
            <family val="2"/>
          </rPr>
          <t>Text in this cell is flagged red if:</t>
        </r>
        <r>
          <rPr>
            <sz val="9"/>
            <color indexed="81"/>
            <rFont val="Tahoma"/>
            <family val="2"/>
          </rPr>
          <t xml:space="preserve">
The value entered is </t>
        </r>
        <r>
          <rPr>
            <b/>
            <sz val="9"/>
            <color indexed="81"/>
            <rFont val="Tahoma"/>
            <family val="2"/>
          </rPr>
          <t>below</t>
        </r>
        <r>
          <rPr>
            <sz val="9"/>
            <color indexed="81"/>
            <rFont val="Tahoma"/>
            <family val="2"/>
          </rPr>
          <t xml:space="preserve"> the </t>
        </r>
        <r>
          <rPr>
            <b/>
            <sz val="9"/>
            <color indexed="81"/>
            <rFont val="Tahoma"/>
            <family val="2"/>
          </rPr>
          <t>Minimum Input Capacitance</t>
        </r>
        <r>
          <rPr>
            <sz val="9"/>
            <color indexed="81"/>
            <rFont val="Tahoma"/>
            <family val="2"/>
          </rPr>
          <t>.</t>
        </r>
      </text>
    </comment>
    <comment ref="F106" authorId="0" shapeId="0" xr:uid="{BFD71ABA-A541-46BF-87F8-C3AA3712215A}">
      <text>
        <r>
          <rPr>
            <b/>
            <u/>
            <sz val="9"/>
            <color indexed="81"/>
            <rFont val="Tahoma"/>
            <family val="2"/>
          </rPr>
          <t xml:space="preserve">Output Capacitance:
</t>
        </r>
        <r>
          <rPr>
            <sz val="9"/>
            <color indexed="81"/>
            <rFont val="Tahoma"/>
            <family val="2"/>
          </rPr>
          <t xml:space="preserve">In forward boost mode or reverse buck mode, the output capacitor conducts high ripple current. The output capacitor RMS ripple current is given by where the minimum VAC corresponds to the maximum capacitor current.
</t>
        </r>
        <r>
          <rPr>
            <b/>
            <sz val="9"/>
            <color indexed="81"/>
            <rFont val="Tahoma"/>
            <family val="2"/>
          </rPr>
          <t>I</t>
        </r>
        <r>
          <rPr>
            <b/>
            <vertAlign val="subscript"/>
            <sz val="9"/>
            <color indexed="81"/>
            <rFont val="Tahoma"/>
            <family val="2"/>
          </rPr>
          <t>CBAT</t>
        </r>
        <r>
          <rPr>
            <b/>
            <sz val="9"/>
            <color indexed="81"/>
            <rFont val="Tahoma"/>
            <family val="2"/>
          </rPr>
          <t xml:space="preserve"> = I</t>
        </r>
        <r>
          <rPr>
            <b/>
            <vertAlign val="subscript"/>
            <sz val="9"/>
            <color indexed="81"/>
            <rFont val="Tahoma"/>
            <family val="2"/>
          </rPr>
          <t>BAT</t>
        </r>
        <r>
          <rPr>
            <b/>
            <sz val="9"/>
            <color indexed="81"/>
            <rFont val="Tahoma"/>
            <family val="2"/>
          </rPr>
          <t xml:space="preserve"> * sqrt (V</t>
        </r>
        <r>
          <rPr>
            <b/>
            <vertAlign val="subscript"/>
            <sz val="9"/>
            <color indexed="81"/>
            <rFont val="Tahoma"/>
            <family val="2"/>
          </rPr>
          <t>BAT</t>
        </r>
        <r>
          <rPr>
            <b/>
            <sz val="9"/>
            <color indexed="81"/>
            <rFont val="Tahoma"/>
            <family val="2"/>
          </rPr>
          <t>/V</t>
        </r>
        <r>
          <rPr>
            <b/>
            <vertAlign val="subscript"/>
            <sz val="9"/>
            <color indexed="81"/>
            <rFont val="Tahoma"/>
            <family val="2"/>
          </rPr>
          <t>AC</t>
        </r>
        <r>
          <rPr>
            <b/>
            <sz val="9"/>
            <color indexed="81"/>
            <rFont val="Tahoma"/>
            <family val="2"/>
          </rPr>
          <t xml:space="preserve"> - 1)</t>
        </r>
        <r>
          <rPr>
            <sz val="9"/>
            <color indexed="81"/>
            <rFont val="Tahoma"/>
            <family val="2"/>
          </rPr>
          <t xml:space="preserve">
Output capacitor ESR causes an output voltage ripple given by:
</t>
        </r>
        <r>
          <rPr>
            <b/>
            <sz val="9"/>
            <color indexed="81"/>
            <rFont val="Tahoma"/>
            <family val="2"/>
          </rPr>
          <t>V</t>
        </r>
        <r>
          <rPr>
            <b/>
            <vertAlign val="subscript"/>
            <sz val="9"/>
            <color indexed="81"/>
            <rFont val="Tahoma"/>
            <family val="2"/>
          </rPr>
          <t>RIPPLE(ESR)</t>
        </r>
        <r>
          <rPr>
            <b/>
            <sz val="9"/>
            <color indexed="81"/>
            <rFont val="Tahoma"/>
            <family val="2"/>
          </rPr>
          <t xml:space="preserve"> = I</t>
        </r>
        <r>
          <rPr>
            <b/>
            <vertAlign val="subscript"/>
            <sz val="9"/>
            <color indexed="81"/>
            <rFont val="Tahoma"/>
            <family val="2"/>
          </rPr>
          <t>BAT</t>
        </r>
        <r>
          <rPr>
            <b/>
            <sz val="9"/>
            <color indexed="81"/>
            <rFont val="Tahoma"/>
            <family val="2"/>
          </rPr>
          <t xml:space="preserve"> * V</t>
        </r>
        <r>
          <rPr>
            <b/>
            <vertAlign val="subscript"/>
            <sz val="9"/>
            <color indexed="81"/>
            <rFont val="Tahoma"/>
            <family val="2"/>
          </rPr>
          <t>BAT</t>
        </r>
        <r>
          <rPr>
            <b/>
            <sz val="9"/>
            <color indexed="81"/>
            <rFont val="Tahoma"/>
            <family val="2"/>
          </rPr>
          <t>/V</t>
        </r>
        <r>
          <rPr>
            <b/>
            <vertAlign val="subscript"/>
            <sz val="9"/>
            <color indexed="81"/>
            <rFont val="Tahoma"/>
            <family val="2"/>
          </rPr>
          <t>AC,min</t>
        </r>
        <r>
          <rPr>
            <b/>
            <sz val="9"/>
            <color indexed="81"/>
            <rFont val="Tahoma"/>
            <family val="2"/>
          </rPr>
          <t xml:space="preserve"> * ESR</t>
        </r>
        <r>
          <rPr>
            <sz val="9"/>
            <color indexed="81"/>
            <rFont val="Tahoma"/>
            <family val="2"/>
          </rPr>
          <t xml:space="preserve">
The output capacitor causes a capacitive ripple voltage given by:
</t>
        </r>
        <r>
          <rPr>
            <b/>
            <sz val="9"/>
            <color indexed="81"/>
            <rFont val="Tahoma"/>
            <family val="2"/>
          </rPr>
          <t>V</t>
        </r>
        <r>
          <rPr>
            <b/>
            <vertAlign val="subscript"/>
            <sz val="9"/>
            <color indexed="81"/>
            <rFont val="Tahoma"/>
            <family val="2"/>
          </rPr>
          <t>RIPPLE(CBAT)</t>
        </r>
        <r>
          <rPr>
            <b/>
            <sz val="9"/>
            <color indexed="81"/>
            <rFont val="Tahoma"/>
            <family val="2"/>
          </rPr>
          <t xml:space="preserve"> = I</t>
        </r>
        <r>
          <rPr>
            <b/>
            <vertAlign val="subscript"/>
            <sz val="9"/>
            <color indexed="81"/>
            <rFont val="Tahoma"/>
            <family val="2"/>
          </rPr>
          <t>BAT</t>
        </r>
        <r>
          <rPr>
            <b/>
            <sz val="9"/>
            <color indexed="81"/>
            <rFont val="Tahoma"/>
            <family val="2"/>
          </rPr>
          <t xml:space="preserve"> * (1 - V</t>
        </r>
        <r>
          <rPr>
            <b/>
            <vertAlign val="subscript"/>
            <sz val="9"/>
            <color indexed="81"/>
            <rFont val="Tahoma"/>
            <family val="2"/>
          </rPr>
          <t>AC,min</t>
        </r>
        <r>
          <rPr>
            <b/>
            <sz val="9"/>
            <color indexed="81"/>
            <rFont val="Tahoma"/>
            <family val="2"/>
          </rPr>
          <t>/V</t>
        </r>
        <r>
          <rPr>
            <b/>
            <vertAlign val="subscript"/>
            <sz val="9"/>
            <color indexed="81"/>
            <rFont val="Tahoma"/>
            <family val="2"/>
          </rPr>
          <t>BAT</t>
        </r>
        <r>
          <rPr>
            <b/>
            <sz val="9"/>
            <color indexed="81"/>
            <rFont val="Tahoma"/>
            <family val="2"/>
          </rPr>
          <t>)/(C</t>
        </r>
        <r>
          <rPr>
            <b/>
            <vertAlign val="subscript"/>
            <sz val="9"/>
            <color indexed="81"/>
            <rFont val="Tahoma"/>
            <family val="2"/>
          </rPr>
          <t>BAT</t>
        </r>
        <r>
          <rPr>
            <b/>
            <sz val="9"/>
            <color indexed="81"/>
            <rFont val="Tahoma"/>
            <family val="2"/>
          </rPr>
          <t>*f</t>
        </r>
        <r>
          <rPr>
            <b/>
            <vertAlign val="subscript"/>
            <sz val="9"/>
            <color indexed="81"/>
            <rFont val="Tahoma"/>
            <family val="2"/>
          </rPr>
          <t>SW</t>
        </r>
        <r>
          <rPr>
            <b/>
            <sz val="9"/>
            <color indexed="81"/>
            <rFont val="Tahoma"/>
            <family val="2"/>
          </rPr>
          <t>)</t>
        </r>
        <r>
          <rPr>
            <sz val="9"/>
            <color indexed="81"/>
            <rFont val="Tahoma"/>
            <family val="2"/>
          </rPr>
          <t xml:space="preserve">
A combination of ceramic and bulk capacitors should be used to provide low ESR and high ripple current capacity. Ceramic capacitors should be placed close to the switching half-bridge. Given total bulk output capacitance, it is recommended to distribute equally on either side of R</t>
        </r>
        <r>
          <rPr>
            <vertAlign val="subscript"/>
            <sz val="9"/>
            <color indexed="81"/>
            <rFont val="Tahoma"/>
            <family val="2"/>
          </rPr>
          <t>BAT_SNS</t>
        </r>
        <r>
          <rPr>
            <sz val="9"/>
            <color indexed="81"/>
            <rFont val="Tahoma"/>
            <family val="2"/>
          </rPr>
          <t xml:space="preserve">. 
</t>
        </r>
        <r>
          <rPr>
            <b/>
            <u/>
            <sz val="9"/>
            <color indexed="81"/>
            <rFont val="Tahoma"/>
            <family val="2"/>
          </rPr>
          <t xml:space="preserve">
</t>
        </r>
        <r>
          <rPr>
            <b/>
            <sz val="9"/>
            <color indexed="81"/>
            <rFont val="Tahoma"/>
            <family val="2"/>
          </rPr>
          <t xml:space="preserve">Text in this cell is flagged red if:
</t>
        </r>
        <r>
          <rPr>
            <sz val="9"/>
            <color indexed="81"/>
            <rFont val="Tahoma"/>
            <family val="2"/>
          </rPr>
          <t xml:space="preserve">The value entered is </t>
        </r>
        <r>
          <rPr>
            <b/>
            <sz val="9"/>
            <color indexed="81"/>
            <rFont val="Tahoma"/>
            <family val="2"/>
          </rPr>
          <t>below</t>
        </r>
        <r>
          <rPr>
            <sz val="9"/>
            <color indexed="81"/>
            <rFont val="Tahoma"/>
            <family val="2"/>
          </rPr>
          <t xml:space="preserve"> the </t>
        </r>
        <r>
          <rPr>
            <b/>
            <sz val="9"/>
            <color indexed="81"/>
            <rFont val="Tahoma"/>
            <family val="2"/>
          </rPr>
          <t>Minimum Output Capacitance</t>
        </r>
        <r>
          <rPr>
            <u/>
            <sz val="9"/>
            <color indexed="81"/>
            <rFont val="Tahoma"/>
            <family val="2"/>
          </rPr>
          <t>.</t>
        </r>
        <r>
          <rPr>
            <sz val="9"/>
            <color indexed="81"/>
            <rFont val="Tahoma"/>
            <family val="2"/>
          </rPr>
          <t xml:space="preserve">
</t>
        </r>
      </text>
    </comment>
    <comment ref="A112" authorId="0" shapeId="0" xr:uid="{7C9C4550-A9B3-4FAC-ADCF-868BE7087268}">
      <text>
        <r>
          <rPr>
            <b/>
            <u/>
            <sz val="9"/>
            <color indexed="81"/>
            <rFont val="Tahoma"/>
            <family val="2"/>
          </rPr>
          <t xml:space="preserve">Efficiency / Power Loss Analyzer:
</t>
        </r>
        <r>
          <rPr>
            <sz val="9"/>
            <color indexed="81"/>
            <rFont val="Tahoma"/>
            <family val="2"/>
          </rPr>
          <t xml:space="preserve">The Efficiency / Power Loss Analyzer is not a 100% accurate tool. The purpose of the tool is to compare the relative efficiency with different components. </t>
        </r>
      </text>
    </comment>
    <comment ref="E119" authorId="0" shapeId="0" xr:uid="{CA01FFF4-1243-4D5C-BCC7-BCBEBF11483C}">
      <text>
        <r>
          <rPr>
            <b/>
            <u/>
            <sz val="9"/>
            <color indexed="81"/>
            <rFont val="Tahoma"/>
            <family val="2"/>
          </rPr>
          <t>On-State Resistance V</t>
        </r>
        <r>
          <rPr>
            <b/>
            <u/>
            <vertAlign val="subscript"/>
            <sz val="9"/>
            <color indexed="81"/>
            <rFont val="Tahoma"/>
            <family val="2"/>
          </rPr>
          <t>gs</t>
        </r>
        <r>
          <rPr>
            <b/>
            <u/>
            <sz val="9"/>
            <color indexed="81"/>
            <rFont val="Tahoma"/>
            <family val="2"/>
          </rPr>
          <t xml:space="preserve"> = Custom Voltage:
</t>
        </r>
        <r>
          <rPr>
            <sz val="9"/>
            <color indexed="81"/>
            <rFont val="Tahoma"/>
            <family val="2"/>
          </rPr>
          <t>In order to compare the Custom MOSFET with the TI MOSFET Recommendation with a Custom Gate Drive Voltage, the user will need to enter a value for R</t>
        </r>
        <r>
          <rPr>
            <vertAlign val="subscript"/>
            <sz val="9"/>
            <color indexed="81"/>
            <rFont val="Tahoma"/>
            <family val="2"/>
          </rPr>
          <t>DS(on)</t>
        </r>
        <r>
          <rPr>
            <sz val="9"/>
            <color indexed="81"/>
            <rFont val="Tahoma"/>
            <family val="2"/>
          </rPr>
          <t xml:space="preserve"> with the given Custom Gate Drive Voltage.</t>
        </r>
      </text>
    </comment>
    <comment ref="F119" authorId="0" shapeId="0" xr:uid="{7DD7A6A5-A1E5-4408-BC9A-2DB4AC39DD10}">
      <text>
        <r>
          <rPr>
            <b/>
            <u/>
            <sz val="9"/>
            <color indexed="81"/>
            <rFont val="Tahoma"/>
            <family val="2"/>
          </rPr>
          <t>On-State Resistance V</t>
        </r>
        <r>
          <rPr>
            <b/>
            <u/>
            <vertAlign val="subscript"/>
            <sz val="9"/>
            <color indexed="81"/>
            <rFont val="Tahoma"/>
            <family val="2"/>
          </rPr>
          <t>gs</t>
        </r>
        <r>
          <rPr>
            <b/>
            <u/>
            <sz val="9"/>
            <color indexed="81"/>
            <rFont val="Tahoma"/>
            <family val="2"/>
          </rPr>
          <t xml:space="preserve"> = Custom Voltage:
</t>
        </r>
        <r>
          <rPr>
            <sz val="9"/>
            <color indexed="81"/>
            <rFont val="Tahoma"/>
            <family val="2"/>
          </rPr>
          <t>In order to compare the Custom MOSFET with the TI MOSFET Recommendation with a Custom Gate Drive Voltage, the user will need to enter a value for R</t>
        </r>
        <r>
          <rPr>
            <vertAlign val="subscript"/>
            <sz val="9"/>
            <color indexed="81"/>
            <rFont val="Tahoma"/>
            <family val="2"/>
          </rPr>
          <t>DS(on)</t>
        </r>
        <r>
          <rPr>
            <sz val="9"/>
            <color indexed="81"/>
            <rFont val="Tahoma"/>
            <family val="2"/>
          </rPr>
          <t xml:space="preserve"> with the given Custom Gate Drive Voltage.</t>
        </r>
      </text>
    </comment>
    <comment ref="E122" authorId="0" shapeId="0" xr:uid="{2C225032-393C-4356-AE45-86DF91E5DA21}">
      <text>
        <r>
          <rPr>
            <b/>
            <u/>
            <sz val="9"/>
            <color indexed="81"/>
            <rFont val="Tahoma"/>
            <family val="2"/>
          </rPr>
          <t>Total Gate Charge Q</t>
        </r>
        <r>
          <rPr>
            <b/>
            <u/>
            <vertAlign val="subscript"/>
            <sz val="9"/>
            <color indexed="81"/>
            <rFont val="Tahoma"/>
            <family val="2"/>
          </rPr>
          <t>G</t>
        </r>
        <r>
          <rPr>
            <b/>
            <u/>
            <sz val="9"/>
            <color indexed="81"/>
            <rFont val="Tahoma"/>
            <family val="2"/>
          </rPr>
          <t xml:space="preserve"> = Custom Voltage:
</t>
        </r>
        <r>
          <rPr>
            <sz val="9"/>
            <color indexed="81"/>
            <rFont val="Tahoma"/>
            <family val="2"/>
          </rPr>
          <t>In order to compare the Custom MOSFET with the TI MOSFET Recommendation with a Custom Gate Drive Voltage, the user will need to enter a value for Q</t>
        </r>
        <r>
          <rPr>
            <vertAlign val="subscript"/>
            <sz val="9"/>
            <color indexed="81"/>
            <rFont val="Tahoma"/>
            <family val="2"/>
          </rPr>
          <t>G</t>
        </r>
        <r>
          <rPr>
            <sz val="9"/>
            <color indexed="81"/>
            <rFont val="Tahoma"/>
            <family val="2"/>
          </rPr>
          <t xml:space="preserve"> with the given Custom Gate Drive Voltage.</t>
        </r>
      </text>
    </comment>
    <comment ref="F122" authorId="0" shapeId="0" xr:uid="{28BBB657-5F33-4522-89C1-6633D8130C43}">
      <text>
        <r>
          <rPr>
            <b/>
            <u/>
            <sz val="9"/>
            <color indexed="81"/>
            <rFont val="Tahoma"/>
            <family val="2"/>
          </rPr>
          <t>Total Gate Charge Q</t>
        </r>
        <r>
          <rPr>
            <b/>
            <u/>
            <vertAlign val="subscript"/>
            <sz val="9"/>
            <color indexed="81"/>
            <rFont val="Tahoma"/>
            <family val="2"/>
          </rPr>
          <t>G</t>
        </r>
        <r>
          <rPr>
            <b/>
            <u/>
            <sz val="9"/>
            <color indexed="81"/>
            <rFont val="Tahoma"/>
            <family val="2"/>
          </rPr>
          <t xml:space="preserve"> = Custom Voltage:
</t>
        </r>
        <r>
          <rPr>
            <sz val="9"/>
            <color indexed="81"/>
            <rFont val="Tahoma"/>
            <family val="2"/>
          </rPr>
          <t>In order to compare the Custom MOSFET with the TI MOSFET Recommendation with a Custom Gate Drive Voltage, the user will need to enter a value for Q</t>
        </r>
        <r>
          <rPr>
            <vertAlign val="subscript"/>
            <sz val="9"/>
            <color indexed="81"/>
            <rFont val="Tahoma"/>
            <family val="2"/>
          </rPr>
          <t>G</t>
        </r>
        <r>
          <rPr>
            <sz val="9"/>
            <color indexed="81"/>
            <rFont val="Tahoma"/>
            <family val="2"/>
          </rPr>
          <t xml:space="preserve"> with the given Custom Gate Drive Voltage.</t>
        </r>
      </text>
    </comment>
    <comment ref="E137" authorId="0" shapeId="0" xr:uid="{F3785C72-330C-4727-9158-6AB98790D5BE}">
      <text>
        <r>
          <rPr>
            <b/>
            <u/>
            <sz val="9"/>
            <color indexed="81"/>
            <rFont val="Tahoma"/>
            <family val="2"/>
          </rPr>
          <t>On-State Resistance V</t>
        </r>
        <r>
          <rPr>
            <b/>
            <u/>
            <vertAlign val="subscript"/>
            <sz val="9"/>
            <color indexed="81"/>
            <rFont val="Tahoma"/>
            <family val="2"/>
          </rPr>
          <t>gs</t>
        </r>
        <r>
          <rPr>
            <b/>
            <u/>
            <sz val="9"/>
            <color indexed="81"/>
            <rFont val="Tahoma"/>
            <family val="2"/>
          </rPr>
          <t xml:space="preserve"> = Custom Voltage:
</t>
        </r>
        <r>
          <rPr>
            <sz val="9"/>
            <color indexed="81"/>
            <rFont val="Tahoma"/>
            <family val="2"/>
          </rPr>
          <t>In order to compare the Custom MOSFET with the TI MOSFET Recommendation with a Custom Gate Drive Voltage, the user will need to enter a value for R</t>
        </r>
        <r>
          <rPr>
            <vertAlign val="subscript"/>
            <sz val="9"/>
            <color indexed="81"/>
            <rFont val="Tahoma"/>
            <family val="2"/>
          </rPr>
          <t>DS(on)</t>
        </r>
        <r>
          <rPr>
            <sz val="9"/>
            <color indexed="81"/>
            <rFont val="Tahoma"/>
            <family val="2"/>
          </rPr>
          <t xml:space="preserve"> with the given Custom Gate Drive Voltage.</t>
        </r>
      </text>
    </comment>
    <comment ref="F137" authorId="0" shapeId="0" xr:uid="{E46F9B85-E94C-4C6A-99C0-30AFB8A1BAD5}">
      <text>
        <r>
          <rPr>
            <b/>
            <u/>
            <sz val="9"/>
            <color indexed="81"/>
            <rFont val="Tahoma"/>
            <family val="2"/>
          </rPr>
          <t>On-State Resistance V</t>
        </r>
        <r>
          <rPr>
            <b/>
            <u/>
            <vertAlign val="subscript"/>
            <sz val="9"/>
            <color indexed="81"/>
            <rFont val="Tahoma"/>
            <family val="2"/>
          </rPr>
          <t>gs</t>
        </r>
        <r>
          <rPr>
            <b/>
            <u/>
            <sz val="9"/>
            <color indexed="81"/>
            <rFont val="Tahoma"/>
            <family val="2"/>
          </rPr>
          <t xml:space="preserve"> = Custom Voltage:
</t>
        </r>
        <r>
          <rPr>
            <sz val="9"/>
            <color indexed="81"/>
            <rFont val="Tahoma"/>
            <family val="2"/>
          </rPr>
          <t>In order to compare the Custom MOSFET with the TI MOSFET Recommendation with a Custom Gate Drive Voltage, the user will need to enter a value for R</t>
        </r>
        <r>
          <rPr>
            <vertAlign val="subscript"/>
            <sz val="9"/>
            <color indexed="81"/>
            <rFont val="Tahoma"/>
            <family val="2"/>
          </rPr>
          <t>DS(on)</t>
        </r>
        <r>
          <rPr>
            <sz val="9"/>
            <color indexed="81"/>
            <rFont val="Tahoma"/>
            <family val="2"/>
          </rPr>
          <t xml:space="preserve"> with the given Custom Gate Drive Voltage.</t>
        </r>
      </text>
    </comment>
    <comment ref="E140" authorId="0" shapeId="0" xr:uid="{C0B84D91-9555-4934-82A3-6B5667BE485E}">
      <text>
        <r>
          <rPr>
            <b/>
            <u/>
            <sz val="9"/>
            <color indexed="81"/>
            <rFont val="Tahoma"/>
            <family val="2"/>
          </rPr>
          <t>Total Gate Charge Q</t>
        </r>
        <r>
          <rPr>
            <b/>
            <u/>
            <vertAlign val="subscript"/>
            <sz val="9"/>
            <color indexed="81"/>
            <rFont val="Tahoma"/>
            <family val="2"/>
          </rPr>
          <t>G</t>
        </r>
        <r>
          <rPr>
            <b/>
            <u/>
            <sz val="9"/>
            <color indexed="81"/>
            <rFont val="Tahoma"/>
            <family val="2"/>
          </rPr>
          <t xml:space="preserve"> = Custom Voltage:
</t>
        </r>
        <r>
          <rPr>
            <sz val="9"/>
            <color indexed="81"/>
            <rFont val="Tahoma"/>
            <family val="2"/>
          </rPr>
          <t>In order to compare the Custom MOSFET with the TI MOSFET Recommendation with a Custom Gate Drive Voltage, the user will need to enter a value for Q</t>
        </r>
        <r>
          <rPr>
            <vertAlign val="subscript"/>
            <sz val="9"/>
            <color indexed="81"/>
            <rFont val="Tahoma"/>
            <family val="2"/>
          </rPr>
          <t>G</t>
        </r>
        <r>
          <rPr>
            <sz val="9"/>
            <color indexed="81"/>
            <rFont val="Tahoma"/>
            <family val="2"/>
          </rPr>
          <t xml:space="preserve"> with the given Custom Gate Drive Voltage.</t>
        </r>
      </text>
    </comment>
    <comment ref="F140" authorId="0" shapeId="0" xr:uid="{CBB72169-DBAB-4DAD-AE6C-4F84484E25F2}">
      <text>
        <r>
          <rPr>
            <b/>
            <u/>
            <sz val="9"/>
            <color indexed="81"/>
            <rFont val="Tahoma"/>
            <family val="2"/>
          </rPr>
          <t>Total Gate Charge Q</t>
        </r>
        <r>
          <rPr>
            <b/>
            <u/>
            <vertAlign val="subscript"/>
            <sz val="9"/>
            <color indexed="81"/>
            <rFont val="Tahoma"/>
            <family val="2"/>
          </rPr>
          <t>G</t>
        </r>
        <r>
          <rPr>
            <b/>
            <u/>
            <sz val="9"/>
            <color indexed="81"/>
            <rFont val="Tahoma"/>
            <family val="2"/>
          </rPr>
          <t xml:space="preserve"> = Custom Voltage:
</t>
        </r>
        <r>
          <rPr>
            <sz val="9"/>
            <color indexed="81"/>
            <rFont val="Tahoma"/>
            <family val="2"/>
          </rPr>
          <t>In order to compare the Custom MOSFET with the TI MOSFET Recommendation with a Custom Gate Drive Voltage, the user will need to enter a value for Q</t>
        </r>
        <r>
          <rPr>
            <vertAlign val="subscript"/>
            <sz val="9"/>
            <color indexed="81"/>
            <rFont val="Tahoma"/>
            <family val="2"/>
          </rPr>
          <t>G</t>
        </r>
        <r>
          <rPr>
            <sz val="9"/>
            <color indexed="81"/>
            <rFont val="Tahoma"/>
            <family val="2"/>
          </rPr>
          <t xml:space="preserve"> with the given Custom Gate Drive Voltage.</t>
        </r>
      </text>
    </comment>
    <comment ref="F152" authorId="0" shapeId="0" xr:uid="{E9DBE561-F8A7-4F0D-AF52-E1F8078CD771}">
      <text>
        <r>
          <rPr>
            <b/>
            <sz val="9"/>
            <color indexed="81"/>
            <rFont val="Tahoma"/>
            <family val="2"/>
          </rPr>
          <t xml:space="preserve">Custom Gate Drive Voltage: 
</t>
        </r>
        <r>
          <rPr>
            <sz val="9"/>
            <color indexed="81"/>
            <rFont val="Tahoma"/>
            <family val="2"/>
          </rPr>
          <t xml:space="preserve">In high-voltage applications, it is possible to directly provide the DRV_SUP voltage with an external supply up to 12 V to achieve higher switching efficiency. See </t>
        </r>
        <r>
          <rPr>
            <b/>
            <sz val="9"/>
            <color indexed="81"/>
            <rFont val="Tahoma"/>
            <family val="2"/>
          </rPr>
          <t>Section 7.3.3.2</t>
        </r>
        <r>
          <rPr>
            <sz val="9"/>
            <color indexed="81"/>
            <rFont val="Tahoma"/>
            <family val="2"/>
          </rPr>
          <t xml:space="preserve"> in the datasheet for more details.
The user can enter their own Custom Gate Drive Voltage, but in order for them to see how this affects the efficiency curves, the user will need to enter the MOSFET R</t>
        </r>
        <r>
          <rPr>
            <vertAlign val="subscript"/>
            <sz val="9"/>
            <color indexed="81"/>
            <rFont val="Tahoma"/>
            <family val="2"/>
          </rPr>
          <t>DS(on)</t>
        </r>
        <r>
          <rPr>
            <sz val="9"/>
            <color indexed="81"/>
            <rFont val="Tahoma"/>
            <family val="2"/>
          </rPr>
          <t xml:space="preserve"> and Q</t>
        </r>
        <r>
          <rPr>
            <vertAlign val="subscript"/>
            <sz val="9"/>
            <color indexed="81"/>
            <rFont val="Tahoma"/>
            <family val="2"/>
          </rPr>
          <t>G</t>
        </r>
        <r>
          <rPr>
            <sz val="9"/>
            <color indexed="81"/>
            <rFont val="Tahoma"/>
            <family val="2"/>
          </rPr>
          <t xml:space="preserve"> for the MOSFET that they are using with that given gate drive.
</t>
        </r>
        <r>
          <rPr>
            <b/>
            <sz val="9"/>
            <color indexed="81"/>
            <rFont val="Tahoma"/>
            <family val="2"/>
          </rPr>
          <t>Note:</t>
        </r>
        <r>
          <rPr>
            <sz val="9"/>
            <color indexed="81"/>
            <rFont val="Tahoma"/>
            <family val="2"/>
          </rPr>
          <t xml:space="preserve"> If the user does not enter the data for their Custom Gate Drive Voltage, the tool will not be able to plot the estimated efficiency plots with the entered Custom Gate Drive Voltage. The user will need to get this data from empirical testing if the datasheet does not provide the data for their Custom Gate Drive Voltage.</t>
        </r>
      </text>
    </comment>
    <comment ref="A154" authorId="0" shapeId="0" xr:uid="{027B0E25-AE07-480B-9ACC-C6F1EF537977}">
      <text>
        <r>
          <rPr>
            <b/>
            <sz val="9"/>
            <color indexed="81"/>
            <rFont val="Tahoma"/>
            <family val="2"/>
          </rPr>
          <t xml:space="preserve">Efficiency / Power Loss Analyzer:
</t>
        </r>
        <r>
          <rPr>
            <sz val="9"/>
            <color indexed="81"/>
            <rFont val="Tahoma"/>
            <family val="2"/>
          </rPr>
          <t xml:space="preserve">This tool displays the </t>
        </r>
        <r>
          <rPr>
            <b/>
            <u/>
            <sz val="9"/>
            <color indexed="81"/>
            <rFont val="Tahoma"/>
            <family val="2"/>
          </rPr>
          <t>estimated</t>
        </r>
        <r>
          <rPr>
            <sz val="9"/>
            <color indexed="81"/>
            <rFont val="Tahoma"/>
            <family val="2"/>
          </rPr>
          <t xml:space="preserve"> efficiency curve with Selected Components / Operating Specifications and allows the user to compare how the efficiency curves will be affected with different Selected Components / Operating Specifications. 
</t>
        </r>
        <r>
          <rPr>
            <b/>
            <sz val="9"/>
            <color indexed="81"/>
            <rFont val="Tahoma"/>
            <family val="2"/>
          </rPr>
          <t>Disclaimer:</t>
        </r>
        <r>
          <rPr>
            <sz val="9"/>
            <color indexed="81"/>
            <rFont val="Tahoma"/>
            <family val="2"/>
          </rPr>
          <t xml:space="preserve"> The efficiency plots are for </t>
        </r>
        <r>
          <rPr>
            <b/>
            <u/>
            <sz val="9"/>
            <color indexed="81"/>
            <rFont val="Tahoma"/>
            <family val="2"/>
          </rPr>
          <t>relative comparison only</t>
        </r>
        <r>
          <rPr>
            <sz val="9"/>
            <color indexed="81"/>
            <rFont val="Tahoma"/>
            <family val="2"/>
          </rPr>
          <t xml:space="preserve"> and </t>
        </r>
        <r>
          <rPr>
            <b/>
            <u/>
            <sz val="9"/>
            <color indexed="81"/>
            <rFont val="Tahoma"/>
            <family val="2"/>
          </rPr>
          <t>do not</t>
        </r>
        <r>
          <rPr>
            <sz val="9"/>
            <color indexed="81"/>
            <rFont val="Tahoma"/>
            <family val="2"/>
          </rPr>
          <t xml:space="preserve"> represent the actual efficiency that will be seen from physical tests.
</t>
        </r>
      </text>
    </comment>
    <comment ref="G157" authorId="0" shapeId="0" xr:uid="{A0B42E2A-C72E-47C1-834F-A57366CD22C1}">
      <text>
        <r>
          <rPr>
            <b/>
            <u/>
            <sz val="9"/>
            <color indexed="81"/>
            <rFont val="Tahoma"/>
            <family val="2"/>
          </rPr>
          <t>MOSFET Selection:</t>
        </r>
        <r>
          <rPr>
            <sz val="9"/>
            <color indexed="81"/>
            <rFont val="Tahoma"/>
            <family val="2"/>
          </rPr>
          <t xml:space="preserve">
The user can choose to plot the estimated efficiency curves using the TI Recommended MOSFET by selecting </t>
        </r>
        <r>
          <rPr>
            <b/>
            <sz val="9"/>
            <color indexed="81"/>
            <rFont val="Tahoma"/>
            <family val="2"/>
          </rPr>
          <t xml:space="preserve">TI Recommendation </t>
        </r>
        <r>
          <rPr>
            <sz val="9"/>
            <color indexed="81"/>
            <rFont val="Tahoma"/>
            <family val="2"/>
          </rPr>
          <t xml:space="preserve">or the user's Custom MOSFET by selecting </t>
        </r>
        <r>
          <rPr>
            <b/>
            <sz val="9"/>
            <color indexed="81"/>
            <rFont val="Tahoma"/>
            <family val="2"/>
          </rPr>
          <t>Custom</t>
        </r>
        <r>
          <rPr>
            <sz val="9"/>
            <color indexed="81"/>
            <rFont val="Tahoma"/>
            <family val="2"/>
          </rPr>
          <t xml:space="preserve">. The user can also plot the estimated efficiency curves for both MOSFETs by selecting </t>
        </r>
        <r>
          <rPr>
            <b/>
            <sz val="9"/>
            <color indexed="81"/>
            <rFont val="Tahoma"/>
            <family val="2"/>
          </rPr>
          <t>Compare</t>
        </r>
        <r>
          <rPr>
            <sz val="9"/>
            <color indexed="81"/>
            <rFont val="Tahoma"/>
            <family val="2"/>
          </rPr>
          <t xml:space="preserve">.
</t>
        </r>
      </text>
    </comment>
    <comment ref="G158" authorId="0" shapeId="0" xr:uid="{8221FD47-9E6A-4F0B-BB21-2B8BA7646B58}">
      <text>
        <r>
          <rPr>
            <b/>
            <u/>
            <sz val="9"/>
            <color indexed="81"/>
            <rFont val="Tahoma"/>
            <family val="2"/>
          </rPr>
          <t>Selected Gate Drive Voltage:</t>
        </r>
        <r>
          <rPr>
            <sz val="9"/>
            <color indexed="81"/>
            <rFont val="Tahoma"/>
            <family val="2"/>
          </rPr>
          <t xml:space="preserve">
This is the Gate Drive Voltage used in the efficiency calculation. Only one Gate Drive voltage can be used at a time. To compare how the Gate Drive Voltages affect the efficiency curves, the user will need to save the efficiency data with the </t>
        </r>
        <r>
          <rPr>
            <b/>
            <sz val="9"/>
            <color indexed="81"/>
            <rFont val="Tahoma"/>
            <family val="2"/>
          </rPr>
          <t>Save Button</t>
        </r>
        <r>
          <rPr>
            <sz val="9"/>
            <color indexed="81"/>
            <rFont val="Tahoma"/>
            <family val="2"/>
          </rPr>
          <t>.
The MOSFET parameters shown below are pulled from the corresponded parameters entered above.</t>
        </r>
      </text>
    </comment>
    <comment ref="G159" authorId="0" shapeId="0" xr:uid="{A2C3A251-398E-49AB-96BD-982C382E69B0}">
      <text>
        <r>
          <rPr>
            <b/>
            <u/>
            <sz val="9"/>
            <color indexed="81"/>
            <rFont val="Tahoma"/>
            <family val="2"/>
          </rPr>
          <t>Save Button:</t>
        </r>
        <r>
          <rPr>
            <sz val="9"/>
            <color indexed="81"/>
            <rFont val="Tahoma"/>
            <family val="2"/>
          </rPr>
          <t xml:space="preserve">
Use the save button to save the current efficiency plots. To save the current plots, you will need to clear the previous plot by selecting </t>
        </r>
        <r>
          <rPr>
            <b/>
            <sz val="9"/>
            <color indexed="81"/>
            <rFont val="Tahoma"/>
            <family val="2"/>
          </rPr>
          <t>Clear Save</t>
        </r>
        <r>
          <rPr>
            <sz val="9"/>
            <color indexed="81"/>
            <rFont val="Tahoma"/>
            <family val="2"/>
          </rPr>
          <t xml:space="preserve"> then you will need to select </t>
        </r>
        <r>
          <rPr>
            <b/>
            <sz val="9"/>
            <color indexed="81"/>
            <rFont val="Tahoma"/>
            <family val="2"/>
          </rPr>
          <t>Save</t>
        </r>
        <r>
          <rPr>
            <sz val="9"/>
            <color indexed="81"/>
            <rFont val="Tahoma"/>
            <family val="2"/>
          </rPr>
          <t xml:space="preserve"> to save the current efficiency plots. 
Once you have the plots saved, you will be able to change the components to see how the efficiency plots will vary. 
</t>
        </r>
        <r>
          <rPr>
            <b/>
            <sz val="9"/>
            <color indexed="81"/>
            <rFont val="Tahoma"/>
            <family val="2"/>
          </rPr>
          <t>Disclaimer:</t>
        </r>
        <r>
          <rPr>
            <sz val="9"/>
            <color indexed="81"/>
            <rFont val="Tahoma"/>
            <family val="2"/>
          </rPr>
          <t xml:space="preserve"> The efficiency plots are for </t>
        </r>
        <r>
          <rPr>
            <b/>
            <u/>
            <sz val="9"/>
            <color indexed="81"/>
            <rFont val="Tahoma"/>
            <family val="2"/>
          </rPr>
          <t>relative comparison only</t>
        </r>
        <r>
          <rPr>
            <sz val="9"/>
            <color indexed="81"/>
            <rFont val="Tahoma"/>
            <family val="2"/>
          </rPr>
          <t xml:space="preserve"> and </t>
        </r>
        <r>
          <rPr>
            <b/>
            <u/>
            <sz val="9"/>
            <color indexed="81"/>
            <rFont val="Tahoma"/>
            <family val="2"/>
          </rPr>
          <t>do not</t>
        </r>
        <r>
          <rPr>
            <sz val="9"/>
            <color indexed="81"/>
            <rFont val="Tahoma"/>
            <family val="2"/>
          </rPr>
          <t xml:space="preserve"> represent the actual efficiency that will be seen from physical tests.
If you don't want to save the previous data, select </t>
        </r>
        <r>
          <rPr>
            <b/>
            <sz val="9"/>
            <color indexed="81"/>
            <rFont val="Tahoma"/>
            <family val="2"/>
          </rPr>
          <t>Clear Save</t>
        </r>
        <r>
          <rPr>
            <sz val="9"/>
            <color indexed="81"/>
            <rFont val="Tahoma"/>
            <family val="2"/>
          </rPr>
          <t xml:space="preserve">.
</t>
        </r>
        <r>
          <rPr>
            <b/>
            <sz val="9"/>
            <color indexed="81"/>
            <rFont val="Tahoma"/>
            <family val="2"/>
          </rPr>
          <t>Text in cell is flagged red if:</t>
        </r>
        <r>
          <rPr>
            <sz val="9"/>
            <color indexed="81"/>
            <rFont val="Tahoma"/>
            <family val="2"/>
          </rPr>
          <t xml:space="preserve">
The Full Load Output Current IOUT(max) is changed after selecting </t>
        </r>
        <r>
          <rPr>
            <b/>
            <sz val="9"/>
            <color indexed="81"/>
            <rFont val="Tahoma"/>
            <family val="2"/>
          </rPr>
          <t>Save</t>
        </r>
        <r>
          <rPr>
            <sz val="9"/>
            <color indexed="81"/>
            <rFont val="Tahoma"/>
            <family val="2"/>
          </rPr>
          <t>. The efficiency tool will not catch that you changed the range of IOUT and will not correct the data shown.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Rook, Jacob</author>
  </authors>
  <commentList>
    <comment ref="A5" authorId="0" shapeId="0" xr:uid="{C549DB87-4910-4A56-9645-D3EE0459D0A6}">
      <text>
        <r>
          <rPr>
            <b/>
            <u/>
            <sz val="9"/>
            <color indexed="81"/>
            <rFont val="Tahoma"/>
            <family val="2"/>
          </rPr>
          <t>Thermistor Qualification:</t>
        </r>
        <r>
          <rPr>
            <sz val="9"/>
            <color indexed="81"/>
            <rFont val="Tahoma"/>
            <family val="2"/>
          </rPr>
          <t xml:space="preserve">
The charger device provides a single thermistor input for battery temperature monitor through the TS pin. The voltage on the TS pin must be within the VT1 to VT5 thresholds to initiate a charge cycle. If the TS voltage exceeds the T1-T5 range, the controller suspends charging and waits until the battery temperature is within the T1 to T5 range. 
For further guidance, please refer to the </t>
        </r>
        <r>
          <rPr>
            <b/>
            <sz val="9"/>
            <color indexed="81"/>
            <rFont val="Tahoma"/>
            <family val="2"/>
          </rPr>
          <t>7.3.4.7 Thermistor Qualification</t>
        </r>
        <r>
          <rPr>
            <sz val="9"/>
            <color indexed="81"/>
            <rFont val="Tahoma"/>
            <family val="2"/>
          </rPr>
          <t xml:space="preserve"> section of the datasheet. </t>
        </r>
      </text>
    </comment>
    <comment ref="F6" authorId="0" shapeId="0" xr:uid="{207A2C04-91BA-4438-BEC4-4A9F0A7BD842}">
      <text>
        <r>
          <rPr>
            <b/>
            <u/>
            <sz val="9"/>
            <color indexed="81"/>
            <rFont val="Tahoma"/>
            <family val="2"/>
          </rPr>
          <t>Selected Cold Temperature Threshold:</t>
        </r>
        <r>
          <rPr>
            <b/>
            <sz val="9"/>
            <color indexed="81"/>
            <rFont val="Tahoma"/>
            <family val="2"/>
          </rPr>
          <t xml:space="preserve">
</t>
        </r>
        <r>
          <rPr>
            <sz val="9"/>
            <color indexed="81"/>
            <rFont val="Tahoma"/>
            <family val="2"/>
          </rPr>
          <t>The Selected Cold Temperature Threshold is the T1 threshold that the charger will operate in. To set this value, set the TS_T1 bits in the REG0x1B TS_Charging_Threshold_Control Register.
For further guidance on the Thermistor Qualification, please see the note on the "Step 8: Thermistor Qualification" cell.</t>
        </r>
      </text>
    </comment>
    <comment ref="F9" authorId="0" shapeId="0" xr:uid="{66596CE3-E6A4-455E-88DC-4A47FDF55E3F}">
      <text>
        <r>
          <rPr>
            <b/>
            <u/>
            <sz val="9"/>
            <color indexed="81"/>
            <rFont val="Tahoma"/>
            <family val="2"/>
          </rPr>
          <t>Selected Hot Temperature Threshold:</t>
        </r>
        <r>
          <rPr>
            <b/>
            <sz val="9"/>
            <color indexed="81"/>
            <rFont val="Tahoma"/>
            <family val="2"/>
          </rPr>
          <t xml:space="preserve">
</t>
        </r>
        <r>
          <rPr>
            <sz val="9"/>
            <color indexed="81"/>
            <rFont val="Tahoma"/>
            <family val="2"/>
          </rPr>
          <t>The Selected Hot Temperature Threshold is the T5 threshold that the charger will operate in. To set this value, set the TS_T5 bits in the REG0x1B TS_Charging_Threshold_Control Register.
For further guidance on the Thermistor Qualification, please see the note on the "Step 8: Thermistor Qualification" cell.</t>
        </r>
      </text>
    </comment>
    <comment ref="F10" authorId="0" shapeId="0" xr:uid="{08E0E430-6E59-444F-BB70-37022CEBEDBF}">
      <text>
        <r>
          <rPr>
            <b/>
            <u/>
            <sz val="9"/>
            <color indexed="81"/>
            <rFont val="Tahoma"/>
            <family val="2"/>
          </rPr>
          <t>Thermistor Cold Resistance:</t>
        </r>
        <r>
          <rPr>
            <sz val="9"/>
            <color indexed="81"/>
            <rFont val="Tahoma"/>
            <family val="2"/>
          </rPr>
          <t xml:space="preserve">
Resistance of the chosen thermistor at the Selected Cold Temperature threshold. This value is pulled from the entered Thermistor Resistance Profile data. </t>
        </r>
      </text>
    </comment>
    <comment ref="F11" authorId="0" shapeId="0" xr:uid="{D4F3BCCD-4965-4C37-B13F-49BCE2D76D34}">
      <text>
        <r>
          <rPr>
            <b/>
            <u/>
            <sz val="9"/>
            <color indexed="81"/>
            <rFont val="Tahoma"/>
            <family val="2"/>
          </rPr>
          <t>Thermistor Hot Resistance:</t>
        </r>
        <r>
          <rPr>
            <sz val="9"/>
            <color indexed="81"/>
            <rFont val="Tahoma"/>
            <family val="2"/>
          </rPr>
          <t xml:space="preserve">
Resistance of the chosen thermistor at the Selected Hot Temperature threshold. This value is pulled from the entered Thermistor Resistance Profile data. </t>
        </r>
      </text>
    </comment>
    <comment ref="F12" authorId="0" shapeId="0" xr:uid="{CBF20758-8B27-4168-9D16-10C2892DF23A}">
      <text>
        <r>
          <rPr>
            <b/>
            <u/>
            <sz val="9"/>
            <color indexed="81"/>
            <rFont val="Tahoma"/>
            <family val="2"/>
          </rPr>
          <t>Recommended TS Top Resistor:</t>
        </r>
        <r>
          <rPr>
            <sz val="9"/>
            <color indexed="81"/>
            <rFont val="Tahoma"/>
            <family val="2"/>
          </rPr>
          <t xml:space="preserve">
Recommended TS Top Resistor in order for the charger to operate in the Selected Temperature thresholds. The resistors used, need to be as close to the recommended values as possible or else the actual thresholds will vary.
RT1 and RT2 are calculated with the following equations:
                   RTH</t>
        </r>
        <r>
          <rPr>
            <vertAlign val="subscript"/>
            <sz val="9"/>
            <color indexed="81"/>
            <rFont val="Tahoma"/>
            <family val="2"/>
          </rPr>
          <t>COLD</t>
        </r>
        <r>
          <rPr>
            <sz val="9"/>
            <color indexed="81"/>
            <rFont val="Tahoma"/>
            <family val="2"/>
          </rPr>
          <t xml:space="preserve"> * RTH</t>
        </r>
        <r>
          <rPr>
            <vertAlign val="subscript"/>
            <sz val="9"/>
            <color indexed="81"/>
            <rFont val="Tahoma"/>
            <family val="2"/>
          </rPr>
          <t xml:space="preserve">HOT </t>
        </r>
        <r>
          <rPr>
            <sz val="9"/>
            <color indexed="81"/>
            <rFont val="Tahoma"/>
            <family val="2"/>
          </rPr>
          <t>* (1/VT1-1/VT5)
RT2 = -----------------------------------------------------------------
          RTH</t>
        </r>
        <r>
          <rPr>
            <vertAlign val="subscript"/>
            <sz val="9"/>
            <color indexed="81"/>
            <rFont val="Tahoma"/>
            <family val="2"/>
          </rPr>
          <t>HOT</t>
        </r>
        <r>
          <rPr>
            <sz val="9"/>
            <color indexed="81"/>
            <rFont val="Tahoma"/>
            <family val="2"/>
          </rPr>
          <t xml:space="preserve"> * (1/VT5 - 1) - RTH</t>
        </r>
        <r>
          <rPr>
            <vertAlign val="subscript"/>
            <sz val="9"/>
            <color indexed="81"/>
            <rFont val="Tahoma"/>
            <family val="2"/>
          </rPr>
          <t>COLD</t>
        </r>
        <r>
          <rPr>
            <sz val="9"/>
            <color indexed="81"/>
            <rFont val="Tahoma"/>
            <family val="2"/>
          </rPr>
          <t xml:space="preserve"> * (1/VT1 - 1)
                  1/VT1 - 1
RT1 = -------------------------------
            1/RT2 + 1/RTH</t>
        </r>
        <r>
          <rPr>
            <vertAlign val="subscript"/>
            <sz val="9"/>
            <color indexed="81"/>
            <rFont val="Tahoma"/>
            <family val="2"/>
          </rPr>
          <t>COLD</t>
        </r>
        <r>
          <rPr>
            <sz val="9"/>
            <color indexed="81"/>
            <rFont val="Tahoma"/>
            <family val="2"/>
          </rPr>
          <t xml:space="preserve"> 
where VT1 and VT5 are the voltage thresholds that the charger will operate in. VT1 and VT5 can be calculated by multiplying the REGN voltage by the corresponding temperature threshold control ratio. This threshold control ratio can be found in </t>
        </r>
        <r>
          <rPr>
            <b/>
            <sz val="9"/>
            <color indexed="81"/>
            <rFont val="Tahoma"/>
            <family val="2"/>
          </rPr>
          <t>Table 7-23. REG0x1b_TS_Chargin_Threshold_Control Register Field Descriptions.</t>
        </r>
      </text>
    </comment>
    <comment ref="F13" authorId="0" shapeId="0" xr:uid="{168FFEB8-543D-4B6C-BE51-91BEE25CF95A}">
      <text>
        <r>
          <rPr>
            <b/>
            <u/>
            <sz val="9"/>
            <color indexed="81"/>
            <rFont val="Tahoma"/>
            <family val="2"/>
          </rPr>
          <t>Recommended TS Bottom Resistor:</t>
        </r>
        <r>
          <rPr>
            <sz val="9"/>
            <color indexed="81"/>
            <rFont val="Tahoma"/>
            <family val="2"/>
          </rPr>
          <t xml:space="preserve">
Recommended TS Top Resistor in order for the charger to operate in the Selected Temperature thresholds. The resistors used, need to be as close to the recommended values as possible or else the actual thresholds will vary.
RT1 and RT2 are calculated with the following equations:
                   RTH</t>
        </r>
        <r>
          <rPr>
            <vertAlign val="subscript"/>
            <sz val="9"/>
            <color indexed="81"/>
            <rFont val="Tahoma"/>
            <family val="2"/>
          </rPr>
          <t>COLD</t>
        </r>
        <r>
          <rPr>
            <sz val="9"/>
            <color indexed="81"/>
            <rFont val="Tahoma"/>
            <family val="2"/>
          </rPr>
          <t xml:space="preserve"> * RTH</t>
        </r>
        <r>
          <rPr>
            <vertAlign val="subscript"/>
            <sz val="9"/>
            <color indexed="81"/>
            <rFont val="Tahoma"/>
            <family val="2"/>
          </rPr>
          <t xml:space="preserve">HOT </t>
        </r>
        <r>
          <rPr>
            <sz val="9"/>
            <color indexed="81"/>
            <rFont val="Tahoma"/>
            <family val="2"/>
          </rPr>
          <t>* (1/VT1-1/VT5)
RT2 = -----------------------------------------------------------------
          RTH</t>
        </r>
        <r>
          <rPr>
            <vertAlign val="subscript"/>
            <sz val="9"/>
            <color indexed="81"/>
            <rFont val="Tahoma"/>
            <family val="2"/>
          </rPr>
          <t>HOT</t>
        </r>
        <r>
          <rPr>
            <sz val="9"/>
            <color indexed="81"/>
            <rFont val="Tahoma"/>
            <family val="2"/>
          </rPr>
          <t xml:space="preserve"> * (1/VT5 - 1) - RTH</t>
        </r>
        <r>
          <rPr>
            <vertAlign val="subscript"/>
            <sz val="9"/>
            <color indexed="81"/>
            <rFont val="Tahoma"/>
            <family val="2"/>
          </rPr>
          <t>COLD</t>
        </r>
        <r>
          <rPr>
            <sz val="9"/>
            <color indexed="81"/>
            <rFont val="Tahoma"/>
            <family val="2"/>
          </rPr>
          <t xml:space="preserve"> * (1/VT1 - 1)
                  1/VT1 - 1
RT1 = -------------------------------
            1/RT2 + 1/RTH</t>
        </r>
        <r>
          <rPr>
            <vertAlign val="subscript"/>
            <sz val="9"/>
            <color indexed="81"/>
            <rFont val="Tahoma"/>
            <family val="2"/>
          </rPr>
          <t>COLD</t>
        </r>
        <r>
          <rPr>
            <sz val="9"/>
            <color indexed="81"/>
            <rFont val="Tahoma"/>
            <family val="2"/>
          </rPr>
          <t xml:space="preserve"> 
where VT1 and VT5 are the voltage thresholds that the charger will operate in. VT1 and VT5 can be calculated by multiplying the REGN voltage by the corresponding temperature threshold control ratio. This threshold control ratio can be found in </t>
        </r>
        <r>
          <rPr>
            <b/>
            <sz val="9"/>
            <color indexed="81"/>
            <rFont val="Tahoma"/>
            <family val="2"/>
          </rPr>
          <t>Table 7-23. REG0x1b_TS_Chargin_Threshold_Control Register Field Descriptions.</t>
        </r>
      </text>
    </comment>
    <comment ref="F16" authorId="0" shapeId="0" xr:uid="{6A5662C2-0B04-4ACA-B968-DDE0B4CCBE7D}">
      <text>
        <r>
          <rPr>
            <b/>
            <u/>
            <sz val="9"/>
            <color indexed="81"/>
            <rFont val="Tahoma"/>
            <family val="2"/>
          </rPr>
          <t>Typ Recommended Real TS Top Resistor:</t>
        </r>
        <r>
          <rPr>
            <b/>
            <sz val="9"/>
            <color indexed="81"/>
            <rFont val="Tahoma"/>
            <family val="2"/>
          </rPr>
          <t xml:space="preserve">
</t>
        </r>
        <r>
          <rPr>
            <sz val="9"/>
            <color indexed="81"/>
            <rFont val="Tahoma"/>
            <family val="2"/>
          </rPr>
          <t xml:space="preserve">This is the typical value of the standard 0.1% resistor closest to the </t>
        </r>
        <r>
          <rPr>
            <b/>
            <sz val="9"/>
            <color indexed="81"/>
            <rFont val="Tahoma"/>
            <family val="2"/>
          </rPr>
          <t>Ideal TS Top Resistor RT1</t>
        </r>
        <r>
          <rPr>
            <sz val="9"/>
            <color indexed="81"/>
            <rFont val="Tahoma"/>
            <family val="2"/>
          </rPr>
          <t xml:space="preserve"> in the </t>
        </r>
        <r>
          <rPr>
            <b/>
            <sz val="9"/>
            <color indexed="81"/>
            <rFont val="Tahoma"/>
            <family val="2"/>
          </rPr>
          <t>Thermistor Qualification</t>
        </r>
        <r>
          <rPr>
            <sz val="9"/>
            <color indexed="81"/>
            <rFont val="Tahoma"/>
            <family val="2"/>
          </rPr>
          <t xml:space="preserve"> section. 
The cell is green because the user needs to use this resistance value to get the best results for the Thermistor Qualification. </t>
        </r>
      </text>
    </comment>
    <comment ref="F17" authorId="0" shapeId="0" xr:uid="{B61334BB-D70F-4B4D-9915-C6B4BBB7047F}">
      <text>
        <r>
          <rPr>
            <b/>
            <u/>
            <sz val="9"/>
            <color indexed="81"/>
            <rFont val="Tahoma"/>
            <family val="2"/>
          </rPr>
          <t>Typ Recommended Real TS Bottom Resistor:</t>
        </r>
        <r>
          <rPr>
            <b/>
            <sz val="9"/>
            <color indexed="81"/>
            <rFont val="Tahoma"/>
            <family val="2"/>
          </rPr>
          <t xml:space="preserve">
</t>
        </r>
        <r>
          <rPr>
            <sz val="9"/>
            <color indexed="81"/>
            <rFont val="Tahoma"/>
            <family val="2"/>
          </rPr>
          <t xml:space="preserve">This is the typical value of the standard 0.1% resistor closest to the </t>
        </r>
        <r>
          <rPr>
            <b/>
            <sz val="9"/>
            <color indexed="81"/>
            <rFont val="Tahoma"/>
            <family val="2"/>
          </rPr>
          <t>Ideal TS Top Resistor RT2</t>
        </r>
        <r>
          <rPr>
            <sz val="9"/>
            <color indexed="81"/>
            <rFont val="Tahoma"/>
            <family val="2"/>
          </rPr>
          <t xml:space="preserve"> in the </t>
        </r>
        <r>
          <rPr>
            <b/>
            <sz val="9"/>
            <color indexed="81"/>
            <rFont val="Tahoma"/>
            <family val="2"/>
          </rPr>
          <t>Thermistor Qualification</t>
        </r>
        <r>
          <rPr>
            <sz val="9"/>
            <color indexed="81"/>
            <rFont val="Tahoma"/>
            <family val="2"/>
          </rPr>
          <t xml:space="preserve"> section. 
The cell is green because the user needs to use this resistance value to get the best results for the Thermistor Qualification. </t>
        </r>
      </text>
    </comment>
  </commentList>
</comments>
</file>

<file path=xl/sharedStrings.xml><?xml version="1.0" encoding="utf-8"?>
<sst xmlns="http://schemas.openxmlformats.org/spreadsheetml/2006/main" count="845" uniqueCount="348">
  <si>
    <t xml:space="preserve">BQ25756 Buck-Boost Battery Charger Design Calculator </t>
  </si>
  <si>
    <t>View Password</t>
  </si>
  <si>
    <t xml:space="preserve"> = Input Box</t>
  </si>
  <si>
    <t>BQ2575X</t>
  </si>
  <si>
    <t>Step 1: Operating Specifications</t>
  </si>
  <si>
    <t>Red Text = Conditional Formatting Conditions</t>
  </si>
  <si>
    <r>
      <t>Input Voltage - Min, V</t>
    </r>
    <r>
      <rPr>
        <b/>
        <vertAlign val="subscript"/>
        <sz val="10"/>
        <color theme="1"/>
        <rFont val="Arial"/>
        <family val="2"/>
      </rPr>
      <t>AC(min)</t>
    </r>
  </si>
  <si>
    <t>V</t>
  </si>
  <si>
    <r>
      <t>Input Voltage - Nom, V</t>
    </r>
    <r>
      <rPr>
        <b/>
        <vertAlign val="subscript"/>
        <sz val="10"/>
        <color theme="1"/>
        <rFont val="Arial"/>
        <family val="2"/>
      </rPr>
      <t>AC(nom)</t>
    </r>
  </si>
  <si>
    <r>
      <t>Input Voltage - Max, V</t>
    </r>
    <r>
      <rPr>
        <b/>
        <vertAlign val="subscript"/>
        <sz val="10"/>
        <color theme="1"/>
        <rFont val="Arial"/>
        <family val="2"/>
      </rPr>
      <t>AC(max)</t>
    </r>
  </si>
  <si>
    <r>
      <t>Battery Voltage, V</t>
    </r>
    <r>
      <rPr>
        <b/>
        <vertAlign val="subscript"/>
        <sz val="10"/>
        <color theme="1"/>
        <rFont val="Arial"/>
        <family val="2"/>
      </rPr>
      <t>BAT</t>
    </r>
  </si>
  <si>
    <r>
      <t>Full Load Output Current, I</t>
    </r>
    <r>
      <rPr>
        <b/>
        <vertAlign val="subscript"/>
        <sz val="10"/>
        <color theme="1"/>
        <rFont val="Arial"/>
        <family val="2"/>
      </rPr>
      <t>OUT(max)</t>
    </r>
  </si>
  <si>
    <t>A</t>
  </si>
  <si>
    <t>Black Text = Lists or Formulas</t>
  </si>
  <si>
    <t>Step 2: Switching Frequency</t>
  </si>
  <si>
    <r>
      <t>Desired Switching Frequency, F</t>
    </r>
    <r>
      <rPr>
        <b/>
        <vertAlign val="subscript"/>
        <sz val="10"/>
        <color theme="1"/>
        <rFont val="Arial"/>
        <family val="2"/>
      </rPr>
      <t>DFW</t>
    </r>
  </si>
  <si>
    <t>kHz</t>
  </si>
  <si>
    <r>
      <t>Recommended Switching Frequency Resistor, R</t>
    </r>
    <r>
      <rPr>
        <vertAlign val="subscript"/>
        <sz val="10"/>
        <color theme="1"/>
        <rFont val="Arial"/>
        <family val="2"/>
      </rPr>
      <t>FSW</t>
    </r>
  </si>
  <si>
    <t>kΩ</t>
  </si>
  <si>
    <r>
      <t>Selected Switching Frequency Resistor, R</t>
    </r>
    <r>
      <rPr>
        <b/>
        <vertAlign val="subscript"/>
        <sz val="10"/>
        <color theme="1"/>
        <rFont val="Arial"/>
        <family val="2"/>
      </rPr>
      <t>FSW</t>
    </r>
  </si>
  <si>
    <r>
      <t>Recognized Switching Frequency, F</t>
    </r>
    <r>
      <rPr>
        <vertAlign val="subscript"/>
        <sz val="10"/>
        <color theme="1"/>
        <rFont val="Arial"/>
        <family val="2"/>
      </rPr>
      <t>SW</t>
    </r>
  </si>
  <si>
    <t>Boost Duty Cycle Limitation</t>
  </si>
  <si>
    <t>%</t>
  </si>
  <si>
    <r>
      <t>Boost Output Voltage Limitation at V</t>
    </r>
    <r>
      <rPr>
        <vertAlign val="subscript"/>
        <sz val="10"/>
        <color theme="1"/>
        <rFont val="Arial"/>
        <family val="2"/>
      </rPr>
      <t>AC(min)</t>
    </r>
  </si>
  <si>
    <r>
      <t>Boost Output Voltage Limitation at V</t>
    </r>
    <r>
      <rPr>
        <vertAlign val="subscript"/>
        <sz val="10"/>
        <color theme="1"/>
        <rFont val="Arial"/>
        <family val="2"/>
      </rPr>
      <t>AC(nom)</t>
    </r>
  </si>
  <si>
    <r>
      <t>Boost Output Voltage Limitation at V</t>
    </r>
    <r>
      <rPr>
        <vertAlign val="subscript"/>
        <sz val="10"/>
        <color theme="1"/>
        <rFont val="Arial"/>
        <family val="2"/>
      </rPr>
      <t>AC(max)</t>
    </r>
  </si>
  <si>
    <t>Step 3: Filter Inductor</t>
  </si>
  <si>
    <r>
      <t>Maximum Average Inductor Current, I</t>
    </r>
    <r>
      <rPr>
        <vertAlign val="subscript"/>
        <sz val="10"/>
        <color theme="1"/>
        <rFont val="Arial"/>
        <family val="2"/>
      </rPr>
      <t>L(MAX)</t>
    </r>
  </si>
  <si>
    <r>
      <t>Selected Inductor Saturation Current, I</t>
    </r>
    <r>
      <rPr>
        <vertAlign val="subscript"/>
        <sz val="10"/>
        <color theme="1"/>
        <rFont val="Arial"/>
        <family val="2"/>
      </rPr>
      <t>SAT</t>
    </r>
  </si>
  <si>
    <t>Minimum Inductance, L</t>
  </si>
  <si>
    <t>µH</t>
  </si>
  <si>
    <t>Selected Inductance, L</t>
  </si>
  <si>
    <t>Minimum Recommended Inductor DCR</t>
  </si>
  <si>
    <t>mΩ</t>
  </si>
  <si>
    <t>Maximum Recommended Inductor DCR</t>
  </si>
  <si>
    <t>Selected Inductor DCR</t>
  </si>
  <si>
    <r>
      <t>Pk-to-Pk Ripple Current at V</t>
    </r>
    <r>
      <rPr>
        <vertAlign val="subscript"/>
        <sz val="10"/>
        <color theme="1"/>
        <rFont val="Arial"/>
        <family val="2"/>
      </rPr>
      <t>AC(min)</t>
    </r>
    <r>
      <rPr>
        <sz val="10"/>
        <color theme="1"/>
        <rFont val="Arial"/>
        <family val="2"/>
      </rPr>
      <t>, ∆I</t>
    </r>
    <r>
      <rPr>
        <vertAlign val="subscript"/>
        <sz val="10"/>
        <color theme="1"/>
        <rFont val="Arial"/>
        <family val="2"/>
      </rPr>
      <t>L1</t>
    </r>
  </si>
  <si>
    <r>
      <t>A</t>
    </r>
    <r>
      <rPr>
        <vertAlign val="subscript"/>
        <sz val="10"/>
        <color theme="1"/>
        <rFont val="Arial"/>
        <family val="2"/>
      </rPr>
      <t>pk-pk</t>
    </r>
  </si>
  <si>
    <r>
      <t>Pk-to-Pk Ripple Current at V</t>
    </r>
    <r>
      <rPr>
        <vertAlign val="subscript"/>
        <sz val="10"/>
        <color theme="1"/>
        <rFont val="Arial"/>
        <family val="2"/>
      </rPr>
      <t>AC(nom)</t>
    </r>
    <r>
      <rPr>
        <sz val="10"/>
        <color theme="1"/>
        <rFont val="Arial"/>
        <family val="2"/>
      </rPr>
      <t>, ∆I</t>
    </r>
    <r>
      <rPr>
        <vertAlign val="subscript"/>
        <sz val="10"/>
        <color theme="1"/>
        <rFont val="Arial"/>
        <family val="2"/>
      </rPr>
      <t>L2</t>
    </r>
  </si>
  <si>
    <r>
      <t>Pk-to-Pk Ripple Current at V</t>
    </r>
    <r>
      <rPr>
        <vertAlign val="subscript"/>
        <sz val="10"/>
        <color theme="1"/>
        <rFont val="Arial"/>
        <family val="2"/>
      </rPr>
      <t>AC(max)</t>
    </r>
    <r>
      <rPr>
        <sz val="10"/>
        <color theme="1"/>
        <rFont val="Arial"/>
        <family val="2"/>
      </rPr>
      <t>, ∆I</t>
    </r>
    <r>
      <rPr>
        <vertAlign val="subscript"/>
        <sz val="10"/>
        <color theme="1"/>
        <rFont val="Arial"/>
        <family val="2"/>
      </rPr>
      <t>L3</t>
    </r>
  </si>
  <si>
    <r>
      <t>∆I</t>
    </r>
    <r>
      <rPr>
        <vertAlign val="subscript"/>
        <sz val="10"/>
        <color theme="1"/>
        <rFont val="Arial"/>
        <family val="2"/>
      </rPr>
      <t xml:space="preserve">L </t>
    </r>
    <r>
      <rPr>
        <sz val="10"/>
        <color theme="1"/>
        <rFont val="Arial"/>
        <family val="2"/>
      </rPr>
      <t>as a % at V</t>
    </r>
    <r>
      <rPr>
        <vertAlign val="subscript"/>
        <sz val="10"/>
        <color theme="1"/>
        <rFont val="Arial"/>
        <family val="2"/>
      </rPr>
      <t>AC(min)</t>
    </r>
  </si>
  <si>
    <r>
      <t>∆I</t>
    </r>
    <r>
      <rPr>
        <vertAlign val="subscript"/>
        <sz val="10"/>
        <color theme="1"/>
        <rFont val="Arial"/>
        <family val="2"/>
      </rPr>
      <t xml:space="preserve">L </t>
    </r>
    <r>
      <rPr>
        <sz val="10"/>
        <color theme="1"/>
        <rFont val="Arial"/>
        <family val="2"/>
      </rPr>
      <t>as a % at V</t>
    </r>
    <r>
      <rPr>
        <vertAlign val="subscript"/>
        <sz val="10"/>
        <color theme="1"/>
        <rFont val="Arial"/>
        <family val="2"/>
      </rPr>
      <t>AC(nom)</t>
    </r>
  </si>
  <si>
    <r>
      <t>∆I</t>
    </r>
    <r>
      <rPr>
        <vertAlign val="subscript"/>
        <sz val="10"/>
        <color theme="1"/>
        <rFont val="Arial"/>
        <family val="2"/>
      </rPr>
      <t xml:space="preserve">L </t>
    </r>
    <r>
      <rPr>
        <sz val="10"/>
        <color theme="1"/>
        <rFont val="Arial"/>
        <family val="2"/>
      </rPr>
      <t>as a % at V</t>
    </r>
    <r>
      <rPr>
        <vertAlign val="subscript"/>
        <sz val="10"/>
        <color theme="1"/>
        <rFont val="Arial"/>
        <family val="2"/>
      </rPr>
      <t>AC(max)</t>
    </r>
  </si>
  <si>
    <r>
      <t>Peak Inductor Current, I</t>
    </r>
    <r>
      <rPr>
        <vertAlign val="subscript"/>
        <sz val="10"/>
        <color theme="1"/>
        <rFont val="Arial"/>
        <family val="2"/>
      </rPr>
      <t>L(PEAK)</t>
    </r>
  </si>
  <si>
    <t>Step 4a: Input Sense Resistors and Input Current Limit</t>
  </si>
  <si>
    <r>
      <t>Recommended Input Current Sense Resistor, R</t>
    </r>
    <r>
      <rPr>
        <vertAlign val="subscript"/>
        <sz val="10"/>
        <color theme="1"/>
        <rFont val="Arial"/>
        <family val="2"/>
      </rPr>
      <t>AC_SNS</t>
    </r>
  </si>
  <si>
    <r>
      <t>Selected Input Current Sense Resistor, R</t>
    </r>
    <r>
      <rPr>
        <b/>
        <vertAlign val="subscript"/>
        <sz val="10"/>
        <color theme="1"/>
        <rFont val="Arial"/>
        <family val="2"/>
      </rPr>
      <t>AC_SNS</t>
    </r>
  </si>
  <si>
    <r>
      <t>Maximum Input Current Limit, I</t>
    </r>
    <r>
      <rPr>
        <vertAlign val="subscript"/>
        <sz val="10"/>
        <color theme="1"/>
        <rFont val="Arial"/>
        <family val="2"/>
      </rPr>
      <t>AC_MAX(max)</t>
    </r>
  </si>
  <si>
    <r>
      <t>Input Current Resolution, I</t>
    </r>
    <r>
      <rPr>
        <vertAlign val="subscript"/>
        <sz val="10"/>
        <color theme="1"/>
        <rFont val="Arial"/>
        <family val="2"/>
      </rPr>
      <t>AC_MAX(</t>
    </r>
    <r>
      <rPr>
        <vertAlign val="subscript"/>
        <sz val="10"/>
        <color theme="1"/>
        <rFont val="Calibri"/>
        <family val="2"/>
      </rPr>
      <t>∆</t>
    </r>
    <r>
      <rPr>
        <vertAlign val="subscript"/>
        <sz val="10"/>
        <color theme="1"/>
        <rFont val="Arial"/>
        <family val="2"/>
      </rPr>
      <t>)</t>
    </r>
  </si>
  <si>
    <t>mA/step</t>
  </si>
  <si>
    <r>
      <t>Desired Input Current Limit, I</t>
    </r>
    <r>
      <rPr>
        <b/>
        <vertAlign val="subscript"/>
        <sz val="10"/>
        <color theme="1"/>
        <rFont val="Arial"/>
        <family val="2"/>
      </rPr>
      <t>AC_MAX</t>
    </r>
  </si>
  <si>
    <r>
      <t>Recommended Input Pull-down Resistor, R</t>
    </r>
    <r>
      <rPr>
        <vertAlign val="subscript"/>
        <sz val="10"/>
        <color theme="1"/>
        <rFont val="Arial"/>
        <family val="2"/>
      </rPr>
      <t>IIN</t>
    </r>
  </si>
  <si>
    <r>
      <t>Selected Input Pull-down Resistor, R</t>
    </r>
    <r>
      <rPr>
        <b/>
        <vertAlign val="subscript"/>
        <sz val="10"/>
        <color theme="1"/>
        <rFont val="Arial"/>
        <family val="2"/>
      </rPr>
      <t>IIN</t>
    </r>
  </si>
  <si>
    <r>
      <t>Recognized Input Current Limit, I</t>
    </r>
    <r>
      <rPr>
        <vertAlign val="subscript"/>
        <sz val="10"/>
        <color theme="1"/>
        <rFont val="Arial"/>
        <family val="2"/>
      </rPr>
      <t>AC_MAX</t>
    </r>
  </si>
  <si>
    <t>Step 4b: Output Current Limit</t>
  </si>
  <si>
    <r>
      <t>Battery Current Sense Resistor, R</t>
    </r>
    <r>
      <rPr>
        <b/>
        <vertAlign val="subscript"/>
        <sz val="10"/>
        <color theme="1"/>
        <rFont val="Arial"/>
        <family val="2"/>
      </rPr>
      <t>BAT_SNS</t>
    </r>
  </si>
  <si>
    <r>
      <t>Maximum Output Current Limit, I</t>
    </r>
    <r>
      <rPr>
        <vertAlign val="subscript"/>
        <sz val="10"/>
        <color theme="1"/>
        <rFont val="Arial"/>
        <family val="2"/>
      </rPr>
      <t>OUT_MAX(max)</t>
    </r>
  </si>
  <si>
    <r>
      <t>Output Current Resolution, I</t>
    </r>
    <r>
      <rPr>
        <vertAlign val="subscript"/>
        <sz val="10"/>
        <color theme="1"/>
        <rFont val="Arial"/>
        <family val="2"/>
      </rPr>
      <t>OUT_MAX(</t>
    </r>
    <r>
      <rPr>
        <vertAlign val="subscript"/>
        <sz val="10"/>
        <color theme="1"/>
        <rFont val="Calibri"/>
        <family val="2"/>
      </rPr>
      <t>∆</t>
    </r>
    <r>
      <rPr>
        <vertAlign val="subscript"/>
        <sz val="10"/>
        <color theme="1"/>
        <rFont val="Arial"/>
        <family val="2"/>
      </rPr>
      <t>)</t>
    </r>
  </si>
  <si>
    <r>
      <t>Desired Output Current Limit, I</t>
    </r>
    <r>
      <rPr>
        <b/>
        <vertAlign val="subscript"/>
        <sz val="10"/>
        <color theme="1"/>
        <rFont val="Arial"/>
        <family val="2"/>
      </rPr>
      <t>OUT_MAX</t>
    </r>
  </si>
  <si>
    <r>
      <t>Recommended Output Pull-down Resistor, R</t>
    </r>
    <r>
      <rPr>
        <vertAlign val="subscript"/>
        <sz val="10"/>
        <color theme="1"/>
        <rFont val="Arial"/>
        <family val="2"/>
      </rPr>
      <t>IOUT</t>
    </r>
  </si>
  <si>
    <r>
      <t>Selected Output Pull-down Resistor, R</t>
    </r>
    <r>
      <rPr>
        <b/>
        <vertAlign val="subscript"/>
        <sz val="10"/>
        <color theme="1"/>
        <rFont val="Arial"/>
        <family val="2"/>
      </rPr>
      <t>IOUT</t>
    </r>
  </si>
  <si>
    <r>
      <t>Recognized Output Current Limit, I</t>
    </r>
    <r>
      <rPr>
        <vertAlign val="subscript"/>
        <sz val="10"/>
        <color theme="1"/>
        <rFont val="Arial"/>
        <family val="2"/>
      </rPr>
      <t>AC_MAX</t>
    </r>
  </si>
  <si>
    <t>Step 5: ACUV / ACOV Input Voltage Operating Window Programming</t>
  </si>
  <si>
    <t>Desired Input Overvoltage Limit, ACOV</t>
  </si>
  <si>
    <t>Desired Input Undervoltage Limit, ACUV</t>
  </si>
  <si>
    <r>
      <rPr>
        <sz val="10"/>
        <color theme="1"/>
        <rFont val="Arial"/>
        <family val="2"/>
      </rPr>
      <t>Recommended Top Resistor, R</t>
    </r>
    <r>
      <rPr>
        <vertAlign val="subscript"/>
        <sz val="10"/>
        <color theme="1"/>
        <rFont val="Arial"/>
        <family val="2"/>
      </rPr>
      <t>AC1</t>
    </r>
  </si>
  <si>
    <r>
      <t>Recommended Middle Resistor, R</t>
    </r>
    <r>
      <rPr>
        <vertAlign val="subscript"/>
        <sz val="10"/>
        <color theme="1"/>
        <rFont val="Arial"/>
        <family val="2"/>
      </rPr>
      <t>AC2</t>
    </r>
  </si>
  <si>
    <r>
      <t>Recommended Bottom Resistor, R</t>
    </r>
    <r>
      <rPr>
        <vertAlign val="subscript"/>
        <sz val="10"/>
        <color theme="1"/>
        <rFont val="Arial"/>
        <family val="2"/>
      </rPr>
      <t>AC3</t>
    </r>
  </si>
  <si>
    <r>
      <t>Selected Top Resistor, R</t>
    </r>
    <r>
      <rPr>
        <b/>
        <vertAlign val="subscript"/>
        <sz val="10"/>
        <color theme="1"/>
        <rFont val="Arial"/>
        <family val="2"/>
      </rPr>
      <t>AC1</t>
    </r>
  </si>
  <si>
    <r>
      <t>Selected Middle Resistor, R</t>
    </r>
    <r>
      <rPr>
        <b/>
        <vertAlign val="subscript"/>
        <sz val="10"/>
        <color theme="1"/>
        <rFont val="Arial"/>
        <family val="2"/>
      </rPr>
      <t>AC2</t>
    </r>
  </si>
  <si>
    <r>
      <t>Selected Bottom Resistor, R</t>
    </r>
    <r>
      <rPr>
        <b/>
        <vertAlign val="subscript"/>
        <sz val="10"/>
        <color theme="1"/>
        <rFont val="Arial"/>
        <family val="2"/>
      </rPr>
      <t>AC3</t>
    </r>
  </si>
  <si>
    <t>Recognized Input Overvoltage Limit, ACOV</t>
  </si>
  <si>
    <t>Recognized Input Undervoltage Limit, ACUV</t>
  </si>
  <si>
    <t>Step 6: Charge Voltage Selection</t>
  </si>
  <si>
    <r>
      <t>Desired Battery Regulation Target, V</t>
    </r>
    <r>
      <rPr>
        <b/>
        <vertAlign val="subscript"/>
        <sz val="10"/>
        <color theme="1"/>
        <rFont val="Arial"/>
        <family val="2"/>
      </rPr>
      <t>BATREG</t>
    </r>
  </si>
  <si>
    <r>
      <t>Recommended Feedback Top Resistor, R</t>
    </r>
    <r>
      <rPr>
        <vertAlign val="subscript"/>
        <sz val="10"/>
        <color theme="1"/>
        <rFont val="Arial"/>
        <family val="2"/>
      </rPr>
      <t>FB_TOP</t>
    </r>
  </si>
  <si>
    <r>
      <t>Recommended Feedback Bottom Resistor, R</t>
    </r>
    <r>
      <rPr>
        <vertAlign val="subscript"/>
        <sz val="10"/>
        <color theme="1"/>
        <rFont val="Arial"/>
        <family val="2"/>
      </rPr>
      <t>FB_BOT</t>
    </r>
  </si>
  <si>
    <r>
      <t>Recommended Target Feedback Voltage, V</t>
    </r>
    <r>
      <rPr>
        <vertAlign val="subscript"/>
        <sz val="10"/>
        <color theme="1"/>
        <rFont val="Arial"/>
        <family val="2"/>
      </rPr>
      <t>FB</t>
    </r>
  </si>
  <si>
    <r>
      <t>Selected Feedback Top Resistor, R</t>
    </r>
    <r>
      <rPr>
        <b/>
        <vertAlign val="subscript"/>
        <sz val="10"/>
        <color theme="1"/>
        <rFont val="Arial"/>
        <family val="2"/>
      </rPr>
      <t>FB_TOP</t>
    </r>
  </si>
  <si>
    <r>
      <t>Selected Feedback Bottom Resistor, R</t>
    </r>
    <r>
      <rPr>
        <b/>
        <vertAlign val="subscript"/>
        <sz val="10"/>
        <color theme="1"/>
        <rFont val="Arial"/>
        <family val="2"/>
      </rPr>
      <t>FB_BOT</t>
    </r>
  </si>
  <si>
    <r>
      <t>Selected Target Feedback Voltage, V</t>
    </r>
    <r>
      <rPr>
        <b/>
        <vertAlign val="subscript"/>
        <sz val="10"/>
        <color theme="1"/>
        <rFont val="Arial"/>
        <family val="2"/>
      </rPr>
      <t>FB</t>
    </r>
  </si>
  <si>
    <r>
      <t>Recognized Battery Regulation Target, V</t>
    </r>
    <r>
      <rPr>
        <vertAlign val="subscript"/>
        <sz val="10"/>
        <color theme="1"/>
        <rFont val="Arial"/>
        <family val="2"/>
      </rPr>
      <t>BATREG</t>
    </r>
  </si>
  <si>
    <t>Step 7: Thermistor Qualification</t>
  </si>
  <si>
    <r>
      <t>Desired Cold Temperature Threshold, T</t>
    </r>
    <r>
      <rPr>
        <b/>
        <vertAlign val="subscript"/>
        <sz val="10"/>
        <color theme="1"/>
        <rFont val="Arial"/>
        <family val="2"/>
      </rPr>
      <t>COLD</t>
    </r>
  </si>
  <si>
    <r>
      <t>C</t>
    </r>
    <r>
      <rPr>
        <sz val="11"/>
        <color theme="1"/>
        <rFont val="Calibri"/>
        <family val="2"/>
      </rPr>
      <t>°</t>
    </r>
  </si>
  <si>
    <r>
      <t>Desired Hot Temperature Threshold, T</t>
    </r>
    <r>
      <rPr>
        <b/>
        <vertAlign val="subscript"/>
        <sz val="10"/>
        <color theme="1"/>
        <rFont val="Arial"/>
        <family val="2"/>
      </rPr>
      <t>HOT</t>
    </r>
  </si>
  <si>
    <r>
      <t>Selected Thermistor Cold Resistance, RTH</t>
    </r>
    <r>
      <rPr>
        <b/>
        <vertAlign val="subscript"/>
        <sz val="10"/>
        <color theme="1"/>
        <rFont val="Arial"/>
        <family val="2"/>
      </rPr>
      <t>COLD</t>
    </r>
  </si>
  <si>
    <r>
      <t>Selected Thermistor Hot Resistance, RTH</t>
    </r>
    <r>
      <rPr>
        <b/>
        <vertAlign val="subscript"/>
        <sz val="10"/>
        <color theme="1"/>
        <rFont val="Arial"/>
        <family val="2"/>
      </rPr>
      <t>HOT</t>
    </r>
  </si>
  <si>
    <t>Recommended Ideal TS Top Resistor, RT1</t>
  </si>
  <si>
    <t>Recommended Ideal TS Bottom Resistor, RT2</t>
  </si>
  <si>
    <t>Step 8: MODE Resistance (BQ25758 Only)</t>
  </si>
  <si>
    <t>Desired Operation</t>
  </si>
  <si>
    <t>Buck-Boost</t>
  </si>
  <si>
    <t>Buck-Only</t>
  </si>
  <si>
    <r>
      <t>Minimum MODE Resistance, R</t>
    </r>
    <r>
      <rPr>
        <vertAlign val="subscript"/>
        <sz val="10"/>
        <color theme="1"/>
        <rFont val="Arial"/>
        <family val="2"/>
      </rPr>
      <t>MODE</t>
    </r>
  </si>
  <si>
    <r>
      <t>Recommended MODE Resistance, R</t>
    </r>
    <r>
      <rPr>
        <vertAlign val="subscript"/>
        <sz val="10"/>
        <color theme="1"/>
        <rFont val="Arial"/>
        <family val="2"/>
      </rPr>
      <t>MODE</t>
    </r>
  </si>
  <si>
    <t xml:space="preserve">       --     </t>
  </si>
  <si>
    <r>
      <t>Maximum MODE Resistance, R</t>
    </r>
    <r>
      <rPr>
        <vertAlign val="subscript"/>
        <sz val="10"/>
        <color theme="1"/>
        <rFont val="Arial"/>
        <family val="2"/>
      </rPr>
      <t>MODE</t>
    </r>
  </si>
  <si>
    <t>Open Circuit</t>
  </si>
  <si>
    <r>
      <t>Selected MODE Resistance, R</t>
    </r>
    <r>
      <rPr>
        <b/>
        <vertAlign val="subscript"/>
        <sz val="10"/>
        <color theme="1"/>
        <rFont val="Arial"/>
        <family val="2"/>
      </rPr>
      <t>MODE</t>
    </r>
  </si>
  <si>
    <t>Recognized Topology</t>
  </si>
  <si>
    <r>
      <t>Recognized Nominal Inductance, L</t>
    </r>
    <r>
      <rPr>
        <vertAlign val="subscript"/>
        <sz val="10"/>
        <color theme="1"/>
        <rFont val="Arial"/>
        <family val="2"/>
      </rPr>
      <t>(nom)</t>
    </r>
  </si>
  <si>
    <t>2.2 - 15</t>
  </si>
  <si>
    <r>
      <t>Minimum Inductor DCR, R</t>
    </r>
    <r>
      <rPr>
        <vertAlign val="subscript"/>
        <sz val="10"/>
        <color theme="1"/>
        <rFont val="Arial"/>
        <family val="2"/>
      </rPr>
      <t>DCR(min)</t>
    </r>
  </si>
  <si>
    <r>
      <t>Maximum Inductor DCR, R</t>
    </r>
    <r>
      <rPr>
        <vertAlign val="subscript"/>
        <sz val="10"/>
        <color theme="1"/>
        <rFont val="Arial"/>
        <family val="2"/>
      </rPr>
      <t>DCR(max)</t>
    </r>
  </si>
  <si>
    <t>Step 9: Input Capacitor</t>
  </si>
  <si>
    <r>
      <t>Minimum Input Capacitance, C</t>
    </r>
    <r>
      <rPr>
        <vertAlign val="subscript"/>
        <sz val="10"/>
        <color theme="1"/>
        <rFont val="Arial"/>
        <family val="2"/>
      </rPr>
      <t>IN</t>
    </r>
  </si>
  <si>
    <t>µF</t>
  </si>
  <si>
    <r>
      <t>Input Capacitance, C</t>
    </r>
    <r>
      <rPr>
        <b/>
        <vertAlign val="subscript"/>
        <sz val="10"/>
        <color theme="1"/>
        <rFont val="Arial"/>
        <family val="2"/>
      </rPr>
      <t>OUT</t>
    </r>
  </si>
  <si>
    <t>Input Capacitor ESR</t>
  </si>
  <si>
    <r>
      <t>Input Capacitor RMS Ripple Current, I</t>
    </r>
    <r>
      <rPr>
        <vertAlign val="subscript"/>
        <sz val="10"/>
        <color theme="1"/>
        <rFont val="Arial"/>
        <family val="2"/>
      </rPr>
      <t>CBAT</t>
    </r>
  </si>
  <si>
    <t>Step 10: Output Capacitor</t>
  </si>
  <si>
    <r>
      <t>Minimum Output Capacitance, C</t>
    </r>
    <r>
      <rPr>
        <vertAlign val="subscript"/>
        <sz val="10"/>
        <color theme="1"/>
        <rFont val="Arial"/>
        <family val="2"/>
      </rPr>
      <t>OUT</t>
    </r>
  </si>
  <si>
    <r>
      <t>Output Capacitance, C</t>
    </r>
    <r>
      <rPr>
        <b/>
        <vertAlign val="subscript"/>
        <sz val="10"/>
        <color theme="1"/>
        <rFont val="Arial"/>
        <family val="2"/>
      </rPr>
      <t>OUT</t>
    </r>
  </si>
  <si>
    <t>Output Capacitor ESR</t>
  </si>
  <si>
    <r>
      <t>Output Capacitor RMS Ripple Current, I</t>
    </r>
    <r>
      <rPr>
        <vertAlign val="subscript"/>
        <sz val="10"/>
        <color theme="1"/>
        <rFont val="Arial"/>
        <family val="2"/>
      </rPr>
      <t>CBAT</t>
    </r>
  </si>
  <si>
    <r>
      <t>Output ESR Voltage Ripple, V</t>
    </r>
    <r>
      <rPr>
        <vertAlign val="subscript"/>
        <sz val="10"/>
        <color theme="1"/>
        <rFont val="Arial"/>
        <family val="2"/>
      </rPr>
      <t>RIPPLE(ESR)</t>
    </r>
  </si>
  <si>
    <t>mV</t>
  </si>
  <si>
    <r>
      <t>Output Capacitive Ripple Voltage, V</t>
    </r>
    <r>
      <rPr>
        <vertAlign val="subscript"/>
        <sz val="10"/>
        <color theme="1"/>
        <rFont val="Arial"/>
        <family val="2"/>
      </rPr>
      <t>RIPPLE(CBAT)</t>
    </r>
  </si>
  <si>
    <t>Custom Power MOSFETs</t>
  </si>
  <si>
    <t>Custom MOSFET</t>
  </si>
  <si>
    <t>TI Recommended MOSFET</t>
  </si>
  <si>
    <r>
      <rPr>
        <b/>
        <u/>
        <sz val="10"/>
        <color rgb="FF0000FF"/>
        <rFont val="Arial"/>
        <family val="2"/>
      </rPr>
      <t>Buck</t>
    </r>
    <r>
      <rPr>
        <b/>
        <sz val="10"/>
        <color rgb="FF0000FF"/>
        <rFont val="Arial"/>
        <family val="2"/>
      </rPr>
      <t>-Leg Power MOSFETs (Q</t>
    </r>
    <r>
      <rPr>
        <b/>
        <vertAlign val="subscript"/>
        <sz val="10"/>
        <color rgb="FF0000FF"/>
        <rFont val="Arial"/>
        <family val="2"/>
      </rPr>
      <t>1</t>
    </r>
    <r>
      <rPr>
        <b/>
        <sz val="10"/>
        <color rgb="FF0000FF"/>
        <rFont val="Arial"/>
        <family val="2"/>
      </rPr>
      <t>, Q</t>
    </r>
    <r>
      <rPr>
        <b/>
        <vertAlign val="subscript"/>
        <sz val="10"/>
        <color rgb="FF0000FF"/>
        <rFont val="Arial"/>
        <family val="2"/>
      </rPr>
      <t>2</t>
    </r>
    <r>
      <rPr>
        <b/>
        <sz val="10"/>
        <color rgb="FF0000FF"/>
        <rFont val="Arial"/>
        <family val="2"/>
      </rPr>
      <t>)</t>
    </r>
  </si>
  <si>
    <t>SiR680LDP</t>
  </si>
  <si>
    <t>Show TI MOSFET Recommendation</t>
  </si>
  <si>
    <t>Hi-side</t>
  </si>
  <si>
    <t>Low-side</t>
  </si>
  <si>
    <t>No</t>
  </si>
  <si>
    <t>Yes</t>
  </si>
  <si>
    <t>Parameter</t>
  </si>
  <si>
    <t>CSD18563Q5A</t>
  </si>
  <si>
    <t>CSD16321Q5</t>
  </si>
  <si>
    <t>AONS66614</t>
  </si>
  <si>
    <t>SiR880BDP</t>
  </si>
  <si>
    <t>Units</t>
  </si>
  <si>
    <r>
      <t>On-State Resistance V</t>
    </r>
    <r>
      <rPr>
        <b/>
        <vertAlign val="subscript"/>
        <sz val="10"/>
        <color theme="1"/>
        <rFont val="Arial"/>
        <family val="2"/>
      </rPr>
      <t>gs</t>
    </r>
    <r>
      <rPr>
        <b/>
        <sz val="10"/>
        <color theme="1"/>
        <rFont val="Arial"/>
        <family val="2"/>
      </rPr>
      <t xml:space="preserve"> = 4.5 V, R</t>
    </r>
    <r>
      <rPr>
        <b/>
        <vertAlign val="subscript"/>
        <sz val="10"/>
        <color theme="1"/>
        <rFont val="Arial"/>
        <family val="2"/>
      </rPr>
      <t>DS(on)</t>
    </r>
  </si>
  <si>
    <r>
      <t>m</t>
    </r>
    <r>
      <rPr>
        <sz val="10"/>
        <color theme="1"/>
        <rFont val="Calibri"/>
        <family val="2"/>
      </rPr>
      <t>Ω</t>
    </r>
  </si>
  <si>
    <r>
      <t>On-State Resistance V</t>
    </r>
    <r>
      <rPr>
        <b/>
        <vertAlign val="subscript"/>
        <sz val="10"/>
        <color theme="1"/>
        <rFont val="Arial"/>
        <family val="2"/>
      </rPr>
      <t>gs</t>
    </r>
    <r>
      <rPr>
        <b/>
        <sz val="10"/>
        <color theme="1"/>
        <rFont val="Arial"/>
        <family val="2"/>
      </rPr>
      <t xml:space="preserve"> = 10 V, R</t>
    </r>
    <r>
      <rPr>
        <b/>
        <vertAlign val="subscript"/>
        <sz val="10"/>
        <color theme="1"/>
        <rFont val="Arial"/>
        <family val="2"/>
      </rPr>
      <t>DS(on)</t>
    </r>
  </si>
  <si>
    <r>
      <t>On-State Resistance V</t>
    </r>
    <r>
      <rPr>
        <b/>
        <vertAlign val="subscript"/>
        <sz val="10"/>
        <color theme="1"/>
        <rFont val="Arial"/>
        <family val="2"/>
      </rPr>
      <t>gs</t>
    </r>
    <r>
      <rPr>
        <b/>
        <sz val="10"/>
        <color theme="1"/>
        <rFont val="Arial"/>
        <family val="2"/>
      </rPr>
      <t xml:space="preserve"> = Custom Voltage, R</t>
    </r>
    <r>
      <rPr>
        <b/>
        <vertAlign val="subscript"/>
        <sz val="10"/>
        <color theme="1"/>
        <rFont val="Arial"/>
        <family val="2"/>
      </rPr>
      <t>DS(on)</t>
    </r>
  </si>
  <si>
    <r>
      <t>Total Gate Charge Vgs = 4.5 V, Q</t>
    </r>
    <r>
      <rPr>
        <b/>
        <vertAlign val="subscript"/>
        <sz val="10"/>
        <color theme="1"/>
        <rFont val="Arial"/>
        <family val="2"/>
      </rPr>
      <t>G</t>
    </r>
  </si>
  <si>
    <t>nC</t>
  </si>
  <si>
    <r>
      <t>Total Gate Charge Vgs = 10 V, Q</t>
    </r>
    <r>
      <rPr>
        <b/>
        <vertAlign val="subscript"/>
        <sz val="10"/>
        <color theme="1"/>
        <rFont val="Arial"/>
        <family val="2"/>
      </rPr>
      <t>G</t>
    </r>
  </si>
  <si>
    <r>
      <t>Total Gate Charge Vgs = Custom Voltage, Q</t>
    </r>
    <r>
      <rPr>
        <b/>
        <vertAlign val="subscript"/>
        <sz val="10"/>
        <color theme="1"/>
        <rFont val="Arial"/>
        <family val="2"/>
      </rPr>
      <t>G</t>
    </r>
  </si>
  <si>
    <r>
      <t>Gate-Drain Charge, Q</t>
    </r>
    <r>
      <rPr>
        <b/>
        <vertAlign val="subscript"/>
        <sz val="10"/>
        <color theme="1"/>
        <rFont val="Arial"/>
        <family val="2"/>
      </rPr>
      <t>GD</t>
    </r>
  </si>
  <si>
    <r>
      <t>Gate-Source Charge, Q</t>
    </r>
    <r>
      <rPr>
        <b/>
        <vertAlign val="subscript"/>
        <sz val="10"/>
        <color theme="1"/>
        <rFont val="Arial"/>
        <family val="2"/>
      </rPr>
      <t>GS</t>
    </r>
  </si>
  <si>
    <r>
      <t>Output Charge, Q</t>
    </r>
    <r>
      <rPr>
        <b/>
        <vertAlign val="subscript"/>
        <sz val="10"/>
        <color theme="1"/>
        <rFont val="Arial"/>
        <family val="2"/>
      </rPr>
      <t>OSS</t>
    </r>
  </si>
  <si>
    <r>
      <t>Output chare, Q</t>
    </r>
    <r>
      <rPr>
        <b/>
        <vertAlign val="subscript"/>
        <sz val="10"/>
        <color theme="1"/>
        <rFont val="Arial"/>
        <family val="2"/>
      </rPr>
      <t>OSS</t>
    </r>
  </si>
  <si>
    <r>
      <t>Gate Resistance, R</t>
    </r>
    <r>
      <rPr>
        <b/>
        <vertAlign val="subscript"/>
        <sz val="10"/>
        <color theme="1"/>
        <rFont val="Arial"/>
        <family val="2"/>
      </rPr>
      <t>G</t>
    </r>
  </si>
  <si>
    <t>Ω</t>
  </si>
  <si>
    <r>
      <t>Transconductance, g</t>
    </r>
    <r>
      <rPr>
        <b/>
        <vertAlign val="subscript"/>
        <sz val="10"/>
        <color theme="1"/>
        <rFont val="Arial"/>
        <family val="2"/>
      </rPr>
      <t>FS</t>
    </r>
  </si>
  <si>
    <t>S</t>
  </si>
  <si>
    <r>
      <t>Gate-Source Threshold Voltage, V</t>
    </r>
    <r>
      <rPr>
        <b/>
        <vertAlign val="subscript"/>
        <sz val="10"/>
        <color theme="1"/>
        <rFont val="Arial"/>
        <family val="2"/>
      </rPr>
      <t>TH</t>
    </r>
  </si>
  <si>
    <r>
      <t>Diode Forward Voltage, V</t>
    </r>
    <r>
      <rPr>
        <b/>
        <vertAlign val="subscript"/>
        <sz val="10"/>
        <color theme="1"/>
        <rFont val="Arial"/>
        <family val="2"/>
      </rPr>
      <t>SD</t>
    </r>
  </si>
  <si>
    <r>
      <t>Reverse Recovery Charge, Q</t>
    </r>
    <r>
      <rPr>
        <b/>
        <vertAlign val="subscript"/>
        <sz val="10"/>
        <color theme="1"/>
        <rFont val="Arial"/>
        <family val="2"/>
      </rPr>
      <t>RR</t>
    </r>
  </si>
  <si>
    <r>
      <t xml:space="preserve">Thermal Resistance, </t>
    </r>
    <r>
      <rPr>
        <b/>
        <sz val="10"/>
        <color theme="1"/>
        <rFont val="Calibri"/>
        <family val="2"/>
      </rPr>
      <t>θ</t>
    </r>
    <r>
      <rPr>
        <b/>
        <vertAlign val="subscript"/>
        <sz val="10"/>
        <color theme="1"/>
        <rFont val="Arial"/>
        <family val="2"/>
      </rPr>
      <t>JA</t>
    </r>
  </si>
  <si>
    <r>
      <rPr>
        <sz val="10"/>
        <color theme="1"/>
        <rFont val="Calibri"/>
        <family val="2"/>
      </rPr>
      <t>°</t>
    </r>
    <r>
      <rPr>
        <sz val="10"/>
        <color theme="1"/>
        <rFont val="Arial"/>
        <family val="2"/>
      </rPr>
      <t>C/W</t>
    </r>
  </si>
  <si>
    <r>
      <rPr>
        <b/>
        <u/>
        <sz val="10"/>
        <color rgb="FF0000FF"/>
        <rFont val="Arial"/>
        <family val="2"/>
      </rPr>
      <t>Boost</t>
    </r>
    <r>
      <rPr>
        <b/>
        <sz val="10"/>
        <color rgb="FF0000FF"/>
        <rFont val="Arial"/>
        <family val="2"/>
      </rPr>
      <t>-Leg Power MOSFETs (Q</t>
    </r>
    <r>
      <rPr>
        <b/>
        <vertAlign val="subscript"/>
        <sz val="10"/>
        <color rgb="FF0000FF"/>
        <rFont val="Arial"/>
        <family val="2"/>
      </rPr>
      <t>1</t>
    </r>
    <r>
      <rPr>
        <b/>
        <sz val="10"/>
        <color rgb="FF0000FF"/>
        <rFont val="Arial"/>
        <family val="2"/>
      </rPr>
      <t>, Q</t>
    </r>
    <r>
      <rPr>
        <b/>
        <vertAlign val="subscript"/>
        <sz val="10"/>
        <color rgb="FF0000FF"/>
        <rFont val="Arial"/>
        <family val="2"/>
      </rPr>
      <t>2</t>
    </r>
    <r>
      <rPr>
        <b/>
        <sz val="10"/>
        <color rgb="FF0000FF"/>
        <rFont val="Arial"/>
        <family val="2"/>
      </rPr>
      <t>)</t>
    </r>
  </si>
  <si>
    <r>
      <t>Body Diode Forward Voltage, V</t>
    </r>
    <r>
      <rPr>
        <b/>
        <vertAlign val="subscript"/>
        <sz val="10"/>
        <color theme="1"/>
        <rFont val="Arial"/>
        <family val="2"/>
      </rPr>
      <t>SD</t>
    </r>
  </si>
  <si>
    <r>
      <t>Body Diode Rev Recovery Charge, Q</t>
    </r>
    <r>
      <rPr>
        <b/>
        <vertAlign val="subscript"/>
        <sz val="10"/>
        <color theme="1"/>
        <rFont val="Arial"/>
        <family val="2"/>
      </rPr>
      <t>RR</t>
    </r>
  </si>
  <si>
    <t>Step 11: Gate Drive Voltage</t>
  </si>
  <si>
    <r>
      <t>Custom Gate Drive Voltage, V</t>
    </r>
    <r>
      <rPr>
        <b/>
        <vertAlign val="subscript"/>
        <sz val="10"/>
        <color theme="1"/>
        <rFont val="Arial"/>
        <family val="2"/>
      </rPr>
      <t>gs</t>
    </r>
  </si>
  <si>
    <t>Efficiency / Power Loss Analyzer</t>
  </si>
  <si>
    <t>General</t>
  </si>
  <si>
    <t>TI MOSFET Recommendation Power Losses</t>
  </si>
  <si>
    <t>Custom MOSFET Power Losses</t>
  </si>
  <si>
    <t>Sense and Inductor Loss</t>
  </si>
  <si>
    <t>TI MOSFET Efficiency</t>
  </si>
  <si>
    <t>Custom MOSFET Efficiency</t>
  </si>
  <si>
    <t>Plot 1</t>
  </si>
  <si>
    <t>Plot 2</t>
  </si>
  <si>
    <t>Saved Plot 1</t>
  </si>
  <si>
    <t>Saved Plot 2</t>
  </si>
  <si>
    <t>Index</t>
  </si>
  <si>
    <r>
      <t>I</t>
    </r>
    <r>
      <rPr>
        <vertAlign val="subscript"/>
        <sz val="11"/>
        <color theme="1"/>
        <rFont val="Arial"/>
        <family val="2"/>
      </rPr>
      <t>OUT</t>
    </r>
    <r>
      <rPr>
        <sz val="11"/>
        <color theme="1"/>
        <rFont val="Arial"/>
        <family val="2"/>
      </rPr>
      <t xml:space="preserve"> (A)</t>
    </r>
  </si>
  <si>
    <r>
      <t>P</t>
    </r>
    <r>
      <rPr>
        <vertAlign val="subscript"/>
        <sz val="11"/>
        <color theme="1"/>
        <rFont val="Calibri"/>
        <family val="2"/>
        <scheme val="minor"/>
      </rPr>
      <t>OUT</t>
    </r>
    <r>
      <rPr>
        <sz val="11"/>
        <color theme="1"/>
        <rFont val="Calibri"/>
        <family val="2"/>
        <scheme val="minor"/>
      </rPr>
      <t xml:space="preserve"> (W)</t>
    </r>
  </si>
  <si>
    <t>Duty Cycle</t>
  </si>
  <si>
    <t>I_L</t>
  </si>
  <si>
    <t>I_L pkpk</t>
  </si>
  <si>
    <t>I_L RMS</t>
  </si>
  <si>
    <t>Column2</t>
  </si>
  <si>
    <r>
      <t>I</t>
    </r>
    <r>
      <rPr>
        <vertAlign val="subscript"/>
        <sz val="11"/>
        <color theme="1"/>
        <rFont val="Calibri"/>
        <family val="2"/>
        <scheme val="minor"/>
      </rPr>
      <t>valley</t>
    </r>
    <r>
      <rPr>
        <sz val="11"/>
        <color theme="1"/>
        <rFont val="Calibri"/>
        <family val="2"/>
        <scheme val="minor"/>
      </rPr>
      <t xml:space="preserve"> (A)</t>
    </r>
  </si>
  <si>
    <r>
      <t>I</t>
    </r>
    <r>
      <rPr>
        <vertAlign val="subscript"/>
        <sz val="11"/>
        <color theme="1"/>
        <rFont val="Calibri"/>
        <family val="2"/>
        <scheme val="minor"/>
      </rPr>
      <t>peak</t>
    </r>
    <r>
      <rPr>
        <sz val="11"/>
        <color theme="1"/>
        <rFont val="Calibri"/>
        <family val="2"/>
        <scheme val="minor"/>
      </rPr>
      <t xml:space="preserve"> (A)</t>
    </r>
  </si>
  <si>
    <r>
      <t>I</t>
    </r>
    <r>
      <rPr>
        <vertAlign val="subscript"/>
        <sz val="11"/>
        <color theme="1"/>
        <rFont val="Calibri"/>
        <family val="2"/>
        <scheme val="minor"/>
      </rPr>
      <t>on</t>
    </r>
    <r>
      <rPr>
        <sz val="11"/>
        <color theme="1"/>
        <rFont val="Calibri"/>
        <family val="2"/>
        <scheme val="minor"/>
      </rPr>
      <t xml:space="preserve"> (A)</t>
    </r>
  </si>
  <si>
    <r>
      <t>I</t>
    </r>
    <r>
      <rPr>
        <vertAlign val="subscript"/>
        <sz val="11"/>
        <color theme="1"/>
        <rFont val="Calibri"/>
        <family val="2"/>
        <scheme val="minor"/>
      </rPr>
      <t>off</t>
    </r>
    <r>
      <rPr>
        <sz val="11"/>
        <color theme="1"/>
        <rFont val="Calibri"/>
        <family val="2"/>
        <scheme val="minor"/>
      </rPr>
      <t xml:space="preserve"> (A)</t>
    </r>
  </si>
  <si>
    <r>
      <t>t</t>
    </r>
    <r>
      <rPr>
        <vertAlign val="subscript"/>
        <sz val="11"/>
        <color theme="1"/>
        <rFont val="Calibri"/>
        <family val="2"/>
        <scheme val="minor"/>
      </rPr>
      <t>on</t>
    </r>
    <r>
      <rPr>
        <sz val="11"/>
        <color theme="1"/>
        <rFont val="Calibri"/>
        <family val="2"/>
        <scheme val="minor"/>
      </rPr>
      <t xml:space="preserve"> (ns)</t>
    </r>
  </si>
  <si>
    <r>
      <t>t</t>
    </r>
    <r>
      <rPr>
        <vertAlign val="subscript"/>
        <sz val="11"/>
        <color theme="1"/>
        <rFont val="Calibri"/>
        <family val="2"/>
        <scheme val="minor"/>
      </rPr>
      <t>off</t>
    </r>
    <r>
      <rPr>
        <sz val="11"/>
        <color theme="1"/>
        <rFont val="Calibri"/>
        <family val="2"/>
        <scheme val="minor"/>
      </rPr>
      <t xml:space="preserve"> (ns)</t>
    </r>
  </si>
  <si>
    <r>
      <t>P</t>
    </r>
    <r>
      <rPr>
        <vertAlign val="subscript"/>
        <sz val="11"/>
        <color theme="1"/>
        <rFont val="Calibri"/>
        <family val="2"/>
        <scheme val="minor"/>
      </rPr>
      <t>IV</t>
    </r>
    <r>
      <rPr>
        <sz val="11"/>
        <color theme="1"/>
        <rFont val="Calibri"/>
        <family val="2"/>
        <scheme val="minor"/>
      </rPr>
      <t xml:space="preserve"> (mW)</t>
    </r>
  </si>
  <si>
    <r>
      <t>P</t>
    </r>
    <r>
      <rPr>
        <vertAlign val="subscript"/>
        <sz val="11"/>
        <color theme="1"/>
        <rFont val="Calibri"/>
        <family val="2"/>
        <scheme val="minor"/>
      </rPr>
      <t xml:space="preserve">qoss </t>
    </r>
    <r>
      <rPr>
        <sz val="11"/>
        <color theme="1"/>
        <rFont val="Calibri"/>
        <family val="2"/>
        <scheme val="minor"/>
      </rPr>
      <t>(mW)</t>
    </r>
  </si>
  <si>
    <r>
      <t>P</t>
    </r>
    <r>
      <rPr>
        <vertAlign val="subscript"/>
        <sz val="11"/>
        <color theme="1"/>
        <rFont val="Calibri"/>
        <family val="2"/>
        <scheme val="minor"/>
      </rPr>
      <t xml:space="preserve">gate_top </t>
    </r>
    <r>
      <rPr>
        <sz val="11"/>
        <color theme="1"/>
        <rFont val="Calibri"/>
        <family val="2"/>
        <scheme val="minor"/>
      </rPr>
      <t>(mW)</t>
    </r>
  </si>
  <si>
    <r>
      <t>P</t>
    </r>
    <r>
      <rPr>
        <vertAlign val="subscript"/>
        <sz val="11"/>
        <color theme="1"/>
        <rFont val="Calibri"/>
        <family val="2"/>
        <scheme val="minor"/>
      </rPr>
      <t>RR</t>
    </r>
    <r>
      <rPr>
        <sz val="11"/>
        <color theme="1"/>
        <rFont val="Calibri"/>
        <family val="2"/>
        <scheme val="minor"/>
      </rPr>
      <t xml:space="preserve"> (mW)</t>
    </r>
  </si>
  <si>
    <r>
      <t>P</t>
    </r>
    <r>
      <rPr>
        <vertAlign val="subscript"/>
        <sz val="11"/>
        <color theme="1"/>
        <rFont val="Calibri"/>
        <family val="2"/>
        <scheme val="minor"/>
      </rPr>
      <t xml:space="preserve">dead </t>
    </r>
    <r>
      <rPr>
        <sz val="11"/>
        <color theme="1"/>
        <rFont val="Calibri"/>
        <family val="2"/>
        <scheme val="minor"/>
      </rPr>
      <t>(mW)</t>
    </r>
  </si>
  <si>
    <r>
      <t>P</t>
    </r>
    <r>
      <rPr>
        <vertAlign val="subscript"/>
        <sz val="11"/>
        <color theme="1"/>
        <rFont val="Calibri"/>
        <family val="2"/>
        <scheme val="minor"/>
      </rPr>
      <t>gate_bottom</t>
    </r>
    <r>
      <rPr>
        <sz val="11"/>
        <color theme="1"/>
        <rFont val="Calibri"/>
        <family val="2"/>
        <scheme val="minor"/>
      </rPr>
      <t xml:space="preserve"> (mW)</t>
    </r>
  </si>
  <si>
    <r>
      <t>P</t>
    </r>
    <r>
      <rPr>
        <vertAlign val="subscript"/>
        <sz val="11"/>
        <color theme="1"/>
        <rFont val="Calibri"/>
        <family val="2"/>
        <scheme val="minor"/>
      </rPr>
      <t>con_top</t>
    </r>
    <r>
      <rPr>
        <sz val="11"/>
        <color theme="1"/>
        <rFont val="Calibri"/>
        <family val="2"/>
        <scheme val="minor"/>
      </rPr>
      <t xml:space="preserve"> (mW)</t>
    </r>
  </si>
  <si>
    <r>
      <t>P</t>
    </r>
    <r>
      <rPr>
        <vertAlign val="subscript"/>
        <sz val="11"/>
        <color theme="1"/>
        <rFont val="Calibri"/>
        <family val="2"/>
        <scheme val="minor"/>
      </rPr>
      <t>sw_top</t>
    </r>
    <r>
      <rPr>
        <sz val="11"/>
        <color theme="1"/>
        <rFont val="Calibri"/>
        <family val="2"/>
        <scheme val="minor"/>
      </rPr>
      <t xml:space="preserve"> (mW)</t>
    </r>
  </si>
  <si>
    <r>
      <t>P</t>
    </r>
    <r>
      <rPr>
        <vertAlign val="subscript"/>
        <sz val="11"/>
        <color theme="1"/>
        <rFont val="Calibri"/>
        <family val="2"/>
        <scheme val="minor"/>
      </rPr>
      <t>top</t>
    </r>
    <r>
      <rPr>
        <sz val="11"/>
        <color theme="1"/>
        <rFont val="Calibri"/>
        <family val="2"/>
        <scheme val="minor"/>
      </rPr>
      <t xml:space="preserve"> (mW)</t>
    </r>
  </si>
  <si>
    <r>
      <t>P</t>
    </r>
    <r>
      <rPr>
        <vertAlign val="subscript"/>
        <sz val="11"/>
        <color theme="1"/>
        <rFont val="Calibri"/>
        <family val="2"/>
        <scheme val="minor"/>
      </rPr>
      <t>con_bottom</t>
    </r>
    <r>
      <rPr>
        <sz val="11"/>
        <color theme="1"/>
        <rFont val="Calibri"/>
        <family val="2"/>
        <scheme val="minor"/>
      </rPr>
      <t xml:space="preserve"> (mW)</t>
    </r>
  </si>
  <si>
    <r>
      <t>P</t>
    </r>
    <r>
      <rPr>
        <vertAlign val="subscript"/>
        <sz val="11"/>
        <color theme="1"/>
        <rFont val="Calibri"/>
        <family val="2"/>
        <scheme val="minor"/>
      </rPr>
      <t>sw_bottom</t>
    </r>
    <r>
      <rPr>
        <sz val="11"/>
        <color theme="1"/>
        <rFont val="Calibri"/>
        <family val="2"/>
        <scheme val="minor"/>
      </rPr>
      <t xml:space="preserve"> (mW)</t>
    </r>
  </si>
  <si>
    <r>
      <t>P</t>
    </r>
    <r>
      <rPr>
        <vertAlign val="subscript"/>
        <sz val="11"/>
        <color theme="1"/>
        <rFont val="Calibri"/>
        <family val="2"/>
        <scheme val="minor"/>
      </rPr>
      <t>bottom</t>
    </r>
    <r>
      <rPr>
        <sz val="11"/>
        <color theme="1"/>
        <rFont val="Calibri"/>
        <family val="2"/>
        <scheme val="minor"/>
      </rPr>
      <t xml:space="preserve"> (mW)</t>
    </r>
  </si>
  <si>
    <t>Total TI (mW)</t>
  </si>
  <si>
    <t>Column1</t>
  </si>
  <si>
    <r>
      <t>I</t>
    </r>
    <r>
      <rPr>
        <vertAlign val="subscript"/>
        <sz val="11"/>
        <color theme="1"/>
        <rFont val="Calibri"/>
        <family val="2"/>
        <scheme val="minor"/>
      </rPr>
      <t>valley</t>
    </r>
    <r>
      <rPr>
        <sz val="11"/>
        <color theme="1"/>
        <rFont val="Calibri"/>
        <family val="2"/>
        <scheme val="minor"/>
      </rPr>
      <t xml:space="preserve"> (A) C</t>
    </r>
  </si>
  <si>
    <r>
      <t>I</t>
    </r>
    <r>
      <rPr>
        <vertAlign val="subscript"/>
        <sz val="11"/>
        <color theme="1"/>
        <rFont val="Calibri"/>
        <family val="2"/>
        <scheme val="minor"/>
      </rPr>
      <t>peak</t>
    </r>
    <r>
      <rPr>
        <sz val="11"/>
        <color theme="1"/>
        <rFont val="Calibri"/>
        <family val="2"/>
        <scheme val="minor"/>
      </rPr>
      <t xml:space="preserve"> (A) C</t>
    </r>
  </si>
  <si>
    <r>
      <t>I</t>
    </r>
    <r>
      <rPr>
        <vertAlign val="subscript"/>
        <sz val="11"/>
        <color theme="1"/>
        <rFont val="Calibri"/>
        <family val="2"/>
        <scheme val="minor"/>
      </rPr>
      <t>on</t>
    </r>
    <r>
      <rPr>
        <sz val="11"/>
        <color theme="1"/>
        <rFont val="Calibri"/>
        <family val="2"/>
        <scheme val="minor"/>
      </rPr>
      <t xml:space="preserve"> (A) C</t>
    </r>
  </si>
  <si>
    <r>
      <t>I</t>
    </r>
    <r>
      <rPr>
        <vertAlign val="subscript"/>
        <sz val="11"/>
        <color theme="1"/>
        <rFont val="Calibri"/>
        <family val="2"/>
        <scheme val="minor"/>
      </rPr>
      <t>off</t>
    </r>
    <r>
      <rPr>
        <sz val="11"/>
        <color theme="1"/>
        <rFont val="Calibri"/>
        <family val="2"/>
        <scheme val="minor"/>
      </rPr>
      <t xml:space="preserve"> (A) C</t>
    </r>
  </si>
  <si>
    <r>
      <t>t</t>
    </r>
    <r>
      <rPr>
        <vertAlign val="subscript"/>
        <sz val="11"/>
        <color theme="1"/>
        <rFont val="Calibri"/>
        <family val="2"/>
        <scheme val="minor"/>
      </rPr>
      <t>on</t>
    </r>
    <r>
      <rPr>
        <sz val="11"/>
        <color theme="1"/>
        <rFont val="Calibri"/>
        <family val="2"/>
        <scheme val="minor"/>
      </rPr>
      <t xml:space="preserve"> (ns) C</t>
    </r>
  </si>
  <si>
    <r>
      <t>t</t>
    </r>
    <r>
      <rPr>
        <vertAlign val="subscript"/>
        <sz val="11"/>
        <color theme="1"/>
        <rFont val="Calibri"/>
        <family val="2"/>
        <scheme val="minor"/>
      </rPr>
      <t>off</t>
    </r>
    <r>
      <rPr>
        <sz val="11"/>
        <color theme="1"/>
        <rFont val="Calibri"/>
        <family val="2"/>
        <scheme val="minor"/>
      </rPr>
      <t xml:space="preserve"> (ns) C</t>
    </r>
  </si>
  <si>
    <r>
      <t>P</t>
    </r>
    <r>
      <rPr>
        <vertAlign val="subscript"/>
        <sz val="11"/>
        <color theme="1"/>
        <rFont val="Calibri"/>
        <family val="2"/>
        <scheme val="minor"/>
      </rPr>
      <t>IV</t>
    </r>
    <r>
      <rPr>
        <sz val="11"/>
        <color theme="1"/>
        <rFont val="Calibri"/>
        <family val="2"/>
        <scheme val="minor"/>
      </rPr>
      <t xml:space="preserve"> (mW) C</t>
    </r>
  </si>
  <si>
    <r>
      <t>P</t>
    </r>
    <r>
      <rPr>
        <vertAlign val="subscript"/>
        <sz val="11"/>
        <color theme="1"/>
        <rFont val="Calibri"/>
        <family val="2"/>
        <scheme val="minor"/>
      </rPr>
      <t>Qoss</t>
    </r>
    <r>
      <rPr>
        <sz val="11"/>
        <color theme="1"/>
        <rFont val="Calibri"/>
        <family val="2"/>
        <scheme val="minor"/>
      </rPr>
      <t xml:space="preserve"> (mW) C</t>
    </r>
  </si>
  <si>
    <r>
      <t>P</t>
    </r>
    <r>
      <rPr>
        <vertAlign val="subscript"/>
        <sz val="11"/>
        <color theme="1"/>
        <rFont val="Calibri"/>
        <family val="2"/>
        <scheme val="minor"/>
      </rPr>
      <t>gate_top</t>
    </r>
    <r>
      <rPr>
        <sz val="11"/>
        <color theme="1"/>
        <rFont val="Calibri"/>
        <family val="2"/>
        <scheme val="minor"/>
      </rPr>
      <t xml:space="preserve"> (mW) C</t>
    </r>
  </si>
  <si>
    <r>
      <t>P</t>
    </r>
    <r>
      <rPr>
        <vertAlign val="subscript"/>
        <sz val="11"/>
        <color theme="1"/>
        <rFont val="Calibri"/>
        <family val="2"/>
        <scheme val="minor"/>
      </rPr>
      <t>RR</t>
    </r>
    <r>
      <rPr>
        <sz val="11"/>
        <color theme="1"/>
        <rFont val="Calibri"/>
        <family val="2"/>
        <scheme val="minor"/>
      </rPr>
      <t xml:space="preserve"> (mW) C</t>
    </r>
  </si>
  <si>
    <r>
      <t>P</t>
    </r>
    <r>
      <rPr>
        <vertAlign val="subscript"/>
        <sz val="11"/>
        <color theme="1"/>
        <rFont val="Calibri"/>
        <family val="2"/>
        <scheme val="minor"/>
      </rPr>
      <t>dead</t>
    </r>
    <r>
      <rPr>
        <sz val="11"/>
        <color theme="1"/>
        <rFont val="Calibri"/>
        <family val="2"/>
        <scheme val="minor"/>
      </rPr>
      <t xml:space="preserve"> (mW) C</t>
    </r>
  </si>
  <si>
    <r>
      <t>P</t>
    </r>
    <r>
      <rPr>
        <vertAlign val="subscript"/>
        <sz val="11"/>
        <color theme="1"/>
        <rFont val="Calibri"/>
        <family val="2"/>
        <scheme val="minor"/>
      </rPr>
      <t>gate_bottom</t>
    </r>
    <r>
      <rPr>
        <sz val="11"/>
        <color theme="1"/>
        <rFont val="Calibri"/>
        <family val="2"/>
        <scheme val="minor"/>
      </rPr>
      <t xml:space="preserve"> (mW) C</t>
    </r>
  </si>
  <si>
    <r>
      <t>P</t>
    </r>
    <r>
      <rPr>
        <vertAlign val="subscript"/>
        <sz val="11"/>
        <color theme="1"/>
        <rFont val="Calibri"/>
        <family val="2"/>
        <scheme val="minor"/>
      </rPr>
      <t>con_top</t>
    </r>
    <r>
      <rPr>
        <sz val="11"/>
        <color theme="1"/>
        <rFont val="Calibri"/>
        <family val="2"/>
        <scheme val="minor"/>
      </rPr>
      <t xml:space="preserve"> (mW) C</t>
    </r>
  </si>
  <si>
    <r>
      <t>P</t>
    </r>
    <r>
      <rPr>
        <vertAlign val="subscript"/>
        <sz val="11"/>
        <color theme="1"/>
        <rFont val="Calibri"/>
        <family val="2"/>
        <scheme val="minor"/>
      </rPr>
      <t>sw_top</t>
    </r>
    <r>
      <rPr>
        <sz val="11"/>
        <color theme="1"/>
        <rFont val="Calibri"/>
        <family val="2"/>
        <scheme val="minor"/>
      </rPr>
      <t xml:space="preserve"> (mW) C</t>
    </r>
  </si>
  <si>
    <r>
      <t>P</t>
    </r>
    <r>
      <rPr>
        <vertAlign val="subscript"/>
        <sz val="11"/>
        <color theme="1"/>
        <rFont val="Calibri"/>
        <family val="2"/>
        <scheme val="minor"/>
      </rPr>
      <t>top</t>
    </r>
    <r>
      <rPr>
        <sz val="11"/>
        <color theme="1"/>
        <rFont val="Calibri"/>
        <family val="2"/>
        <scheme val="minor"/>
      </rPr>
      <t xml:space="preserve"> (mW) C</t>
    </r>
  </si>
  <si>
    <r>
      <t>P</t>
    </r>
    <r>
      <rPr>
        <vertAlign val="subscript"/>
        <sz val="11"/>
        <color theme="1"/>
        <rFont val="Calibri"/>
        <family val="2"/>
        <scheme val="minor"/>
      </rPr>
      <t>con_bottom</t>
    </r>
    <r>
      <rPr>
        <sz val="11"/>
        <color theme="1"/>
        <rFont val="Calibri"/>
        <family val="2"/>
        <scheme val="minor"/>
      </rPr>
      <t xml:space="preserve"> (mW) C</t>
    </r>
  </si>
  <si>
    <r>
      <t>P</t>
    </r>
    <r>
      <rPr>
        <vertAlign val="subscript"/>
        <sz val="11"/>
        <color theme="1"/>
        <rFont val="Calibri"/>
        <family val="2"/>
        <scheme val="minor"/>
      </rPr>
      <t>sw_bottom</t>
    </r>
    <r>
      <rPr>
        <sz val="11"/>
        <color theme="1"/>
        <rFont val="Calibri"/>
        <family val="2"/>
        <scheme val="minor"/>
      </rPr>
      <t xml:space="preserve"> (mV) C</t>
    </r>
  </si>
  <si>
    <r>
      <t>P</t>
    </r>
    <r>
      <rPr>
        <vertAlign val="subscript"/>
        <sz val="11"/>
        <color theme="1"/>
        <rFont val="Calibri"/>
        <family val="2"/>
        <scheme val="minor"/>
      </rPr>
      <t>bottom</t>
    </r>
    <r>
      <rPr>
        <sz val="11"/>
        <color theme="1"/>
        <rFont val="Calibri"/>
        <family val="2"/>
        <scheme val="minor"/>
      </rPr>
      <t xml:space="preserve"> (mW) C</t>
    </r>
  </si>
  <si>
    <t>Total (mW) C</t>
  </si>
  <si>
    <t>Pbottom (mW)20</t>
  </si>
  <si>
    <t>R_AC (mW)</t>
  </si>
  <si>
    <t>R_SR (mW)</t>
  </si>
  <si>
    <t>Inductor Loss (mW)</t>
  </si>
  <si>
    <t>Column3</t>
  </si>
  <si>
    <t>Total Sense Loss</t>
  </si>
  <si>
    <t>Total MOSFET Loss</t>
  </si>
  <si>
    <t>Total Power Loss (W)</t>
  </si>
  <si>
    <t>Efficiency</t>
  </si>
  <si>
    <t>Column4</t>
  </si>
  <si>
    <t>Total Sense Loss C</t>
  </si>
  <si>
    <t>Total MOSFET Loss C</t>
  </si>
  <si>
    <t>Total Power Loss (W) C</t>
  </si>
  <si>
    <t>Efficiency C</t>
  </si>
  <si>
    <t>Column52</t>
  </si>
  <si>
    <t>Total Sense Loss P1</t>
  </si>
  <si>
    <t>Total MOSFET Loss P1</t>
  </si>
  <si>
    <t>Efficiency P1</t>
  </si>
  <si>
    <t>Column5</t>
  </si>
  <si>
    <t>Total Sense Loss P2</t>
  </si>
  <si>
    <t>Total MOSFET Loss P2</t>
  </si>
  <si>
    <t>Efficiency P2</t>
  </si>
  <si>
    <t>Column6</t>
  </si>
  <si>
    <t>Total Sense Loss P1 Saved</t>
  </si>
  <si>
    <t>Total MOSFET Loss P1 Saved</t>
  </si>
  <si>
    <t>Efficiency P1 Saved</t>
  </si>
  <si>
    <t>Column10</t>
  </si>
  <si>
    <t>Total Sense Loss P2 Saved</t>
  </si>
  <si>
    <t>Total MOSFET Loss P2 Saved</t>
  </si>
  <si>
    <t>Efficiency P2 Saved</t>
  </si>
  <si>
    <t>Column7</t>
  </si>
  <si>
    <t>Step 12: Efficiency Calculation Configuration</t>
  </si>
  <si>
    <t>MOSFET Selection</t>
  </si>
  <si>
    <t>TI Recommendation</t>
  </si>
  <si>
    <t>Custom</t>
  </si>
  <si>
    <t>Compare</t>
  </si>
  <si>
    <r>
      <t>Selected Gate Drive Voltage, V</t>
    </r>
    <r>
      <rPr>
        <b/>
        <vertAlign val="subscript"/>
        <sz val="10"/>
        <color theme="1"/>
        <rFont val="Arial"/>
        <family val="2"/>
      </rPr>
      <t>gs</t>
    </r>
  </si>
  <si>
    <t>Save Button</t>
  </si>
  <si>
    <t>Save</t>
  </si>
  <si>
    <t>Clear Save</t>
  </si>
  <si>
    <r>
      <t>On-State Resistance, R</t>
    </r>
    <r>
      <rPr>
        <b/>
        <vertAlign val="subscript"/>
        <sz val="10"/>
        <color theme="1"/>
        <rFont val="Arial"/>
        <family val="2"/>
      </rPr>
      <t>DS(on)</t>
    </r>
  </si>
  <si>
    <r>
      <t>Total Gate Charge, Q</t>
    </r>
    <r>
      <rPr>
        <b/>
        <vertAlign val="subscript"/>
        <sz val="10"/>
        <color theme="1"/>
        <rFont val="Arial"/>
        <family val="2"/>
      </rPr>
      <t>G</t>
    </r>
  </si>
  <si>
    <t>BQ25756 Buck-Boost Battery Charger Design Calculator</t>
  </si>
  <si>
    <t>Thermistor Qualification</t>
  </si>
  <si>
    <r>
      <t>Selected Cold Temperature Threshold, T</t>
    </r>
    <r>
      <rPr>
        <b/>
        <vertAlign val="subscript"/>
        <sz val="10"/>
        <color theme="1"/>
        <rFont val="Arial"/>
        <family val="2"/>
      </rPr>
      <t>1</t>
    </r>
  </si>
  <si>
    <r>
      <rPr>
        <sz val="11"/>
        <color theme="1"/>
        <rFont val="Calibri"/>
        <family val="2"/>
      </rPr>
      <t>°</t>
    </r>
    <r>
      <rPr>
        <sz val="11"/>
        <color theme="1"/>
        <rFont val="Arial"/>
        <family val="2"/>
      </rPr>
      <t>C</t>
    </r>
  </si>
  <si>
    <t>Min</t>
  </si>
  <si>
    <t>Typ</t>
  </si>
  <si>
    <t>Max</t>
  </si>
  <si>
    <t>Unit</t>
  </si>
  <si>
    <t>Target (MIN)</t>
  </si>
  <si>
    <t>1st VLOOK MIN</t>
  </si>
  <si>
    <t>2nd VLOOK MIN</t>
  </si>
  <si>
    <t>1st Diff</t>
  </si>
  <si>
    <t>2nd Diff</t>
  </si>
  <si>
    <t>Closest VLOOK MIN</t>
  </si>
  <si>
    <t>MIN Temp</t>
  </si>
  <si>
    <t>Target (Typ)</t>
  </si>
  <si>
    <t>1st VLOOK TYP</t>
  </si>
  <si>
    <t>2nd VLOOK TYP</t>
  </si>
  <si>
    <t>1st Diff Typ</t>
  </si>
  <si>
    <t>2nd Diff TYP</t>
  </si>
  <si>
    <t>Closest VLOOK TYP</t>
  </si>
  <si>
    <t>TYP Temp</t>
  </si>
  <si>
    <t>Target (MAX)</t>
  </si>
  <si>
    <t>1st VLOOK MAX</t>
  </si>
  <si>
    <t>2nd VLOOK MAX</t>
  </si>
  <si>
    <t>1st Diff MAX</t>
  </si>
  <si>
    <t>2nd Diff MAX</t>
  </si>
  <si>
    <t>Closest VLOOK MAX</t>
  </si>
  <si>
    <t>MAX Temp</t>
  </si>
  <si>
    <t>Temp</t>
  </si>
  <si>
    <t>RISE min</t>
  </si>
  <si>
    <t>RISE typ</t>
  </si>
  <si>
    <t>RISE max</t>
  </si>
  <si>
    <t>FALL min</t>
  </si>
  <si>
    <t>FALL typ</t>
  </si>
  <si>
    <t>FALL max</t>
  </si>
  <si>
    <r>
      <t>Selected Cool Temperature Threshold, T</t>
    </r>
    <r>
      <rPr>
        <b/>
        <vertAlign val="subscript"/>
        <sz val="10"/>
        <color theme="1"/>
        <rFont val="Arial"/>
        <family val="2"/>
      </rPr>
      <t>2</t>
    </r>
  </si>
  <si>
    <t>Enter Cold</t>
  </si>
  <si>
    <t>°C</t>
  </si>
  <si>
    <t>Enter COLD, VT1_RISE</t>
  </si>
  <si>
    <r>
      <t>Selected Warm Temperature Threshold, T</t>
    </r>
    <r>
      <rPr>
        <b/>
        <vertAlign val="subscript"/>
        <sz val="10"/>
        <color theme="1"/>
        <rFont val="Arial"/>
        <family val="2"/>
      </rPr>
      <t>3</t>
    </r>
  </si>
  <si>
    <t>Exit Cold</t>
  </si>
  <si>
    <t>Exit COLD, VT1_FALL</t>
  </si>
  <si>
    <r>
      <t>Selected Hot Temperature Threshold, T</t>
    </r>
    <r>
      <rPr>
        <b/>
        <vertAlign val="subscript"/>
        <sz val="10"/>
        <color theme="1"/>
        <rFont val="Arial"/>
        <family val="2"/>
      </rPr>
      <t>5</t>
    </r>
  </si>
  <si>
    <t>Enter Cool</t>
  </si>
  <si>
    <t>Enter COOL, VT2_RISE</t>
  </si>
  <si>
    <r>
      <t>Thermistor Cold Resistance, RTH</t>
    </r>
    <r>
      <rPr>
        <b/>
        <vertAlign val="subscript"/>
        <sz val="10"/>
        <color theme="1"/>
        <rFont val="Arial"/>
        <family val="2"/>
      </rPr>
      <t>COLD</t>
    </r>
  </si>
  <si>
    <t>Exit Cool</t>
  </si>
  <si>
    <t>EXIT COOL, VT2_FALL</t>
  </si>
  <si>
    <r>
      <t>Thermistor Hot Resistance, RTH</t>
    </r>
    <r>
      <rPr>
        <b/>
        <vertAlign val="subscript"/>
        <sz val="10"/>
        <color theme="1"/>
        <rFont val="Arial"/>
        <family val="2"/>
      </rPr>
      <t>HOT</t>
    </r>
  </si>
  <si>
    <t>Exit Warm</t>
  </si>
  <si>
    <t>Enter WARM, VT3_RISE</t>
  </si>
  <si>
    <t>Ideal TS Top Resistor, RT1</t>
  </si>
  <si>
    <t>Enter Warm</t>
  </si>
  <si>
    <t>EXIT WARM, VT3_FALL</t>
  </si>
  <si>
    <t>Ideal TS Bottom Resistor, RT2</t>
  </si>
  <si>
    <t>Exit Hot</t>
  </si>
  <si>
    <t>Enter HOT, VT5_RISE</t>
  </si>
  <si>
    <t>Enter Hot</t>
  </si>
  <si>
    <t>EXIT HOT, VT5_FALL</t>
  </si>
  <si>
    <t>0.1% Real RT Resistors</t>
  </si>
  <si>
    <t>Recommended Real TS Top Resistor, RT1</t>
  </si>
  <si>
    <t>Recommended Real TS Bottom Resistor, RT2</t>
  </si>
  <si>
    <t>Thermistor Resistance Profile</t>
  </si>
  <si>
    <t>Tolerance (%)</t>
  </si>
  <si>
    <t>Temperature</t>
  </si>
  <si>
    <r>
      <t>RTH</t>
    </r>
    <r>
      <rPr>
        <vertAlign val="subscript"/>
        <sz val="11"/>
        <color theme="1"/>
        <rFont val="Calibri"/>
        <family val="2"/>
        <scheme val="minor"/>
      </rPr>
      <t>(min)</t>
    </r>
    <r>
      <rPr>
        <sz val="11"/>
        <color theme="1"/>
        <rFont val="Calibri"/>
        <family val="2"/>
        <scheme val="minor"/>
      </rPr>
      <t xml:space="preserve"> (k</t>
    </r>
    <r>
      <rPr>
        <sz val="11"/>
        <color theme="1"/>
        <rFont val="Calibri"/>
        <family val="2"/>
      </rPr>
      <t>Ω)</t>
    </r>
  </si>
  <si>
    <r>
      <t>RTH</t>
    </r>
    <r>
      <rPr>
        <vertAlign val="subscript"/>
        <sz val="11"/>
        <color theme="1"/>
        <rFont val="Calibri"/>
        <family val="2"/>
        <scheme val="minor"/>
      </rPr>
      <t>(nom)</t>
    </r>
    <r>
      <rPr>
        <sz val="11"/>
        <color theme="1"/>
        <rFont val="Calibri"/>
        <family val="2"/>
        <scheme val="minor"/>
      </rPr>
      <t xml:space="preserve"> (k</t>
    </r>
    <r>
      <rPr>
        <sz val="11"/>
        <color theme="1"/>
        <rFont val="Calibri"/>
        <family val="2"/>
      </rPr>
      <t>Ω)</t>
    </r>
  </si>
  <si>
    <r>
      <t>RTH</t>
    </r>
    <r>
      <rPr>
        <vertAlign val="subscript"/>
        <sz val="11"/>
        <color theme="1"/>
        <rFont val="Calibri"/>
        <family val="2"/>
        <scheme val="minor"/>
      </rPr>
      <t>(max)</t>
    </r>
    <r>
      <rPr>
        <sz val="11"/>
        <color theme="1"/>
        <rFont val="Calibri"/>
        <family val="2"/>
        <scheme val="minor"/>
      </rPr>
      <t xml:space="preserve"> (k</t>
    </r>
    <r>
      <rPr>
        <sz val="11"/>
        <color theme="1"/>
        <rFont val="Calibri"/>
        <family val="2"/>
      </rPr>
      <t>Ω)</t>
    </r>
  </si>
  <si>
    <r>
      <t>R</t>
    </r>
    <r>
      <rPr>
        <vertAlign val="subscript"/>
        <sz val="11"/>
        <color theme="1"/>
        <rFont val="Calibri"/>
        <family val="2"/>
        <scheme val="minor"/>
      </rPr>
      <t>Lower(min)</t>
    </r>
    <r>
      <rPr>
        <sz val="11"/>
        <color theme="1"/>
        <rFont val="Calibri"/>
        <family val="2"/>
        <scheme val="minor"/>
      </rPr>
      <t xml:space="preserve"> (k</t>
    </r>
    <r>
      <rPr>
        <sz val="11"/>
        <color theme="1"/>
        <rFont val="Calibri"/>
        <family val="2"/>
      </rPr>
      <t>Ω)</t>
    </r>
  </si>
  <si>
    <r>
      <t>R</t>
    </r>
    <r>
      <rPr>
        <vertAlign val="subscript"/>
        <sz val="11"/>
        <color theme="1"/>
        <rFont val="Calibri"/>
        <family val="2"/>
        <scheme val="minor"/>
      </rPr>
      <t>Lower(nom)</t>
    </r>
    <r>
      <rPr>
        <sz val="11"/>
        <color theme="1"/>
        <rFont val="Calibri"/>
        <family val="2"/>
        <scheme val="minor"/>
      </rPr>
      <t xml:space="preserve"> (k</t>
    </r>
    <r>
      <rPr>
        <sz val="11"/>
        <color theme="1"/>
        <rFont val="Calibri"/>
        <family val="2"/>
      </rPr>
      <t>Ω)</t>
    </r>
  </si>
  <si>
    <r>
      <t>R</t>
    </r>
    <r>
      <rPr>
        <vertAlign val="subscript"/>
        <sz val="11"/>
        <color theme="1"/>
        <rFont val="Calibri"/>
        <family val="2"/>
        <scheme val="minor"/>
      </rPr>
      <t>Lower(max)</t>
    </r>
    <r>
      <rPr>
        <sz val="11"/>
        <color theme="1"/>
        <rFont val="Calibri"/>
        <family val="2"/>
        <scheme val="minor"/>
      </rPr>
      <t xml:space="preserve"> (k</t>
    </r>
    <r>
      <rPr>
        <sz val="11"/>
        <color theme="1"/>
        <rFont val="Calibri"/>
        <family val="2"/>
      </rPr>
      <t>Ω)</t>
    </r>
  </si>
  <si>
    <r>
      <t>V</t>
    </r>
    <r>
      <rPr>
        <vertAlign val="subscript"/>
        <sz val="11"/>
        <color theme="1"/>
        <rFont val="Calibri"/>
        <family val="2"/>
        <scheme val="minor"/>
      </rPr>
      <t>min</t>
    </r>
    <r>
      <rPr>
        <sz val="11"/>
        <color theme="1"/>
        <rFont val="Calibri"/>
        <family val="2"/>
        <scheme val="minor"/>
      </rPr>
      <t xml:space="preserve"> (%)</t>
    </r>
  </si>
  <si>
    <r>
      <t>V</t>
    </r>
    <r>
      <rPr>
        <vertAlign val="subscript"/>
        <sz val="11"/>
        <color theme="1"/>
        <rFont val="Calibri"/>
        <family val="2"/>
        <scheme val="minor"/>
      </rPr>
      <t>nom</t>
    </r>
    <r>
      <rPr>
        <sz val="11"/>
        <color theme="1"/>
        <rFont val="Calibri"/>
        <family val="2"/>
        <scheme val="minor"/>
      </rPr>
      <t xml:space="preserve"> (%)</t>
    </r>
  </si>
  <si>
    <r>
      <t>V</t>
    </r>
    <r>
      <rPr>
        <vertAlign val="subscript"/>
        <sz val="11"/>
        <color theme="1"/>
        <rFont val="Calibri"/>
        <family val="2"/>
        <scheme val="minor"/>
      </rPr>
      <t>max</t>
    </r>
    <r>
      <rPr>
        <sz val="11"/>
        <color theme="1"/>
        <rFont val="Calibri"/>
        <family val="2"/>
        <scheme val="minor"/>
      </rPr>
      <t xml:space="preserve"> (%)</t>
    </r>
  </si>
  <si>
    <t>Charging Code</t>
  </si>
  <si>
    <t>Hysteresis</t>
  </si>
  <si>
    <t>Charging Region</t>
  </si>
  <si>
    <r>
      <t>E24 Standard Resistor Values (</t>
    </r>
    <r>
      <rPr>
        <b/>
        <sz val="11"/>
        <color theme="1"/>
        <rFont val="Calibri"/>
        <family val="2"/>
      </rPr>
      <t>±5</t>
    </r>
    <r>
      <rPr>
        <b/>
        <sz val="11"/>
        <color theme="1"/>
        <rFont val="Calibri"/>
        <family val="2"/>
        <scheme val="minor"/>
      </rPr>
      <t>%)</t>
    </r>
  </si>
  <si>
    <r>
      <t>E96 Standard Resistor Values (</t>
    </r>
    <r>
      <rPr>
        <b/>
        <sz val="11"/>
        <color theme="1"/>
        <rFont val="Calibri"/>
        <family val="2"/>
      </rPr>
      <t>±1</t>
    </r>
    <r>
      <rPr>
        <b/>
        <sz val="11"/>
        <color theme="1"/>
        <rFont val="Calibri"/>
        <family val="2"/>
        <scheme val="minor"/>
      </rPr>
      <t>%)</t>
    </r>
  </si>
  <si>
    <r>
      <t>Standard Resistor Values (</t>
    </r>
    <r>
      <rPr>
        <b/>
        <sz val="11"/>
        <color theme="1"/>
        <rFont val="Calibri"/>
        <family val="2"/>
      </rPr>
      <t>±0.1</t>
    </r>
    <r>
      <rPr>
        <b/>
        <sz val="11"/>
        <color theme="1"/>
        <rFont val="Calibri"/>
        <family val="2"/>
        <scheme val="minor"/>
      </rPr>
      <t>%)</t>
    </r>
  </si>
  <si>
    <t>Inductors</t>
  </si>
  <si>
    <t>MLCC</t>
  </si>
  <si>
    <t>Decade</t>
  </si>
  <si>
    <t>Resistance</t>
  </si>
  <si>
    <t>N</t>
  </si>
  <si>
    <t>L (uH)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</si>
</sst>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00"/>
  </numFmts>
  <fonts count="47" x14ac:knownFonts="1">
    <font>
      <sz val="11"/>
      <color theme="1"/>
      <name val="Calibri"/>
      <family val="2"/>
      <scheme val="minor"/>
    </font>
    <font>
      <b/>
      <sz val="11"/>
      <color rgb="FF0000FF"/>
      <name val="Arial"/>
      <family val="2"/>
    </font>
    <font>
      <sz val="11"/>
      <color theme="1"/>
      <name val="Arial"/>
      <family val="2"/>
    </font>
    <font>
      <b/>
      <sz val="11"/>
      <color theme="1"/>
      <name val="Arial"/>
      <family val="2"/>
    </font>
    <font>
      <b/>
      <sz val="10"/>
      <color theme="1"/>
      <name val="Arial"/>
      <family val="2"/>
    </font>
    <font>
      <b/>
      <vertAlign val="subscript"/>
      <sz val="10"/>
      <color theme="1"/>
      <name val="Arial"/>
      <family val="2"/>
    </font>
    <font>
      <sz val="10"/>
      <color theme="1"/>
      <name val="Arial"/>
      <family val="2"/>
    </font>
    <font>
      <vertAlign val="subscript"/>
      <sz val="10"/>
      <color theme="1"/>
      <name val="Arial"/>
      <family val="2"/>
    </font>
    <font>
      <sz val="10"/>
      <color theme="1"/>
      <name val="Calibri"/>
      <family val="2"/>
    </font>
    <font>
      <sz val="10"/>
      <color theme="1"/>
      <name val="Calibri"/>
      <family val="2"/>
      <scheme val="minor"/>
    </font>
    <font>
      <b/>
      <sz val="10"/>
      <color rgb="FF0000FF"/>
      <name val="Arial"/>
      <family val="2"/>
    </font>
    <font>
      <b/>
      <sz val="18"/>
      <color theme="0"/>
      <name val="Arial"/>
      <family val="2"/>
    </font>
    <font>
      <b/>
      <sz val="20"/>
      <color rgb="FFFFFFFF"/>
      <name val="Calibri"/>
      <family val="2"/>
      <scheme val="minor"/>
    </font>
    <font>
      <b/>
      <vertAlign val="subscript"/>
      <sz val="10"/>
      <color rgb="FF0000FF"/>
      <name val="Arial"/>
      <family val="2"/>
    </font>
    <font>
      <b/>
      <u/>
      <sz val="10"/>
      <color rgb="FF0000FF"/>
      <name val="Arial"/>
      <family val="2"/>
    </font>
    <font>
      <b/>
      <sz val="10"/>
      <color rgb="FFFF0000"/>
      <name val="Arial"/>
      <family val="2"/>
    </font>
    <font>
      <b/>
      <sz val="10"/>
      <color theme="1"/>
      <name val="Calibri"/>
      <family val="2"/>
    </font>
    <font>
      <b/>
      <sz val="10"/>
      <name val="Arial"/>
      <family val="2"/>
    </font>
    <font>
      <b/>
      <sz val="9"/>
      <color indexed="81"/>
      <name val="Tahoma"/>
      <family val="2"/>
    </font>
    <font>
      <sz val="9"/>
      <color indexed="81"/>
      <name val="Tahoma"/>
      <family val="2"/>
    </font>
    <font>
      <b/>
      <u/>
      <sz val="9"/>
      <color indexed="81"/>
      <name val="Tahoma"/>
      <family val="2"/>
    </font>
    <font>
      <vertAlign val="subscript"/>
      <sz val="9"/>
      <color indexed="81"/>
      <name val="Tahoma"/>
      <family val="2"/>
    </font>
    <font>
      <sz val="10"/>
      <name val="Arial"/>
      <family val="2"/>
    </font>
    <font>
      <sz val="10"/>
      <color rgb="FF00B050"/>
      <name val="Arial"/>
      <family val="2"/>
    </font>
    <font>
      <sz val="11"/>
      <color theme="1"/>
      <name val="Calibri"/>
      <family val="2"/>
      <scheme val="minor"/>
    </font>
    <font>
      <b/>
      <sz val="11"/>
      <color theme="0"/>
      <name val="Calibri"/>
      <family val="2"/>
      <scheme val="minor"/>
    </font>
    <font>
      <b/>
      <sz val="11"/>
      <color theme="1"/>
      <name val="Calibri"/>
      <family val="2"/>
      <scheme val="minor"/>
    </font>
    <font>
      <vertAlign val="subscript"/>
      <sz val="11"/>
      <color theme="1"/>
      <name val="Arial"/>
      <family val="2"/>
    </font>
    <font>
      <vertAlign val="subscript"/>
      <sz val="11"/>
      <color theme="1"/>
      <name val="Calibri"/>
      <family val="2"/>
      <scheme val="minor"/>
    </font>
    <font>
      <b/>
      <sz val="11"/>
      <color theme="1"/>
      <name val="Calibri"/>
      <family val="2"/>
    </font>
    <font>
      <u/>
      <sz val="9"/>
      <color indexed="81"/>
      <name val="Tahoma"/>
      <family val="2"/>
    </font>
    <font>
      <sz val="11"/>
      <color rgb="FFFF0000"/>
      <name val="Calibri"/>
      <family val="2"/>
      <scheme val="minor"/>
    </font>
    <font>
      <sz val="11"/>
      <color rgb="FFFF0000"/>
      <name val="Arial"/>
      <family val="2"/>
    </font>
    <font>
      <sz val="11"/>
      <color theme="1" tint="0.14999847407452621"/>
      <name val="Calibri"/>
      <family val="2"/>
      <scheme val="minor"/>
    </font>
    <font>
      <b/>
      <vertAlign val="subscript"/>
      <sz val="9"/>
      <color indexed="81"/>
      <name val="Tahoma"/>
      <family val="2"/>
    </font>
    <font>
      <vertAlign val="subscript"/>
      <sz val="10"/>
      <color theme="1"/>
      <name val="Calibri"/>
      <family val="2"/>
    </font>
    <font>
      <sz val="11"/>
      <color theme="1"/>
      <name val="Calibri"/>
      <family val="2"/>
    </font>
    <font>
      <b/>
      <u/>
      <vertAlign val="subscript"/>
      <sz val="9"/>
      <color indexed="81"/>
      <name val="Tahoma"/>
      <family val="2"/>
    </font>
    <font>
      <sz val="11"/>
      <color theme="0"/>
      <name val="Calibri"/>
      <family val="2"/>
      <scheme val="minor"/>
    </font>
    <font>
      <b/>
      <sz val="16"/>
      <color theme="0"/>
      <name val="Calibri"/>
      <family val="2"/>
      <scheme val="minor"/>
    </font>
    <font>
      <b/>
      <sz val="18"/>
      <color theme="0"/>
      <name val="Calibri"/>
      <family val="2"/>
      <scheme val="minor"/>
    </font>
    <font>
      <b/>
      <sz val="18"/>
      <color theme="1"/>
      <name val="Calibri"/>
      <family val="2"/>
      <scheme val="minor"/>
    </font>
    <font>
      <b/>
      <sz val="20"/>
      <color theme="0"/>
      <name val="Calibri"/>
      <family val="2"/>
      <scheme val="minor"/>
    </font>
    <font>
      <b/>
      <sz val="10"/>
      <color theme="1"/>
      <name val="Calibri"/>
      <family val="2"/>
      <scheme val="minor"/>
    </font>
    <font>
      <b/>
      <sz val="12"/>
      <name val="Calibri"/>
      <family val="2"/>
      <scheme val="minor"/>
    </font>
    <font>
      <sz val="11"/>
      <color rgb="FF006100"/>
      <name val="Calibri"/>
      <family val="2"/>
      <scheme val="minor"/>
    </font>
    <font>
      <sz val="10"/>
      <color rgb="FFFF0000"/>
      <name val="Arial"/>
      <family val="2"/>
    </font>
  </fonts>
  <fills count="16">
    <fill>
      <patternFill patternType="none"/>
    </fill>
    <fill>
      <patternFill patternType="gray125"/>
    </fill>
    <fill>
      <patternFill patternType="solid">
        <fgColor rgb="FFFF0000"/>
        <bgColor indexed="64"/>
      </patternFill>
    </fill>
    <fill>
      <patternFill patternType="solid">
        <fgColor theme="0" tint="-0.34998626667073579"/>
        <bgColor indexed="64"/>
      </patternFill>
    </fill>
    <fill>
      <patternFill patternType="solid">
        <fgColor theme="0"/>
        <bgColor indexed="64"/>
      </patternFill>
    </fill>
    <fill>
      <patternFill patternType="solid">
        <fgColor theme="1" tint="0.14996795556505021"/>
        <bgColor indexed="64"/>
      </patternFill>
    </fill>
    <fill>
      <patternFill patternType="solid">
        <fgColor rgb="FFFFFF00"/>
        <bgColor indexed="64"/>
      </patternFill>
    </fill>
    <fill>
      <patternFill patternType="solid">
        <fgColor rgb="FF002060"/>
        <bgColor indexed="64"/>
      </patternFill>
    </fill>
    <fill>
      <patternFill patternType="solid">
        <fgColor indexed="9"/>
        <bgColor indexed="64"/>
      </patternFill>
    </fill>
    <fill>
      <patternFill patternType="solid">
        <fgColor theme="4" tint="0.79998168889431442"/>
        <bgColor theme="4" tint="0.79998168889431442"/>
      </patternFill>
    </fill>
    <fill>
      <patternFill patternType="solid">
        <fgColor theme="5"/>
        <bgColor indexed="64"/>
      </patternFill>
    </fill>
    <fill>
      <patternFill patternType="solid">
        <fgColor theme="8" tint="0.59999389629810485"/>
        <bgColor indexed="64"/>
      </patternFill>
    </fill>
    <fill>
      <patternFill patternType="solid">
        <fgColor rgb="FF0070C0"/>
        <bgColor indexed="64"/>
      </patternFill>
    </fill>
    <fill>
      <patternFill patternType="solid">
        <fgColor rgb="FFC6EFCE"/>
      </patternFill>
    </fill>
    <fill>
      <patternFill patternType="solid">
        <fgColor theme="5"/>
        <bgColor theme="5"/>
      </patternFill>
    </fill>
    <fill>
      <patternFill patternType="solid">
        <fgColor theme="5" tint="0.79998168889431442"/>
        <bgColor theme="5" tint="0.79998168889431442"/>
      </patternFill>
    </fill>
  </fills>
  <borders count="2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thin">
        <color theme="4" tint="0.39997558519241921"/>
      </left>
      <right style="thin">
        <color theme="4" tint="0.39997558519241921"/>
      </right>
      <top style="thin">
        <color theme="4" tint="0.39997558519241921"/>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
    <xf numFmtId="0" fontId="0" fillId="0" borderId="0"/>
    <xf numFmtId="9" fontId="24" fillId="0" borderId="0" applyFont="0" applyFill="0" applyBorder="0" applyAlignment="0" applyProtection="0"/>
    <xf numFmtId="0" fontId="22" fillId="0" borderId="0"/>
    <xf numFmtId="0" fontId="45" fillId="13" borderId="0" applyNumberFormat="0" applyBorder="0" applyAlignment="0" applyProtection="0"/>
  </cellStyleXfs>
  <cellXfs count="238">
    <xf numFmtId="0" fontId="0" fillId="0" borderId="0" xfId="0"/>
    <xf numFmtId="164" fontId="17" fillId="6" borderId="0" xfId="0" applyNumberFormat="1" applyFont="1" applyFill="1" applyProtection="1">
      <protection locked="0"/>
    </xf>
    <xf numFmtId="0" fontId="17" fillId="6" borderId="0" xfId="0" applyFont="1" applyFill="1" applyProtection="1">
      <protection locked="0"/>
    </xf>
    <xf numFmtId="0" fontId="17" fillId="6" borderId="7" xfId="0" applyFont="1" applyFill="1" applyBorder="1" applyProtection="1">
      <protection locked="0"/>
    </xf>
    <xf numFmtId="0" fontId="17" fillId="8" borderId="3" xfId="0" applyFont="1" applyFill="1" applyBorder="1" applyAlignment="1">
      <alignment vertical="center"/>
    </xf>
    <xf numFmtId="0" fontId="17" fillId="8" borderId="5" xfId="0" applyFont="1" applyFill="1" applyBorder="1" applyAlignment="1">
      <alignment horizontal="left" vertical="center"/>
    </xf>
    <xf numFmtId="0" fontId="17" fillId="6" borderId="2" xfId="0" applyFont="1" applyFill="1" applyBorder="1" applyAlignment="1" applyProtection="1">
      <alignment vertical="center"/>
      <protection locked="0"/>
    </xf>
    <xf numFmtId="0" fontId="17" fillId="6" borderId="0" xfId="0" applyFont="1" applyFill="1" applyAlignment="1" applyProtection="1">
      <alignment vertical="center"/>
      <protection locked="0"/>
    </xf>
    <xf numFmtId="0" fontId="17" fillId="8" borderId="5" xfId="0" applyFont="1" applyFill="1" applyBorder="1" applyAlignment="1">
      <alignment vertical="center"/>
    </xf>
    <xf numFmtId="0" fontId="17" fillId="8" borderId="5" xfId="0" applyFont="1" applyFill="1" applyBorder="1"/>
    <xf numFmtId="0" fontId="22" fillId="8" borderId="5" xfId="0" applyFont="1" applyFill="1" applyBorder="1"/>
    <xf numFmtId="0" fontId="22" fillId="8" borderId="8" xfId="0" applyFont="1" applyFill="1" applyBorder="1"/>
    <xf numFmtId="0" fontId="22" fillId="8" borderId="3" xfId="0" applyFont="1" applyFill="1" applyBorder="1"/>
    <xf numFmtId="0" fontId="2" fillId="4" borderId="0" xfId="0" applyFont="1" applyFill="1" applyProtection="1">
      <protection hidden="1"/>
    </xf>
    <xf numFmtId="0" fontId="0" fillId="2" borderId="9" xfId="0" applyFill="1" applyBorder="1" applyProtection="1">
      <protection hidden="1"/>
    </xf>
    <xf numFmtId="0" fontId="0" fillId="2" borderId="10" xfId="0" applyFill="1" applyBorder="1" applyProtection="1">
      <protection hidden="1"/>
    </xf>
    <xf numFmtId="0" fontId="12" fillId="2" borderId="10" xfId="0" applyFont="1" applyFill="1" applyBorder="1" applyAlignment="1" applyProtection="1">
      <alignment horizontal="left" vertical="center"/>
      <protection hidden="1"/>
    </xf>
    <xf numFmtId="0" fontId="0" fillId="2" borderId="11" xfId="0" applyFill="1" applyBorder="1" applyProtection="1">
      <protection hidden="1"/>
    </xf>
    <xf numFmtId="0" fontId="0" fillId="3" borderId="0" xfId="0" applyFill="1" applyProtection="1">
      <protection hidden="1"/>
    </xf>
    <xf numFmtId="0" fontId="0" fillId="5" borderId="0" xfId="0" applyFill="1" applyProtection="1">
      <protection hidden="1"/>
    </xf>
    <xf numFmtId="0" fontId="0" fillId="0" borderId="0" xfId="0" applyProtection="1">
      <protection hidden="1"/>
    </xf>
    <xf numFmtId="0" fontId="25" fillId="3" borderId="0" xfId="0" applyFont="1" applyFill="1" applyProtection="1">
      <protection hidden="1"/>
    </xf>
    <xf numFmtId="0" fontId="1" fillId="4" borderId="1" xfId="0" applyFont="1" applyFill="1" applyBorder="1" applyProtection="1">
      <protection hidden="1"/>
    </xf>
    <xf numFmtId="0" fontId="2" fillId="4" borderId="2" xfId="0" applyFont="1" applyFill="1" applyBorder="1" applyProtection="1">
      <protection hidden="1"/>
    </xf>
    <xf numFmtId="0" fontId="2" fillId="0" borderId="2" xfId="0" applyFont="1" applyBorder="1" applyProtection="1">
      <protection hidden="1"/>
    </xf>
    <xf numFmtId="0" fontId="0" fillId="4" borderId="2" xfId="0" applyFill="1" applyBorder="1" applyProtection="1">
      <protection hidden="1"/>
    </xf>
    <xf numFmtId="0" fontId="0" fillId="4" borderId="3" xfId="0" applyFill="1" applyBorder="1" applyProtection="1">
      <protection hidden="1"/>
    </xf>
    <xf numFmtId="0" fontId="2" fillId="4" borderId="1" xfId="0" applyFont="1" applyFill="1" applyBorder="1" applyProtection="1">
      <protection hidden="1"/>
    </xf>
    <xf numFmtId="0" fontId="4" fillId="4" borderId="2" xfId="0" applyFont="1" applyFill="1" applyBorder="1" applyAlignment="1" applyProtection="1">
      <alignment horizontal="right"/>
      <protection hidden="1"/>
    </xf>
    <xf numFmtId="0" fontId="0" fillId="4" borderId="0" xfId="0" applyFill="1" applyProtection="1">
      <protection hidden="1"/>
    </xf>
    <xf numFmtId="0" fontId="0" fillId="4" borderId="5" xfId="0" applyFill="1" applyBorder="1" applyProtection="1">
      <protection hidden="1"/>
    </xf>
    <xf numFmtId="0" fontId="2" fillId="4" borderId="4" xfId="0" applyFont="1" applyFill="1" applyBorder="1" applyProtection="1">
      <protection hidden="1"/>
    </xf>
    <xf numFmtId="0" fontId="4" fillId="4" borderId="0" xfId="0" applyFont="1" applyFill="1" applyAlignment="1" applyProtection="1">
      <alignment horizontal="right"/>
      <protection hidden="1"/>
    </xf>
    <xf numFmtId="0" fontId="2" fillId="4" borderId="6" xfId="0" applyFont="1" applyFill="1" applyBorder="1" applyProtection="1">
      <protection hidden="1"/>
    </xf>
    <xf numFmtId="0" fontId="2" fillId="4" borderId="7" xfId="0" applyFont="1" applyFill="1" applyBorder="1" applyProtection="1">
      <protection hidden="1"/>
    </xf>
    <xf numFmtId="0" fontId="4" fillId="4" borderId="7" xfId="0" applyFont="1" applyFill="1" applyBorder="1" applyAlignment="1" applyProtection="1">
      <alignment horizontal="right"/>
      <protection hidden="1"/>
    </xf>
    <xf numFmtId="0" fontId="1" fillId="4" borderId="4" xfId="0" applyFont="1" applyFill="1" applyBorder="1" applyProtection="1">
      <protection hidden="1"/>
    </xf>
    <xf numFmtId="0" fontId="6" fillId="4" borderId="2" xfId="0" applyFont="1" applyFill="1" applyBorder="1" applyAlignment="1" applyProtection="1">
      <alignment horizontal="right"/>
      <protection hidden="1"/>
    </xf>
    <xf numFmtId="0" fontId="6" fillId="4" borderId="3" xfId="0" applyFont="1" applyFill="1" applyBorder="1" applyProtection="1">
      <protection hidden="1"/>
    </xf>
    <xf numFmtId="0" fontId="6" fillId="4" borderId="0" xfId="0" applyFont="1" applyFill="1" applyAlignment="1" applyProtection="1">
      <alignment horizontal="right"/>
      <protection hidden="1"/>
    </xf>
    <xf numFmtId="2" fontId="6" fillId="4" borderId="0" xfId="0" applyNumberFormat="1" applyFont="1" applyFill="1" applyAlignment="1" applyProtection="1">
      <alignment horizontal="right"/>
      <protection hidden="1"/>
    </xf>
    <xf numFmtId="2" fontId="2" fillId="4" borderId="0" xfId="0" applyNumberFormat="1" applyFont="1" applyFill="1" applyProtection="1">
      <protection hidden="1"/>
    </xf>
    <xf numFmtId="0" fontId="6" fillId="4" borderId="5" xfId="0" applyFont="1" applyFill="1" applyBorder="1" applyProtection="1">
      <protection hidden="1"/>
    </xf>
    <xf numFmtId="0" fontId="6" fillId="4" borderId="7" xfId="0" applyFont="1" applyFill="1" applyBorder="1" applyAlignment="1" applyProtection="1">
      <alignment horizontal="right"/>
      <protection hidden="1"/>
    </xf>
    <xf numFmtId="2" fontId="2" fillId="4" borderId="7" xfId="0" applyNumberFormat="1" applyFont="1" applyFill="1" applyBorder="1" applyProtection="1">
      <protection hidden="1"/>
    </xf>
    <xf numFmtId="0" fontId="6" fillId="4" borderId="8" xfId="0" applyFont="1" applyFill="1" applyBorder="1" applyProtection="1">
      <protection hidden="1"/>
    </xf>
    <xf numFmtId="0" fontId="6" fillId="4" borderId="6" xfId="0" applyFont="1" applyFill="1" applyBorder="1" applyProtection="1">
      <protection hidden="1"/>
    </xf>
    <xf numFmtId="0" fontId="6" fillId="4" borderId="7" xfId="0" applyFont="1" applyFill="1" applyBorder="1" applyProtection="1">
      <protection hidden="1"/>
    </xf>
    <xf numFmtId="0" fontId="6" fillId="4" borderId="4" xfId="0" applyFont="1" applyFill="1" applyBorder="1" applyProtection="1">
      <protection hidden="1"/>
    </xf>
    <xf numFmtId="0" fontId="6" fillId="4" borderId="0" xfId="0" applyFont="1" applyFill="1" applyProtection="1">
      <protection hidden="1"/>
    </xf>
    <xf numFmtId="0" fontId="6" fillId="4" borderId="2" xfId="0" applyFont="1" applyFill="1" applyBorder="1" applyProtection="1">
      <protection hidden="1"/>
    </xf>
    <xf numFmtId="0" fontId="2" fillId="4" borderId="0" xfId="0" applyFont="1" applyFill="1" applyAlignment="1" applyProtection="1">
      <alignment horizontal="right"/>
      <protection hidden="1"/>
    </xf>
    <xf numFmtId="0" fontId="0" fillId="4" borderId="0" xfId="0" applyFill="1" applyAlignment="1" applyProtection="1">
      <alignment horizontal="right"/>
      <protection hidden="1"/>
    </xf>
    <xf numFmtId="0" fontId="23" fillId="4" borderId="0" xfId="0" applyFont="1" applyFill="1" applyAlignment="1" applyProtection="1">
      <alignment horizontal="right"/>
      <protection hidden="1"/>
    </xf>
    <xf numFmtId="0" fontId="6" fillId="4" borderId="1" xfId="0" applyFont="1" applyFill="1" applyBorder="1" applyProtection="1">
      <protection hidden="1"/>
    </xf>
    <xf numFmtId="2" fontId="6" fillId="4" borderId="2" xfId="0" applyNumberFormat="1" applyFont="1" applyFill="1" applyBorder="1" applyAlignment="1" applyProtection="1">
      <alignment horizontal="right"/>
      <protection hidden="1"/>
    </xf>
    <xf numFmtId="0" fontId="6" fillId="7" borderId="10" xfId="0" applyFont="1" applyFill="1" applyBorder="1" applyProtection="1">
      <protection hidden="1"/>
    </xf>
    <xf numFmtId="0" fontId="2" fillId="7" borderId="10" xfId="0" applyFont="1" applyFill="1" applyBorder="1" applyProtection="1">
      <protection hidden="1"/>
    </xf>
    <xf numFmtId="0" fontId="0" fillId="7" borderId="10" xfId="0" applyFill="1" applyBorder="1" applyProtection="1">
      <protection hidden="1"/>
    </xf>
    <xf numFmtId="0" fontId="0" fillId="7" borderId="11" xfId="0" applyFill="1" applyBorder="1" applyProtection="1">
      <protection hidden="1"/>
    </xf>
    <xf numFmtId="0" fontId="33" fillId="5" borderId="0" xfId="0" applyFont="1" applyFill="1" applyProtection="1">
      <protection hidden="1"/>
    </xf>
    <xf numFmtId="0" fontId="0" fillId="6" borderId="0" xfId="0" applyFill="1" applyAlignment="1" applyProtection="1">
      <alignment horizontal="right"/>
      <protection hidden="1"/>
    </xf>
    <xf numFmtId="0" fontId="0" fillId="0" borderId="2" xfId="0" applyBorder="1" applyProtection="1">
      <protection hidden="1"/>
    </xf>
    <xf numFmtId="0" fontId="10" fillId="4" borderId="2" xfId="0" applyFont="1" applyFill="1" applyBorder="1" applyAlignment="1" applyProtection="1">
      <alignment horizontal="right"/>
      <protection hidden="1"/>
    </xf>
    <xf numFmtId="0" fontId="15" fillId="4" borderId="2" xfId="0" applyFont="1" applyFill="1" applyBorder="1" applyProtection="1">
      <protection hidden="1"/>
    </xf>
    <xf numFmtId="0" fontId="6" fillId="0" borderId="0" xfId="0" applyFont="1" applyProtection="1">
      <protection hidden="1"/>
    </xf>
    <xf numFmtId="0" fontId="17" fillId="4" borderId="0" xfId="0" applyFont="1" applyFill="1" applyAlignment="1" applyProtection="1">
      <alignment horizontal="right"/>
      <protection hidden="1"/>
    </xf>
    <xf numFmtId="0" fontId="9" fillId="5" borderId="0" xfId="0" applyFont="1" applyFill="1" applyProtection="1">
      <protection hidden="1"/>
    </xf>
    <xf numFmtId="0" fontId="2" fillId="6" borderId="2" xfId="0" applyFont="1" applyFill="1" applyBorder="1" applyProtection="1">
      <protection locked="0"/>
    </xf>
    <xf numFmtId="0" fontId="2" fillId="6" borderId="0" xfId="0" applyFont="1" applyFill="1" applyProtection="1">
      <protection locked="0"/>
    </xf>
    <xf numFmtId="0" fontId="6" fillId="6" borderId="2" xfId="0" applyFont="1" applyFill="1" applyBorder="1" applyAlignment="1" applyProtection="1">
      <alignment horizontal="right"/>
      <protection locked="0"/>
    </xf>
    <xf numFmtId="0" fontId="6" fillId="6" borderId="0" xfId="0" applyFont="1" applyFill="1" applyProtection="1">
      <protection locked="0"/>
    </xf>
    <xf numFmtId="0" fontId="6" fillId="4" borderId="3" xfId="0" applyFont="1" applyFill="1" applyBorder="1"/>
    <xf numFmtId="0" fontId="6" fillId="4" borderId="5" xfId="0" applyFont="1" applyFill="1" applyBorder="1"/>
    <xf numFmtId="0" fontId="6" fillId="4" borderId="8" xfId="0" applyFont="1" applyFill="1" applyBorder="1"/>
    <xf numFmtId="165" fontId="0" fillId="0" borderId="0" xfId="0" applyNumberFormat="1" applyProtection="1">
      <protection hidden="1"/>
    </xf>
    <xf numFmtId="0" fontId="0" fillId="0" borderId="0" xfId="0" applyAlignment="1" applyProtection="1">
      <alignment horizontal="center"/>
      <protection hidden="1"/>
    </xf>
    <xf numFmtId="48" fontId="0" fillId="0" borderId="0" xfId="0" applyNumberFormat="1" applyProtection="1">
      <protection hidden="1"/>
    </xf>
    <xf numFmtId="165" fontId="0" fillId="9" borderId="14" xfId="0" applyNumberFormat="1" applyFill="1" applyBorder="1" applyProtection="1">
      <protection hidden="1"/>
    </xf>
    <xf numFmtId="0" fontId="26" fillId="0" borderId="0" xfId="0" applyFont="1" applyProtection="1">
      <protection hidden="1"/>
    </xf>
    <xf numFmtId="11" fontId="0" fillId="0" borderId="0" xfId="0" applyNumberFormat="1" applyProtection="1">
      <protection hidden="1"/>
    </xf>
    <xf numFmtId="166" fontId="0" fillId="0" borderId="0" xfId="1" applyNumberFormat="1" applyFont="1" applyProtection="1">
      <protection hidden="1"/>
    </xf>
    <xf numFmtId="1" fontId="0" fillId="0" borderId="0" xfId="0" applyNumberFormat="1" applyProtection="1">
      <protection hidden="1"/>
    </xf>
    <xf numFmtId="165" fontId="0" fillId="9" borderId="15" xfId="0" applyNumberFormat="1" applyFill="1" applyBorder="1" applyProtection="1">
      <protection hidden="1"/>
    </xf>
    <xf numFmtId="0" fontId="32" fillId="4" borderId="0" xfId="0" applyFont="1" applyFill="1" applyProtection="1">
      <protection hidden="1"/>
    </xf>
    <xf numFmtId="0" fontId="31" fillId="4" borderId="0" xfId="0" applyFont="1" applyFill="1" applyProtection="1">
      <protection hidden="1"/>
    </xf>
    <xf numFmtId="0" fontId="32" fillId="4" borderId="2" xfId="0" applyFont="1" applyFill="1" applyBorder="1" applyProtection="1">
      <protection hidden="1"/>
    </xf>
    <xf numFmtId="1" fontId="17" fillId="6" borderId="0" xfId="0" applyNumberFormat="1" applyFont="1" applyFill="1" applyAlignment="1" applyProtection="1">
      <alignment vertical="center"/>
      <protection locked="0"/>
    </xf>
    <xf numFmtId="0" fontId="17" fillId="6" borderId="7" xfId="0" applyFont="1" applyFill="1" applyBorder="1" applyAlignment="1" applyProtection="1">
      <alignment vertical="center"/>
      <protection locked="0"/>
    </xf>
    <xf numFmtId="0" fontId="3" fillId="4" borderId="8" xfId="0" applyFont="1" applyFill="1" applyBorder="1"/>
    <xf numFmtId="1" fontId="2" fillId="4" borderId="0" xfId="0" applyNumberFormat="1" applyFont="1" applyFill="1" applyProtection="1">
      <protection hidden="1"/>
    </xf>
    <xf numFmtId="1" fontId="32" fillId="4" borderId="0" xfId="0" applyNumberFormat="1" applyFont="1" applyFill="1" applyProtection="1">
      <protection hidden="1"/>
    </xf>
    <xf numFmtId="1" fontId="17" fillId="6" borderId="2" xfId="0" applyNumberFormat="1" applyFont="1" applyFill="1" applyBorder="1" applyAlignment="1" applyProtection="1">
      <alignment vertical="center"/>
      <protection locked="0"/>
    </xf>
    <xf numFmtId="0" fontId="22" fillId="8" borderId="5" xfId="0" applyFont="1" applyFill="1" applyBorder="1" applyAlignment="1">
      <alignment vertical="center"/>
    </xf>
    <xf numFmtId="2" fontId="32" fillId="4" borderId="0" xfId="0" applyNumberFormat="1" applyFont="1" applyFill="1" applyProtection="1">
      <protection hidden="1"/>
    </xf>
    <xf numFmtId="2" fontId="2" fillId="4" borderId="2" xfId="0" applyNumberFormat="1" applyFont="1" applyFill="1" applyBorder="1" applyProtection="1">
      <protection hidden="1"/>
    </xf>
    <xf numFmtId="0" fontId="0" fillId="0" borderId="4" xfId="0" applyBorder="1" applyProtection="1">
      <protection hidden="1"/>
    </xf>
    <xf numFmtId="0" fontId="3" fillId="4" borderId="2" xfId="0" applyFont="1" applyFill="1" applyBorder="1" applyProtection="1">
      <protection hidden="1"/>
    </xf>
    <xf numFmtId="0" fontId="2" fillId="4" borderId="7" xfId="0" applyFont="1" applyFill="1" applyBorder="1" applyAlignment="1" applyProtection="1">
      <alignment horizontal="right"/>
      <protection hidden="1"/>
    </xf>
    <xf numFmtId="11" fontId="0" fillId="4" borderId="0" xfId="0" applyNumberFormat="1" applyFill="1" applyAlignment="1" applyProtection="1">
      <alignment horizontal="right"/>
      <protection hidden="1"/>
    </xf>
    <xf numFmtId="0" fontId="32" fillId="4" borderId="0" xfId="0" applyFont="1" applyFill="1" applyAlignment="1" applyProtection="1">
      <alignment horizontal="right"/>
      <protection hidden="1"/>
    </xf>
    <xf numFmtId="0" fontId="1" fillId="4" borderId="6" xfId="0" applyFont="1" applyFill="1" applyBorder="1" applyProtection="1">
      <protection hidden="1"/>
    </xf>
    <xf numFmtId="0" fontId="15" fillId="4" borderId="0" xfId="0" applyFont="1" applyFill="1" applyProtection="1">
      <protection hidden="1"/>
    </xf>
    <xf numFmtId="0" fontId="15" fillId="4" borderId="0" xfId="0" applyFont="1" applyFill="1" applyAlignment="1" applyProtection="1">
      <alignment horizontal="right"/>
      <protection hidden="1"/>
    </xf>
    <xf numFmtId="0" fontId="6" fillId="4" borderId="10" xfId="0" applyFont="1" applyFill="1" applyBorder="1" applyProtection="1">
      <protection hidden="1"/>
    </xf>
    <xf numFmtId="0" fontId="6" fillId="4" borderId="0" xfId="0" applyFont="1" applyFill="1"/>
    <xf numFmtId="0" fontId="6" fillId="4" borderId="0" xfId="0" applyFont="1" applyFill="1" applyAlignment="1" applyProtection="1">
      <alignment horizontal="center"/>
      <protection hidden="1"/>
    </xf>
    <xf numFmtId="1" fontId="2" fillId="4" borderId="0" xfId="0" applyNumberFormat="1" applyFont="1" applyFill="1" applyAlignment="1" applyProtection="1">
      <alignment horizontal="right"/>
      <protection hidden="1"/>
    </xf>
    <xf numFmtId="1" fontId="2" fillId="4" borderId="7" xfId="0" applyNumberFormat="1" applyFont="1" applyFill="1" applyBorder="1" applyAlignment="1" applyProtection="1">
      <alignment horizontal="right"/>
      <protection hidden="1"/>
    </xf>
    <xf numFmtId="0" fontId="22" fillId="8" borderId="8" xfId="0" applyFont="1" applyFill="1" applyBorder="1" applyAlignment="1">
      <alignment vertical="center"/>
    </xf>
    <xf numFmtId="0" fontId="6" fillId="4" borderId="9" xfId="0" applyFont="1" applyFill="1" applyBorder="1" applyProtection="1">
      <protection hidden="1"/>
    </xf>
    <xf numFmtId="0" fontId="4" fillId="4" borderId="10" xfId="0" applyFont="1" applyFill="1" applyBorder="1" applyAlignment="1" applyProtection="1">
      <alignment horizontal="right"/>
      <protection hidden="1"/>
    </xf>
    <xf numFmtId="0" fontId="0" fillId="4" borderId="1" xfId="0" applyFill="1" applyBorder="1" applyProtection="1">
      <protection hidden="1"/>
    </xf>
    <xf numFmtId="0" fontId="0" fillId="4" borderId="4" xfId="0" applyFill="1" applyBorder="1" applyProtection="1">
      <protection hidden="1"/>
    </xf>
    <xf numFmtId="0" fontId="0" fillId="4" borderId="7" xfId="0" applyFill="1" applyBorder="1" applyProtection="1">
      <protection hidden="1"/>
    </xf>
    <xf numFmtId="0" fontId="0" fillId="4" borderId="8" xfId="0" applyFill="1" applyBorder="1" applyProtection="1">
      <protection hidden="1"/>
    </xf>
    <xf numFmtId="0" fontId="10" fillId="4" borderId="4" xfId="0" applyFont="1" applyFill="1" applyBorder="1" applyProtection="1">
      <protection hidden="1"/>
    </xf>
    <xf numFmtId="0" fontId="17" fillId="4" borderId="0" xfId="0" applyFont="1" applyFill="1" applyProtection="1">
      <protection hidden="1"/>
    </xf>
    <xf numFmtId="164" fontId="17" fillId="6" borderId="0" xfId="0" applyNumberFormat="1" applyFont="1" applyFill="1" applyProtection="1">
      <protection hidden="1"/>
    </xf>
    <xf numFmtId="0" fontId="17" fillId="6" borderId="0" xfId="0" applyFont="1" applyFill="1" applyProtection="1">
      <protection hidden="1"/>
    </xf>
    <xf numFmtId="0" fontId="8" fillId="4" borderId="5" xfId="0" applyFont="1" applyFill="1" applyBorder="1" applyProtection="1">
      <protection hidden="1"/>
    </xf>
    <xf numFmtId="0" fontId="17" fillId="4" borderId="7" xfId="0" applyFont="1" applyFill="1" applyBorder="1" applyProtection="1">
      <protection hidden="1"/>
    </xf>
    <xf numFmtId="0" fontId="17" fillId="6" borderId="7" xfId="0" applyFont="1" applyFill="1" applyBorder="1" applyProtection="1">
      <protection hidden="1"/>
    </xf>
    <xf numFmtId="0" fontId="17" fillId="4" borderId="7" xfId="0" applyFont="1" applyFill="1" applyBorder="1" applyAlignment="1" applyProtection="1">
      <alignment horizontal="right"/>
      <protection hidden="1"/>
    </xf>
    <xf numFmtId="164" fontId="17" fillId="4" borderId="0" xfId="0" applyNumberFormat="1" applyFont="1" applyFill="1" applyProtection="1">
      <protection hidden="1"/>
    </xf>
    <xf numFmtId="0" fontId="15" fillId="6" borderId="2" xfId="0" applyFont="1" applyFill="1" applyBorder="1" applyProtection="1">
      <protection locked="0"/>
    </xf>
    <xf numFmtId="0" fontId="6" fillId="6" borderId="10" xfId="0" applyFont="1" applyFill="1" applyBorder="1" applyProtection="1">
      <protection locked="0"/>
    </xf>
    <xf numFmtId="0" fontId="2" fillId="4" borderId="0" xfId="0" applyFont="1" applyFill="1"/>
    <xf numFmtId="0" fontId="2" fillId="4" borderId="5" xfId="0" applyFont="1" applyFill="1" applyBorder="1"/>
    <xf numFmtId="0" fontId="4" fillId="4" borderId="5" xfId="0" applyFont="1" applyFill="1" applyBorder="1"/>
    <xf numFmtId="0" fontId="3" fillId="4" borderId="5" xfId="0" applyFont="1" applyFill="1" applyBorder="1"/>
    <xf numFmtId="0" fontId="4" fillId="4" borderId="3" xfId="0" applyFont="1" applyFill="1" applyBorder="1"/>
    <xf numFmtId="0" fontId="2" fillId="4" borderId="3" xfId="0" applyFont="1" applyFill="1" applyBorder="1"/>
    <xf numFmtId="0" fontId="3" fillId="4" borderId="3" xfId="0" applyFont="1" applyFill="1" applyBorder="1"/>
    <xf numFmtId="0" fontId="2" fillId="4" borderId="8" xfId="0" applyFont="1" applyFill="1" applyBorder="1"/>
    <xf numFmtId="0" fontId="22" fillId="8" borderId="0" xfId="0" applyFont="1" applyFill="1"/>
    <xf numFmtId="0" fontId="26" fillId="4" borderId="5" xfId="0" applyFont="1" applyFill="1" applyBorder="1"/>
    <xf numFmtId="0" fontId="6" fillId="4" borderId="11" xfId="0" applyFont="1" applyFill="1" applyBorder="1"/>
    <xf numFmtId="0" fontId="2" fillId="2" borderId="0" xfId="0" applyFont="1" applyFill="1" applyAlignment="1" applyProtection="1">
      <alignment horizontal="left" vertical="center"/>
      <protection hidden="1"/>
    </xf>
    <xf numFmtId="0" fontId="0" fillId="2" borderId="0" xfId="0" applyFill="1" applyAlignment="1" applyProtection="1">
      <alignment horizontal="left" vertical="center"/>
      <protection hidden="1"/>
    </xf>
    <xf numFmtId="0" fontId="31" fillId="2" borderId="0" xfId="0" applyFont="1" applyFill="1" applyAlignment="1" applyProtection="1">
      <alignment horizontal="left" vertical="center"/>
      <protection hidden="1"/>
    </xf>
    <xf numFmtId="0" fontId="0" fillId="2" borderId="0" xfId="0" applyFill="1" applyProtection="1">
      <protection hidden="1"/>
    </xf>
    <xf numFmtId="2" fontId="0" fillId="2" borderId="0" xfId="0" applyNumberFormat="1" applyFill="1" applyAlignment="1" applyProtection="1">
      <alignment horizontal="right" vertical="center"/>
      <protection hidden="1"/>
    </xf>
    <xf numFmtId="0" fontId="2" fillId="0" borderId="0" xfId="0" applyFont="1" applyAlignment="1" applyProtection="1">
      <alignment horizontal="right"/>
      <protection hidden="1"/>
    </xf>
    <xf numFmtId="0" fontId="0" fillId="0" borderId="0" xfId="0" applyAlignment="1" applyProtection="1">
      <alignment horizontal="right"/>
      <protection hidden="1"/>
    </xf>
    <xf numFmtId="2" fontId="0" fillId="0" borderId="0" xfId="0" applyNumberFormat="1" applyAlignment="1" applyProtection="1">
      <alignment horizontal="right"/>
      <protection hidden="1"/>
    </xf>
    <xf numFmtId="2" fontId="0" fillId="2" borderId="0" xfId="0" applyNumberFormat="1" applyFill="1" applyAlignment="1" applyProtection="1">
      <alignment horizontal="right"/>
      <protection hidden="1"/>
    </xf>
    <xf numFmtId="2" fontId="0" fillId="0" borderId="18" xfId="0" applyNumberFormat="1" applyBorder="1" applyAlignment="1" applyProtection="1">
      <alignment horizontal="right"/>
      <protection hidden="1"/>
    </xf>
    <xf numFmtId="2" fontId="31" fillId="2" borderId="0" xfId="0" applyNumberFormat="1" applyFont="1" applyFill="1" applyAlignment="1" applyProtection="1">
      <alignment horizontal="right"/>
      <protection hidden="1"/>
    </xf>
    <xf numFmtId="2" fontId="0" fillId="0" borderId="0" xfId="1" applyNumberFormat="1" applyFont="1" applyAlignment="1" applyProtection="1">
      <alignment horizontal="right"/>
      <protection hidden="1"/>
    </xf>
    <xf numFmtId="2" fontId="0" fillId="0" borderId="19" xfId="0" applyNumberFormat="1" applyBorder="1" applyAlignment="1" applyProtection="1">
      <alignment horizontal="right"/>
      <protection hidden="1"/>
    </xf>
    <xf numFmtId="0" fontId="0" fillId="2" borderId="16" xfId="0" applyFill="1" applyBorder="1" applyAlignment="1" applyProtection="1">
      <alignment horizontal="left" vertical="center"/>
      <protection hidden="1"/>
    </xf>
    <xf numFmtId="0" fontId="0" fillId="2" borderId="0" xfId="0" applyFill="1" applyAlignment="1" applyProtection="1">
      <alignment horizontal="right"/>
      <protection hidden="1"/>
    </xf>
    <xf numFmtId="2" fontId="0" fillId="2" borderId="0" xfId="1" applyNumberFormat="1" applyFont="1" applyFill="1" applyAlignment="1" applyProtection="1">
      <alignment horizontal="right"/>
      <protection hidden="1"/>
    </xf>
    <xf numFmtId="16" fontId="2" fillId="4" borderId="2" xfId="0" applyNumberFormat="1" applyFont="1" applyFill="1" applyBorder="1" applyAlignment="1" applyProtection="1">
      <alignment horizontal="right"/>
      <protection hidden="1"/>
    </xf>
    <xf numFmtId="167" fontId="2" fillId="4" borderId="0" xfId="0" applyNumberFormat="1" applyFont="1" applyFill="1" applyProtection="1">
      <protection hidden="1"/>
    </xf>
    <xf numFmtId="0" fontId="26" fillId="4" borderId="0" xfId="0" applyFont="1" applyFill="1" applyProtection="1">
      <protection hidden="1"/>
    </xf>
    <xf numFmtId="1" fontId="26" fillId="4" borderId="0" xfId="0" applyNumberFormat="1" applyFont="1" applyFill="1" applyProtection="1">
      <protection hidden="1"/>
    </xf>
    <xf numFmtId="0" fontId="43" fillId="4" borderId="0" xfId="0" applyFont="1" applyFill="1" applyProtection="1">
      <protection hidden="1"/>
    </xf>
    <xf numFmtId="0" fontId="0" fillId="4" borderId="1" xfId="0" applyFill="1" applyBorder="1"/>
    <xf numFmtId="0" fontId="0" fillId="4" borderId="2" xfId="0" applyFill="1" applyBorder="1"/>
    <xf numFmtId="0" fontId="0" fillId="4" borderId="6" xfId="0" applyFill="1" applyBorder="1"/>
    <xf numFmtId="0" fontId="0" fillId="4" borderId="7" xfId="0" applyFill="1" applyBorder="1"/>
    <xf numFmtId="0" fontId="0" fillId="4" borderId="0" xfId="0" applyFill="1"/>
    <xf numFmtId="0" fontId="0" fillId="4" borderId="9" xfId="0" applyFill="1" applyBorder="1" applyAlignment="1">
      <alignment horizontal="center"/>
    </xf>
    <xf numFmtId="0" fontId="0" fillId="4" borderId="10" xfId="0" applyFill="1" applyBorder="1" applyAlignment="1">
      <alignment horizontal="center"/>
    </xf>
    <xf numFmtId="0" fontId="0" fillId="4" borderId="11" xfId="0" applyFill="1" applyBorder="1" applyAlignment="1" applyProtection="1">
      <alignment horizontal="center"/>
      <protection hidden="1"/>
    </xf>
    <xf numFmtId="0" fontId="0" fillId="4" borderId="1" xfId="0" applyFill="1" applyBorder="1" applyAlignment="1">
      <alignment horizontal="center"/>
    </xf>
    <xf numFmtId="0" fontId="0" fillId="4" borderId="2" xfId="0" applyFill="1" applyBorder="1" applyAlignment="1">
      <alignment horizontal="center"/>
    </xf>
    <xf numFmtId="0" fontId="0" fillId="4" borderId="3" xfId="0" applyFill="1" applyBorder="1" applyAlignment="1" applyProtection="1">
      <alignment horizontal="center"/>
      <protection hidden="1"/>
    </xf>
    <xf numFmtId="0" fontId="0" fillId="4" borderId="4" xfId="0" applyFill="1" applyBorder="1"/>
    <xf numFmtId="0" fontId="0" fillId="4" borderId="2" xfId="0" applyFill="1" applyBorder="1" applyAlignment="1">
      <alignment horizontal="right"/>
    </xf>
    <xf numFmtId="0" fontId="0" fillId="4" borderId="0" xfId="0" applyFill="1" applyAlignment="1">
      <alignment horizontal="right"/>
    </xf>
    <xf numFmtId="0" fontId="0" fillId="4" borderId="6" xfId="0" applyFill="1" applyBorder="1" applyProtection="1">
      <protection hidden="1"/>
    </xf>
    <xf numFmtId="0" fontId="0" fillId="4" borderId="7" xfId="0" applyFill="1" applyBorder="1" applyAlignment="1">
      <alignment horizontal="right"/>
    </xf>
    <xf numFmtId="0" fontId="6" fillId="4" borderId="16" xfId="0" applyFont="1" applyFill="1" applyBorder="1" applyAlignment="1" applyProtection="1">
      <alignment horizontal="right"/>
      <protection hidden="1"/>
    </xf>
    <xf numFmtId="0" fontId="2" fillId="4" borderId="2" xfId="0" applyFont="1" applyFill="1" applyBorder="1"/>
    <xf numFmtId="0" fontId="26" fillId="4" borderId="2" xfId="0" applyFont="1" applyFill="1" applyBorder="1" applyProtection="1">
      <protection hidden="1"/>
    </xf>
    <xf numFmtId="0" fontId="0" fillId="10" borderId="0" xfId="0" applyFill="1" applyProtection="1">
      <protection hidden="1"/>
    </xf>
    <xf numFmtId="0" fontId="44" fillId="0" borderId="12" xfId="0" applyFont="1" applyBorder="1"/>
    <xf numFmtId="0" fontId="44" fillId="0" borderId="12" xfId="0" applyFont="1" applyBorder="1" applyAlignment="1">
      <alignment horizontal="center"/>
    </xf>
    <xf numFmtId="0" fontId="17" fillId="0" borderId="12" xfId="0" applyFont="1" applyBorder="1" applyAlignment="1">
      <alignment horizontal="center"/>
    </xf>
    <xf numFmtId="1" fontId="44" fillId="11" borderId="12" xfId="0" applyNumberFormat="1" applyFont="1" applyFill="1" applyBorder="1" applyAlignment="1">
      <alignment horizontal="center"/>
    </xf>
    <xf numFmtId="0" fontId="0" fillId="12" borderId="0" xfId="0" applyFill="1" applyProtection="1">
      <protection hidden="1"/>
    </xf>
    <xf numFmtId="2" fontId="0" fillId="4" borderId="3" xfId="0" applyNumberFormat="1" applyFill="1" applyBorder="1" applyProtection="1">
      <protection hidden="1"/>
    </xf>
    <xf numFmtId="2" fontId="0" fillId="4" borderId="8" xfId="0" applyNumberFormat="1" applyFill="1" applyBorder="1" applyProtection="1">
      <protection hidden="1"/>
    </xf>
    <xf numFmtId="0" fontId="25" fillId="14" borderId="0" xfId="0" applyFont="1" applyFill="1"/>
    <xf numFmtId="0" fontId="0" fillId="15" borderId="0" xfId="0" applyFill="1"/>
    <xf numFmtId="2" fontId="0" fillId="4" borderId="1" xfId="0" applyNumberFormat="1" applyFill="1" applyBorder="1" applyProtection="1">
      <protection hidden="1"/>
    </xf>
    <xf numFmtId="2" fontId="45" fillId="13" borderId="2" xfId="3" applyNumberFormat="1" applyBorder="1" applyProtection="1">
      <protection hidden="1"/>
    </xf>
    <xf numFmtId="2" fontId="0" fillId="4" borderId="6" xfId="0" applyNumberFormat="1" applyFill="1" applyBorder="1" applyProtection="1">
      <protection hidden="1"/>
    </xf>
    <xf numFmtId="2" fontId="45" fillId="13" borderId="7" xfId="3" applyNumberFormat="1" applyBorder="1" applyProtection="1">
      <protection hidden="1"/>
    </xf>
    <xf numFmtId="0" fontId="0" fillId="4" borderId="17" xfId="0" applyFill="1" applyBorder="1" applyProtection="1">
      <protection locked="0"/>
    </xf>
    <xf numFmtId="0" fontId="0" fillId="6" borderId="1" xfId="0" applyFill="1" applyBorder="1" applyProtection="1">
      <protection locked="0"/>
    </xf>
    <xf numFmtId="0" fontId="0" fillId="6" borderId="2" xfId="0" applyFill="1" applyBorder="1" applyProtection="1">
      <protection locked="0"/>
    </xf>
    <xf numFmtId="0" fontId="0" fillId="6" borderId="3" xfId="0" applyFill="1" applyBorder="1" applyProtection="1">
      <protection locked="0"/>
    </xf>
    <xf numFmtId="0" fontId="0" fillId="4" borderId="18" xfId="0" applyFill="1" applyBorder="1" applyProtection="1">
      <protection locked="0"/>
    </xf>
    <xf numFmtId="0" fontId="0" fillId="6" borderId="4" xfId="0" applyFill="1" applyBorder="1" applyProtection="1">
      <protection locked="0"/>
    </xf>
    <xf numFmtId="0" fontId="0" fillId="6" borderId="0" xfId="0" applyFill="1" applyProtection="1">
      <protection locked="0"/>
    </xf>
    <xf numFmtId="0" fontId="0" fillId="6" borderId="5" xfId="0" applyFill="1" applyBorder="1" applyProtection="1">
      <protection locked="0"/>
    </xf>
    <xf numFmtId="0" fontId="0" fillId="4" borderId="19" xfId="0" applyFill="1" applyBorder="1" applyProtection="1">
      <protection locked="0"/>
    </xf>
    <xf numFmtId="2" fontId="6" fillId="4" borderId="0" xfId="0" applyNumberFormat="1" applyFont="1" applyFill="1"/>
    <xf numFmtId="2" fontId="6" fillId="4" borderId="7" xfId="0" applyNumberFormat="1" applyFont="1" applyFill="1" applyBorder="1"/>
    <xf numFmtId="0" fontId="1" fillId="4" borderId="7" xfId="0" applyFont="1" applyFill="1" applyBorder="1" applyProtection="1">
      <protection hidden="1"/>
    </xf>
    <xf numFmtId="11" fontId="0" fillId="6" borderId="6" xfId="0" applyNumberFormat="1" applyFill="1" applyBorder="1" applyProtection="1">
      <protection locked="0"/>
    </xf>
    <xf numFmtId="11" fontId="0" fillId="6" borderId="7" xfId="0" applyNumberFormat="1" applyFill="1" applyBorder="1" applyProtection="1">
      <protection locked="0"/>
    </xf>
    <xf numFmtId="11" fontId="0" fillId="6" borderId="8" xfId="0" applyNumberFormat="1" applyFill="1" applyBorder="1" applyProtection="1">
      <protection locked="0"/>
    </xf>
    <xf numFmtId="11" fontId="0" fillId="6" borderId="4" xfId="0" applyNumberFormat="1" applyFill="1" applyBorder="1" applyProtection="1">
      <protection locked="0"/>
    </xf>
    <xf numFmtId="11" fontId="0" fillId="6" borderId="0" xfId="0" applyNumberFormat="1" applyFill="1" applyProtection="1">
      <protection locked="0"/>
    </xf>
    <xf numFmtId="11" fontId="0" fillId="6" borderId="5" xfId="0" applyNumberFormat="1" applyFill="1" applyBorder="1" applyProtection="1">
      <protection locked="0"/>
    </xf>
    <xf numFmtId="0" fontId="6" fillId="3" borderId="0" xfId="0" applyFont="1" applyFill="1" applyProtection="1">
      <protection hidden="1"/>
    </xf>
    <xf numFmtId="0" fontId="46" fillId="3" borderId="0" xfId="0" applyFont="1" applyFill="1" applyProtection="1">
      <protection hidden="1"/>
    </xf>
    <xf numFmtId="0" fontId="1" fillId="4" borderId="6" xfId="0" applyFont="1" applyFill="1" applyBorder="1" applyAlignment="1" applyProtection="1">
      <alignment horizontal="left"/>
      <protection hidden="1"/>
    </xf>
    <xf numFmtId="0" fontId="1" fillId="4" borderId="7" xfId="0" applyFont="1" applyFill="1" applyBorder="1" applyAlignment="1" applyProtection="1">
      <alignment horizontal="left"/>
      <protection hidden="1"/>
    </xf>
    <xf numFmtId="0" fontId="6" fillId="6" borderId="0" xfId="0" applyFont="1" applyFill="1" applyAlignment="1" applyProtection="1">
      <alignment horizontal="center"/>
      <protection locked="0"/>
    </xf>
    <xf numFmtId="0" fontId="11" fillId="7" borderId="9" xfId="0" applyFont="1" applyFill="1" applyBorder="1" applyAlignment="1" applyProtection="1">
      <alignment horizontal="left" vertical="center"/>
      <protection hidden="1"/>
    </xf>
    <xf numFmtId="0" fontId="11" fillId="7" borderId="10" xfId="0" applyFont="1" applyFill="1" applyBorder="1" applyAlignment="1" applyProtection="1">
      <alignment horizontal="left" vertical="center"/>
      <protection hidden="1"/>
    </xf>
    <xf numFmtId="0" fontId="1" fillId="4" borderId="6" xfId="0" applyFont="1" applyFill="1" applyBorder="1" applyAlignment="1" applyProtection="1">
      <alignment horizontal="center"/>
      <protection hidden="1"/>
    </xf>
    <xf numFmtId="0" fontId="1" fillId="4" borderId="7" xfId="0" applyFont="1" applyFill="1" applyBorder="1" applyAlignment="1" applyProtection="1">
      <alignment horizontal="center"/>
      <protection hidden="1"/>
    </xf>
    <xf numFmtId="0" fontId="1" fillId="4" borderId="0" xfId="0" applyFont="1" applyFill="1" applyAlignment="1" applyProtection="1">
      <alignment horizontal="center"/>
      <protection hidden="1"/>
    </xf>
    <xf numFmtId="0" fontId="42" fillId="2" borderId="0" xfId="0" applyFont="1" applyFill="1" applyAlignment="1" applyProtection="1">
      <alignment horizontal="center"/>
      <protection hidden="1"/>
    </xf>
    <xf numFmtId="0" fontId="0" fillId="6" borderId="7" xfId="0" applyFill="1" applyBorder="1" applyAlignment="1" applyProtection="1">
      <alignment horizontal="center"/>
      <protection locked="0"/>
    </xf>
    <xf numFmtId="0" fontId="40" fillId="2" borderId="0" xfId="0" applyFont="1" applyFill="1" applyAlignment="1" applyProtection="1">
      <alignment horizontal="center" vertical="center"/>
      <protection hidden="1"/>
    </xf>
    <xf numFmtId="0" fontId="41" fillId="2" borderId="0" xfId="0" applyFont="1" applyFill="1" applyAlignment="1" applyProtection="1">
      <alignment horizontal="center" vertical="center"/>
      <protection hidden="1"/>
    </xf>
    <xf numFmtId="0" fontId="39" fillId="2" borderId="0" xfId="0" applyFont="1" applyFill="1" applyAlignment="1" applyProtection="1">
      <alignment horizontal="center" vertical="center"/>
      <protection hidden="1"/>
    </xf>
    <xf numFmtId="0" fontId="38" fillId="2" borderId="0" xfId="0" applyFont="1" applyFill="1" applyAlignment="1" applyProtection="1">
      <alignment horizontal="center" vertical="center"/>
      <protection hidden="1"/>
    </xf>
    <xf numFmtId="0" fontId="1" fillId="4" borderId="4" xfId="0" applyFont="1" applyFill="1" applyBorder="1" applyAlignment="1" applyProtection="1">
      <alignment horizontal="center"/>
      <protection hidden="1"/>
    </xf>
    <xf numFmtId="0" fontId="6" fillId="6" borderId="2" xfId="0" applyFont="1" applyFill="1" applyBorder="1" applyAlignment="1" applyProtection="1">
      <alignment horizontal="center"/>
      <protection locked="0"/>
    </xf>
    <xf numFmtId="0" fontId="11" fillId="7" borderId="9" xfId="0" applyFont="1" applyFill="1" applyBorder="1" applyAlignment="1">
      <alignment horizontal="center" vertical="center"/>
    </xf>
    <xf numFmtId="0" fontId="11" fillId="7" borderId="10" xfId="0" applyFont="1" applyFill="1" applyBorder="1" applyAlignment="1">
      <alignment horizontal="center" vertical="center"/>
    </xf>
    <xf numFmtId="0" fontId="40" fillId="2" borderId="0" xfId="0" applyFont="1" applyFill="1" applyAlignment="1" applyProtection="1">
      <alignment horizontal="center"/>
      <protection hidden="1"/>
    </xf>
    <xf numFmtId="0" fontId="0" fillId="2" borderId="0" xfId="0" applyFill="1" applyAlignment="1" applyProtection="1">
      <alignment horizontal="center"/>
      <protection hidden="1"/>
    </xf>
    <xf numFmtId="0" fontId="1" fillId="4" borderId="9" xfId="0" applyFont="1" applyFill="1" applyBorder="1" applyAlignment="1" applyProtection="1">
      <alignment horizontal="left"/>
      <protection hidden="1"/>
    </xf>
    <xf numFmtId="0" fontId="1" fillId="4" borderId="10" xfId="0" applyFont="1" applyFill="1" applyBorder="1" applyAlignment="1" applyProtection="1">
      <alignment horizontal="left"/>
      <protection hidden="1"/>
    </xf>
    <xf numFmtId="0" fontId="1" fillId="4" borderId="4" xfId="0" applyFont="1" applyFill="1" applyBorder="1" applyAlignment="1" applyProtection="1">
      <alignment horizontal="left"/>
      <protection hidden="1"/>
    </xf>
    <xf numFmtId="0" fontId="1" fillId="4" borderId="0" xfId="0" applyFont="1" applyFill="1" applyAlignment="1" applyProtection="1">
      <alignment horizontal="left"/>
      <protection hidden="1"/>
    </xf>
    <xf numFmtId="0" fontId="26" fillId="0" borderId="12" xfId="0" applyFont="1" applyBorder="1" applyAlignment="1" applyProtection="1">
      <alignment horizontal="center"/>
      <protection hidden="1"/>
    </xf>
    <xf numFmtId="0" fontId="26" fillId="0" borderId="13" xfId="0" applyFont="1" applyBorder="1" applyAlignment="1" applyProtection="1">
      <alignment horizontal="center"/>
      <protection hidden="1"/>
    </xf>
  </cellXfs>
  <cellStyles count="4">
    <cellStyle name="Good" xfId="3" builtinId="26"/>
    <cellStyle name="Normal" xfId="0" builtinId="0"/>
    <cellStyle name="Normal 2" xfId="2" xr:uid="{577464DF-B62F-43AC-BCC9-E6A006E87294}"/>
    <cellStyle name="Percent" xfId="1" builtinId="5"/>
  </cellStyles>
  <dxfs count="272">
    <dxf>
      <font>
        <color theme="1" tint="0.14996795556505021"/>
      </font>
      <fill>
        <patternFill>
          <bgColor theme="1" tint="0.14996795556505021"/>
        </patternFill>
      </fill>
      <border>
        <left/>
        <right/>
        <top/>
        <bottom/>
      </border>
    </dxf>
    <dxf>
      <font>
        <color theme="1" tint="0.14996795556505021"/>
      </font>
      <fill>
        <patternFill>
          <bgColor theme="1" tint="0.14996795556505021"/>
        </patternFill>
      </fill>
      <border>
        <left/>
        <right/>
        <top/>
        <bottom/>
      </border>
    </dxf>
    <dxf>
      <font>
        <color theme="0" tint="-0.34998626667073579"/>
      </font>
    </dxf>
    <dxf>
      <font>
        <color theme="0" tint="-0.34998626667073579"/>
      </font>
    </dxf>
    <dxf>
      <font>
        <color theme="0"/>
      </font>
      <fill>
        <patternFill>
          <fgColor theme="0"/>
        </patternFill>
      </fill>
    </dxf>
    <dxf>
      <font>
        <color theme="1" tint="0.14996795556505021"/>
      </font>
      <fill>
        <patternFill>
          <bgColor theme="1" tint="0.14996795556505021"/>
        </patternFill>
      </fill>
      <border>
        <left/>
        <right/>
        <top/>
        <bottom/>
      </border>
    </dxf>
    <dxf>
      <font>
        <color theme="0" tint="-0.34998626667073579"/>
      </font>
    </dxf>
    <dxf>
      <border>
        <left/>
        <right/>
        <top/>
        <bottom/>
        <vertical/>
        <horizontal/>
      </border>
    </dxf>
    <dxf>
      <font>
        <color theme="1" tint="0.14996795556505021"/>
      </font>
      <fill>
        <patternFill>
          <bgColor theme="1" tint="0.14996795556505021"/>
        </patternFill>
      </fill>
      <border>
        <left/>
        <right/>
        <top/>
        <bottom/>
      </border>
    </dxf>
    <dxf>
      <font>
        <color theme="0" tint="-0.34998626667073579"/>
      </font>
    </dxf>
    <dxf>
      <fill>
        <patternFill>
          <bgColor rgb="FFFFFF00"/>
        </patternFill>
      </fill>
    </dxf>
    <dxf>
      <font>
        <color theme="0"/>
      </font>
      <fill>
        <patternFill>
          <fgColor theme="0"/>
          <bgColor theme="0"/>
        </patternFill>
      </fill>
      <border>
        <left/>
        <right/>
        <top/>
        <bottom/>
        <vertical/>
        <horizontal/>
      </border>
    </dxf>
    <dxf>
      <font>
        <color theme="0" tint="-0.34998626667073579"/>
      </font>
    </dxf>
    <dxf>
      <font>
        <color theme="0"/>
      </font>
      <fill>
        <patternFill>
          <fgColor theme="0"/>
        </patternFill>
      </fill>
    </dxf>
    <dxf>
      <font>
        <color theme="0"/>
      </font>
      <fill>
        <patternFill>
          <fgColor theme="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b/>
        <i val="0"/>
        <condense val="0"/>
        <extend val="0"/>
        <color indexed="10"/>
      </font>
    </dxf>
    <dxf>
      <border>
        <vertical/>
        <horizontal/>
      </border>
    </dxf>
    <dxf>
      <fill>
        <patternFill>
          <bgColor rgb="FFFFFF00"/>
        </patternFill>
      </fill>
    </dxf>
    <dxf>
      <alignment horizontal="center" vertical="bottom" textRotation="0" wrapText="0" indent="0" justifyLastLine="0" shrinkToFit="0" readingOrder="0"/>
      <protection locked="1" hidden="1"/>
    </dxf>
    <dxf>
      <alignment horizontal="center" vertical="bottom" textRotation="0" wrapText="0" indent="0" justifyLastLine="0" shrinkToFit="0" readingOrder="0"/>
      <protection locked="1" hidden="1"/>
    </dxf>
    <dxf>
      <alignment horizontal="center" vertical="bottom" textRotation="0" wrapText="0" indent="0" justifyLastLine="0" shrinkToFit="0" readingOrder="0"/>
      <protection locked="1" hidden="1"/>
    </dxf>
    <dxf>
      <numFmt numFmtId="165" formatCode="#,##0.000"/>
      <protection locked="1" hidden="1"/>
    </dxf>
    <dxf>
      <border outline="0">
        <top style="thin">
          <color indexed="64"/>
        </top>
      </border>
    </dxf>
    <dxf>
      <numFmt numFmtId="165" formatCode="#,##0.000"/>
      <protection locked="1" hidden="1"/>
    </dxf>
    <dxf>
      <numFmt numFmtId="165" formatCode="#,##0.000"/>
      <protection locked="1" hidden="1"/>
    </dxf>
    <dxf>
      <font>
        <b val="0"/>
        <i val="0"/>
        <strike val="0"/>
        <condense val="0"/>
        <extend val="0"/>
        <outline val="0"/>
        <shadow val="0"/>
        <u val="none"/>
        <vertAlign val="baseline"/>
        <sz val="11"/>
        <color theme="1"/>
        <name val="Calibri"/>
        <scheme val="minor"/>
      </font>
      <numFmt numFmtId="165" formatCode="#,##0.000"/>
      <fill>
        <patternFill patternType="solid">
          <fgColor theme="4" tint="0.79998168889431442"/>
          <bgColor theme="4" tint="0.79998168889431442"/>
        </patternFill>
      </fill>
      <border diagonalUp="0" diagonalDown="0">
        <left style="thin">
          <color theme="4" tint="0.39997558519241921"/>
        </left>
        <right style="thin">
          <color theme="4" tint="0.39997558519241921"/>
        </right>
        <top style="thin">
          <color theme="4" tint="0.39997558519241921"/>
        </top>
        <bottom style="thin">
          <color theme="4" tint="0.39997558519241921"/>
        </bottom>
        <vertical/>
        <horizontal/>
      </border>
      <protection locked="1" hidden="1"/>
    </dxf>
    <dxf>
      <border outline="0">
        <top style="thin">
          <color indexed="64"/>
        </top>
        <bottom style="thin">
          <color theme="4" tint="0.39997558519241921"/>
        </bottom>
      </border>
    </dxf>
    <dxf>
      <font>
        <b val="0"/>
        <i val="0"/>
        <strike val="0"/>
        <condense val="0"/>
        <extend val="0"/>
        <outline val="0"/>
        <shadow val="0"/>
        <u val="none"/>
        <vertAlign val="baseline"/>
        <sz val="11"/>
        <color theme="1"/>
        <name val="Calibri"/>
        <scheme val="minor"/>
      </font>
      <numFmt numFmtId="165" formatCode="#,##0.000"/>
      <fill>
        <patternFill patternType="solid">
          <fgColor theme="4" tint="0.79998168889431442"/>
          <bgColor theme="4" tint="0.79998168889431442"/>
        </patternFill>
      </fill>
      <protection locked="1" hidden="1"/>
    </dxf>
    <dxf>
      <numFmt numFmtId="165" formatCode="#,##0.000"/>
      <protection locked="1" hidden="1"/>
    </dxf>
    <dxf>
      <numFmt numFmtId="165" formatCode="#,##0.000"/>
      <protection locked="1" hidden="1"/>
    </dxf>
    <dxf>
      <border outline="0">
        <top style="thin">
          <color indexed="64"/>
        </top>
      </border>
    </dxf>
    <dxf>
      <numFmt numFmtId="165" formatCode="#,##0.000"/>
      <protection locked="1" hidden="1"/>
    </dxf>
    <dxf>
      <protection locked="1" hidden="1"/>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0"/>
        <name val="Calibri"/>
        <family val="2"/>
        <scheme val="minor"/>
      </font>
      <fill>
        <patternFill patternType="solid">
          <fgColor theme="5"/>
          <bgColor theme="5"/>
        </patternFill>
      </fill>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numFmt numFmtId="0" formatCode="General"/>
    </dxf>
    <dxf>
      <font>
        <b/>
        <i val="0"/>
        <strike val="0"/>
        <condense val="0"/>
        <extend val="0"/>
        <outline val="0"/>
        <shadow val="0"/>
        <u val="none"/>
        <vertAlign val="baseline"/>
        <sz val="11"/>
        <color theme="0"/>
        <name val="Calibri"/>
        <family val="2"/>
        <scheme val="minor"/>
      </font>
      <fill>
        <patternFill patternType="solid">
          <fgColor theme="5"/>
          <bgColor theme="5"/>
        </patternFill>
      </fill>
    </dxf>
    <dxf>
      <fill>
        <patternFill patternType="none">
          <fgColor indexed="64"/>
          <bgColor auto="1"/>
        </patternFill>
      </fill>
      <protection locked="1" hidden="1"/>
    </dxf>
    <dxf>
      <fill>
        <patternFill patternType="none">
          <fgColor indexed="64"/>
          <bgColor auto="1"/>
        </patternFill>
      </fill>
      <protection locked="1" hidden="1"/>
    </dxf>
    <dxf>
      <fill>
        <patternFill patternType="none">
          <fgColor indexed="64"/>
          <bgColor auto="1"/>
        </patternFill>
      </fill>
      <protection locked="1" hidden="1"/>
    </dxf>
    <dxf>
      <fill>
        <patternFill patternType="none">
          <fgColor indexed="64"/>
          <bgColor auto="1"/>
        </patternFill>
      </fill>
      <protection locked="1" hidden="1"/>
    </dxf>
    <dxf>
      <fill>
        <patternFill patternType="none">
          <fgColor indexed="64"/>
          <bgColor auto="1"/>
        </patternFill>
      </fill>
      <protection locked="1" hidden="1"/>
    </dxf>
    <dxf>
      <fill>
        <patternFill patternType="none">
          <fgColor indexed="64"/>
          <bgColor auto="1"/>
        </patternFill>
      </fill>
      <protection locked="1" hidden="1"/>
    </dxf>
    <dxf>
      <numFmt numFmtId="0" formatCode="General"/>
      <fill>
        <patternFill patternType="none">
          <fgColor indexed="64"/>
          <bgColor auto="1"/>
        </patternFill>
      </fill>
      <protection locked="1" hidden="1"/>
    </dxf>
    <dxf>
      <fill>
        <patternFill patternType="none">
          <fgColor indexed="64"/>
          <bgColor auto="1"/>
        </patternFill>
      </fill>
      <protection locked="1" hidden="1"/>
    </dxf>
    <dxf>
      <fill>
        <patternFill patternType="none">
          <fgColor indexed="64"/>
          <bgColor auto="1"/>
        </patternFill>
      </fill>
      <protection locked="1" hidden="1"/>
    </dxf>
    <dxf>
      <fill>
        <patternFill patternType="none">
          <fgColor indexed="64"/>
          <bgColor auto="1"/>
        </patternFill>
      </fill>
      <protection locked="1" hidden="1"/>
    </dxf>
    <dxf>
      <fill>
        <patternFill patternType="none">
          <fgColor indexed="64"/>
          <bgColor auto="1"/>
        </patternFill>
      </fill>
      <protection locked="1" hidden="1"/>
    </dxf>
    <dxf>
      <fill>
        <patternFill patternType="none">
          <fgColor indexed="64"/>
          <bgColor auto="1"/>
        </patternFill>
      </fill>
      <protection locked="1" hidden="1"/>
    </dxf>
    <dxf>
      <fill>
        <patternFill patternType="none">
          <fgColor indexed="64"/>
          <bgColor auto="1"/>
        </patternFill>
      </fill>
      <protection locked="1" hidden="1"/>
    </dxf>
    <dxf>
      <numFmt numFmtId="0" formatCode="General"/>
      <fill>
        <patternFill patternType="none">
          <fgColor indexed="64"/>
          <bgColor auto="1"/>
        </patternFill>
      </fill>
      <protection locked="1" hidden="1"/>
    </dxf>
    <dxf>
      <fill>
        <patternFill patternType="none">
          <fgColor indexed="64"/>
          <bgColor auto="1"/>
        </patternFill>
      </fill>
      <protection locked="1" hidden="1"/>
    </dxf>
    <dxf>
      <fill>
        <patternFill patternType="none">
          <fgColor indexed="64"/>
          <bgColor auto="1"/>
        </patternFill>
      </fill>
      <protection locked="1" hidden="1"/>
    </dxf>
    <dxf>
      <fill>
        <patternFill patternType="none">
          <fgColor indexed="64"/>
          <bgColor auto="1"/>
        </patternFill>
      </fill>
      <protection locked="1" hidden="1"/>
    </dxf>
    <dxf>
      <fill>
        <patternFill patternType="none">
          <fgColor indexed="64"/>
          <bgColor auto="1"/>
        </patternFill>
      </fill>
      <protection locked="1" hidden="1"/>
    </dxf>
    <dxf>
      <fill>
        <patternFill patternType="none">
          <fgColor indexed="64"/>
          <bgColor auto="1"/>
        </patternFill>
      </fill>
      <protection locked="1" hidden="1"/>
    </dxf>
    <dxf>
      <fill>
        <patternFill patternType="none">
          <fgColor indexed="64"/>
          <bgColor auto="1"/>
        </patternFill>
      </fill>
      <protection locked="1" hidden="1"/>
    </dxf>
    <dxf>
      <numFmt numFmtId="0" formatCode="General"/>
      <fill>
        <patternFill patternType="none">
          <fgColor indexed="64"/>
          <bgColor auto="1"/>
        </patternFill>
      </fill>
      <protection locked="1" hidden="1"/>
    </dxf>
    <dxf>
      <fill>
        <patternFill patternType="none">
          <fgColor indexed="64"/>
          <bgColor auto="1"/>
        </patternFill>
      </fill>
      <protection locked="1" hidden="1"/>
    </dxf>
    <dxf>
      <fill>
        <patternFill patternType="none">
          <fgColor indexed="64"/>
          <bgColor auto="1"/>
        </patternFill>
      </fill>
      <protection locked="1" hidden="1"/>
    </dxf>
    <dxf>
      <numFmt numFmtId="0" formatCode="General"/>
      <fill>
        <patternFill patternType="none">
          <fgColor indexed="64"/>
          <bgColor auto="1"/>
        </patternFill>
      </fill>
      <alignment horizontal="center" vertical="bottom" textRotation="0" wrapText="0" indent="0" justifyLastLine="0" shrinkToFit="0" readingOrder="0"/>
      <protection locked="1" hidden="1"/>
    </dxf>
    <dxf>
      <numFmt numFmtId="0" formatCode="General"/>
      <fill>
        <patternFill patternType="none">
          <fgColor indexed="64"/>
          <bgColor auto="1"/>
        </patternFill>
      </fill>
      <protection locked="1" hidden="1"/>
    </dxf>
    <dxf>
      <numFmt numFmtId="0" formatCode="General"/>
      <fill>
        <patternFill patternType="none">
          <fgColor indexed="64"/>
          <bgColor auto="1"/>
        </patternFill>
      </fill>
      <protection locked="1" hidden="1"/>
    </dxf>
    <dxf>
      <numFmt numFmtId="0" formatCode="General"/>
      <fill>
        <patternFill patternType="none">
          <fgColor indexed="64"/>
          <bgColor auto="1"/>
        </patternFill>
      </fill>
      <protection locked="1" hidden="1"/>
    </dxf>
    <dxf>
      <numFmt numFmtId="0" formatCode="General"/>
      <fill>
        <patternFill patternType="none">
          <fgColor indexed="64"/>
          <bgColor auto="1"/>
        </patternFill>
      </fill>
      <protection locked="1" hidden="1"/>
    </dxf>
    <dxf>
      <numFmt numFmtId="0" formatCode="General"/>
      <fill>
        <patternFill patternType="none">
          <fgColor indexed="64"/>
          <bgColor auto="1"/>
        </patternFill>
      </fill>
      <protection locked="1" hidden="1"/>
    </dxf>
    <dxf>
      <numFmt numFmtId="0" formatCode="General"/>
      <fill>
        <patternFill patternType="none">
          <fgColor indexed="64"/>
          <bgColor auto="1"/>
        </patternFill>
      </fill>
      <protection locked="1" hidden="1"/>
    </dxf>
    <dxf>
      <numFmt numFmtId="0" formatCode="General"/>
      <fill>
        <patternFill patternType="none">
          <fgColor indexed="64"/>
          <bgColor auto="1"/>
        </patternFill>
      </fill>
      <protection locked="1" hidden="1"/>
    </dxf>
    <dxf>
      <numFmt numFmtId="0" formatCode="General"/>
      <fill>
        <patternFill patternType="none">
          <fgColor indexed="64"/>
          <bgColor auto="1"/>
        </patternFill>
      </fill>
      <protection locked="1" hidden="1"/>
    </dxf>
    <dxf>
      <numFmt numFmtId="0" formatCode="General"/>
      <fill>
        <patternFill patternType="none">
          <fgColor indexed="64"/>
          <bgColor auto="1"/>
        </patternFill>
      </fill>
      <protection locked="1" hidden="1"/>
    </dxf>
    <dxf>
      <numFmt numFmtId="0" formatCode="General"/>
      <fill>
        <patternFill patternType="none">
          <fgColor indexed="64"/>
          <bgColor auto="1"/>
        </patternFill>
      </fill>
      <protection locked="1" hidden="1"/>
    </dxf>
    <dxf>
      <numFmt numFmtId="0" formatCode="General"/>
      <fill>
        <patternFill patternType="none">
          <fgColor indexed="64"/>
          <bgColor auto="1"/>
        </patternFill>
      </fill>
      <protection locked="1" hidden="1"/>
    </dxf>
    <dxf>
      <numFmt numFmtId="0" formatCode="General"/>
      <fill>
        <patternFill patternType="none">
          <fgColor indexed="64"/>
          <bgColor auto="1"/>
        </patternFill>
      </fill>
      <protection locked="1" hidden="1"/>
    </dxf>
    <dxf>
      <fill>
        <patternFill patternType="none">
          <fgColor indexed="64"/>
          <bgColor auto="1"/>
        </patternFill>
      </fill>
      <protection locked="1" hidden="1"/>
    </dxf>
    <dxf>
      <fill>
        <patternFill patternType="none">
          <fgColor indexed="64"/>
          <bgColor auto="1"/>
        </patternFill>
      </fill>
      <protection locked="1" hidden="1"/>
    </dxf>
    <dxf>
      <font>
        <b/>
        <i val="0"/>
        <strike val="0"/>
        <condense val="0"/>
        <extend val="0"/>
        <outline val="0"/>
        <shadow val="0"/>
        <u val="none"/>
        <vertAlign val="baseline"/>
        <sz val="10"/>
        <color auto="1"/>
        <name val="Arial"/>
        <family val="2"/>
        <scheme val="none"/>
      </font>
      <fill>
        <patternFill patternType="solid">
          <fgColor indexed="64"/>
          <bgColor theme="0"/>
        </patternFill>
      </fill>
      <border diagonalUp="0" diagonalDown="0">
        <left/>
        <right style="medium">
          <color indexed="64"/>
        </right>
        <top/>
        <bottom/>
        <vertical/>
        <horizontal/>
      </border>
      <protection locked="1" hidden="1"/>
    </dxf>
    <dxf>
      <font>
        <b/>
        <i val="0"/>
        <strike val="0"/>
        <condense val="0"/>
        <extend val="0"/>
        <outline val="0"/>
        <shadow val="0"/>
        <u val="none"/>
        <vertAlign val="baseline"/>
        <sz val="10"/>
        <color auto="1"/>
        <name val="Arial"/>
        <family val="2"/>
        <scheme val="none"/>
      </font>
      <fill>
        <patternFill patternType="solid">
          <fgColor indexed="64"/>
          <bgColor rgb="FFFFFF00"/>
        </patternFill>
      </fill>
      <protection locked="1" hidden="1"/>
    </dxf>
    <dxf>
      <font>
        <b/>
        <i val="0"/>
        <strike val="0"/>
        <condense val="0"/>
        <extend val="0"/>
        <outline val="0"/>
        <shadow val="0"/>
        <u val="none"/>
        <vertAlign val="baseline"/>
        <sz val="10"/>
        <color auto="1"/>
        <name val="Arial"/>
        <family val="2"/>
        <scheme val="none"/>
      </font>
      <fill>
        <patternFill patternType="solid">
          <fgColor indexed="64"/>
          <bgColor rgb="FFFFFF00"/>
        </patternFill>
      </fill>
      <protection locked="1" hidden="1"/>
    </dxf>
    <dxf>
      <font>
        <b/>
        <i val="0"/>
        <strike val="0"/>
        <condense val="0"/>
        <extend val="0"/>
        <outline val="0"/>
        <shadow val="0"/>
        <u val="none"/>
        <vertAlign val="baseline"/>
        <sz val="10"/>
        <color auto="1"/>
        <name val="Arial"/>
        <family val="2"/>
        <scheme val="none"/>
      </font>
      <fill>
        <patternFill patternType="solid">
          <fgColor indexed="64"/>
          <bgColor rgb="FFFFFF00"/>
        </patternFill>
      </fill>
      <protection locked="1" hidden="1"/>
    </dxf>
    <dxf>
      <font>
        <b/>
        <i val="0"/>
        <strike val="0"/>
        <condense val="0"/>
        <extend val="0"/>
        <outline val="0"/>
        <shadow val="0"/>
        <u val="none"/>
        <vertAlign val="baseline"/>
        <sz val="10"/>
        <color auto="1"/>
        <name val="Arial"/>
        <family val="2"/>
        <scheme val="none"/>
      </font>
      <fill>
        <patternFill patternType="solid">
          <fgColor indexed="64"/>
          <bgColor rgb="FFFFFF00"/>
        </patternFill>
      </fill>
      <protection locked="1" hidden="1"/>
    </dxf>
    <dxf>
      <font>
        <b/>
        <i val="0"/>
        <strike val="0"/>
        <condense val="0"/>
        <extend val="0"/>
        <outline val="0"/>
        <shadow val="0"/>
        <u val="none"/>
        <vertAlign val="baseline"/>
        <sz val="10"/>
        <color auto="1"/>
        <name val="Arial"/>
        <family val="2"/>
        <scheme val="none"/>
      </font>
      <fill>
        <patternFill patternType="solid">
          <fgColor indexed="64"/>
          <bgColor rgb="FFFFFF00"/>
        </patternFill>
      </fill>
      <protection locked="1" hidden="1"/>
    </dxf>
    <dxf>
      <font>
        <b/>
        <i val="0"/>
        <strike val="0"/>
        <condense val="0"/>
        <extend val="0"/>
        <outline val="0"/>
        <shadow val="0"/>
        <u val="none"/>
        <vertAlign val="baseline"/>
        <sz val="10"/>
        <color theme="1"/>
        <name val="Arial"/>
        <family val="2"/>
        <scheme val="none"/>
      </font>
      <fill>
        <patternFill patternType="solid">
          <fgColor indexed="64"/>
          <bgColor theme="0"/>
        </patternFill>
      </fill>
      <alignment horizontal="right" vertical="bottom" textRotation="0" wrapText="0" indent="0" justifyLastLine="0" shrinkToFit="0" readingOrder="0"/>
      <protection locked="1" hidden="1"/>
    </dxf>
    <dxf>
      <border outline="0">
        <bottom style="medium">
          <color indexed="64"/>
        </bottom>
      </border>
    </dxf>
    <dxf>
      <protection locked="1" hidden="1"/>
    </dxf>
    <dxf>
      <protection locked="1" hidden="1"/>
    </dxf>
    <dxf>
      <fill>
        <patternFill patternType="none">
          <fgColor indexed="64"/>
          <bgColor indexed="65"/>
        </patternFill>
      </fill>
    </dxf>
    <dxf>
      <numFmt numFmtId="2" formatCode="0.00"/>
      <fill>
        <patternFill patternType="none">
          <fgColor indexed="64"/>
          <bgColor auto="1"/>
        </patternFill>
      </fill>
      <alignment horizontal="right" textRotation="0" wrapText="0" indent="0" justifyLastLine="0" shrinkToFit="0" readingOrder="0"/>
      <protection locked="1" hidden="1"/>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protection locked="1" hidden="1"/>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protection locked="1" hidden="1"/>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protection locked="1" hidden="1"/>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solid">
          <fgColor indexed="64"/>
          <bgColor rgb="FFFF0000"/>
        </patternFill>
      </fill>
      <alignment horizontal="right" vertical="bottom" textRotation="0" wrapText="0" indent="0" justifyLastLine="0" shrinkToFit="0" readingOrder="0"/>
      <protection locked="1" hidden="1"/>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protection locked="1" hidden="1"/>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protection locked="1" hidden="1"/>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protection locked="1" hidden="1"/>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solid">
          <fgColor indexed="64"/>
          <bgColor rgb="FFFF0000"/>
        </patternFill>
      </fill>
      <alignment horizontal="right" vertical="bottom" textRotation="0" wrapText="0" indent="0" justifyLastLine="0" shrinkToFit="0" readingOrder="0"/>
      <protection locked="1" hidden="1"/>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vertical="bottom" textRotation="0" wrapText="0" indent="0" justifyLastLine="0" shrinkToFit="0" readingOrder="0"/>
      <protection locked="1" hidden="1"/>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protection locked="1" hidden="1"/>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solid">
          <fgColor indexed="64"/>
          <bgColor rgb="FFFF0000"/>
        </patternFill>
      </fill>
      <alignment horizontal="right" vertical="bottom" textRotation="0" wrapText="0" indent="0" justifyLastLine="0" shrinkToFit="0" readingOrder="0"/>
      <protection locked="1" hidden="1"/>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auto="1"/>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vertical="bottom" textRotation="0" wrapText="0" indent="0" justifyLastLine="0" shrinkToFit="0" readingOrder="0"/>
      <protection locked="1" hidden="1"/>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solid">
          <fgColor indexed="64"/>
          <bgColor rgb="FFFF0000"/>
        </patternFill>
      </fill>
      <alignment horizontal="right" vertical="bottom" textRotation="0" wrapText="0" indent="0" justifyLastLine="0" shrinkToFit="0" readingOrder="0"/>
      <protection locked="1" hidden="1"/>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protection locked="1" hidden="1"/>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protection locked="1" hidden="1"/>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protection locked="1" hidden="1"/>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protection locked="1" hidden="1"/>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solid">
          <fgColor indexed="64"/>
          <bgColor rgb="FFFF0000"/>
        </patternFill>
      </fill>
      <alignment horizontal="right" vertical="bottom" textRotation="0" wrapText="0" indent="0" justifyLastLine="0" shrinkToFit="0" readingOrder="0"/>
      <protection locked="1" hidden="1"/>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auto="1"/>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vertical="bottom"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solid">
          <fgColor indexed="64"/>
          <bgColor rgb="FFFF0000"/>
        </patternFill>
      </fill>
      <alignment horizontal="right" vertical="bottom" textRotation="0" wrapText="0" indent="0" justifyLastLine="0" shrinkToFit="0" readingOrder="0"/>
      <protection locked="1" hidden="1"/>
    </dxf>
    <dxf>
      <numFmt numFmtId="0" formatCode="General"/>
      <fill>
        <patternFill patternType="none">
          <fgColor indexed="64"/>
          <bgColor auto="1"/>
        </patternFill>
      </fill>
      <alignment horizontal="right" textRotation="0" wrapText="0" indent="0" justifyLastLine="0" shrinkToFit="0" readingOrder="0"/>
      <protection locked="1" hidden="1"/>
    </dxf>
    <dxf>
      <numFmt numFmtId="0" formatCode="General"/>
      <fill>
        <patternFill patternType="none">
          <fgColor indexed="64"/>
          <bgColor indexed="65"/>
        </patternFill>
      </fill>
      <alignment horizontal="right" vertical="bottom" textRotation="0" wrapText="0" indent="0" justifyLastLine="0" shrinkToFit="0" readingOrder="0"/>
      <protection locked="1" hidden="1"/>
    </dxf>
    <dxf>
      <numFmt numFmtId="0" formatCode="General"/>
      <fill>
        <patternFill patternType="none">
          <fgColor indexed="64"/>
          <bgColor auto="1"/>
        </patternFill>
      </fill>
      <alignment horizontal="right" textRotation="0" wrapText="0" indent="0" justifyLastLine="0" shrinkToFit="0" readingOrder="0"/>
      <protection locked="1" hidden="1"/>
    </dxf>
    <dxf>
      <font>
        <strike val="0"/>
        <outline val="0"/>
        <shadow val="0"/>
        <u val="none"/>
        <vertAlign val="baseline"/>
        <sz val="11"/>
        <color rgb="FFFF0000"/>
        <name val="Calibri"/>
        <family val="2"/>
        <scheme val="minor"/>
      </font>
      <numFmt numFmtId="2" formatCode="0.00"/>
      <fill>
        <patternFill patternType="solid">
          <fgColor indexed="64"/>
          <bgColor rgb="FFFF0000"/>
        </patternFill>
      </fill>
      <alignment horizontal="right" textRotation="0" wrapText="0" indent="0" justifyLastLine="0" shrinkToFit="0" readingOrder="0"/>
      <protection locked="1" hidden="1"/>
    </dxf>
    <dxf>
      <numFmt numFmtId="2" formatCode="0.00"/>
      <fill>
        <patternFill patternType="none">
          <fgColor indexed="64"/>
          <bgColor indexed="65"/>
        </patternFill>
      </fill>
      <alignment horizontal="right" vertical="bottom" textRotation="0" wrapText="0" indent="0" justifyLastLine="0" shrinkToFit="0" readingOrder="0"/>
      <protection locked="1" hidden="1"/>
    </dxf>
    <dxf>
      <numFmt numFmtId="2" formatCode="0.00"/>
      <fill>
        <patternFill patternType="none">
          <fgColor indexed="64"/>
          <bgColor indexed="65"/>
        </patternFill>
      </fill>
      <alignment horizontal="right" textRotation="0" wrapText="0" indent="0" justifyLastLine="0" shrinkToFit="0" readingOrder="0"/>
      <protection locked="1" hidden="1"/>
    </dxf>
    <dxf>
      <numFmt numFmtId="2" formatCode="0.00"/>
      <fill>
        <patternFill patternType="none">
          <fgColor indexed="64"/>
          <bgColor indexed="65"/>
        </patternFill>
      </fill>
      <alignment horizontal="right" textRotation="0" wrapText="0" indent="0" justifyLastLine="0" shrinkToFit="0" readingOrder="0"/>
      <protection locked="1" hidden="1"/>
    </dxf>
    <dxf>
      <numFmt numFmtId="2" formatCode="0.00"/>
      <fill>
        <patternFill patternType="none">
          <fgColor indexed="64"/>
          <bgColor indexed="65"/>
        </patternFill>
      </fill>
      <alignment horizontal="right" textRotation="0" wrapText="0" indent="0" justifyLastLine="0" shrinkToFit="0" readingOrder="0"/>
      <protection locked="1" hidden="1"/>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solid">
          <fgColor indexed="64"/>
          <bgColor rgb="FFFF0000"/>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vertical="bottom"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border diagonalUp="0" diagonalDown="0" outline="0">
        <left style="medium">
          <color indexed="64"/>
        </left>
        <right/>
        <top/>
        <bottom/>
      </border>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solid">
          <fgColor indexed="64"/>
          <bgColor rgb="FFFF0000"/>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auto="1"/>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auto="1"/>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auto="1"/>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auto="1"/>
        </patternFill>
      </fill>
      <alignment horizontal="right" textRotation="0" wrapText="0" indent="0" justifyLastLine="0" shrinkToFit="0" readingOrder="0"/>
      <protection locked="1" hidden="1"/>
    </dxf>
    <dxf>
      <fill>
        <patternFill patternType="none">
          <fgColor indexed="64"/>
          <bgColor indexed="65"/>
        </patternFill>
      </fill>
    </dxf>
    <dxf>
      <numFmt numFmtId="0" formatCode="General"/>
      <fill>
        <patternFill patternType="none">
          <fgColor indexed="64"/>
          <bgColor auto="1"/>
        </patternFill>
      </fill>
      <alignment horizontal="right" textRotation="0" wrapText="0" indent="0" justifyLastLine="0" shrinkToFit="0" readingOrder="0"/>
      <protection locked="1" hidden="1"/>
    </dxf>
    <dxf>
      <font>
        <b val="0"/>
        <i val="0"/>
        <strike val="0"/>
        <condense val="0"/>
        <extend val="0"/>
        <outline val="0"/>
        <shadow val="0"/>
        <u val="none"/>
        <vertAlign val="baseline"/>
        <sz val="11"/>
        <color theme="1"/>
        <name val="Arial"/>
        <family val="2"/>
        <scheme val="none"/>
      </font>
      <fill>
        <patternFill patternType="none">
          <fgColor indexed="64"/>
          <bgColor indexed="65"/>
        </patternFill>
      </fill>
    </dxf>
    <dxf>
      <font>
        <b val="0"/>
        <i val="0"/>
        <strike val="0"/>
        <condense val="0"/>
        <extend val="0"/>
        <outline val="0"/>
        <shadow val="0"/>
        <u val="none"/>
        <vertAlign val="baseline"/>
        <sz val="11"/>
        <color theme="1"/>
        <name val="Arial"/>
        <family val="2"/>
        <scheme val="none"/>
      </font>
      <fill>
        <patternFill patternType="none">
          <fgColor indexed="64"/>
          <bgColor auto="1"/>
        </patternFill>
      </fill>
      <alignment horizontal="right" textRotation="0" wrapText="0" indent="0" justifyLastLine="0" shrinkToFit="0" readingOrder="0"/>
      <protection locked="1" hidden="1"/>
    </dxf>
    <dxf>
      <font>
        <b val="0"/>
        <i val="0"/>
        <strike val="0"/>
        <condense val="0"/>
        <extend val="0"/>
        <outline val="0"/>
        <shadow val="0"/>
        <u val="none"/>
        <vertAlign val="baseline"/>
        <sz val="11"/>
        <color theme="1"/>
        <name val="Arial"/>
        <family val="2"/>
        <scheme val="none"/>
      </font>
      <fill>
        <patternFill patternType="none">
          <fgColor indexed="64"/>
          <bgColor indexed="65"/>
        </patternFill>
      </fill>
    </dxf>
    <dxf>
      <font>
        <b val="0"/>
        <i val="0"/>
        <strike val="0"/>
        <condense val="0"/>
        <extend val="0"/>
        <outline val="0"/>
        <shadow val="0"/>
        <u val="none"/>
        <vertAlign val="baseline"/>
        <sz val="11"/>
        <color theme="1"/>
        <name val="Arial"/>
        <family val="2"/>
        <scheme val="none"/>
      </font>
      <fill>
        <patternFill patternType="none">
          <fgColor indexed="64"/>
          <bgColor auto="1"/>
        </patternFill>
      </fill>
      <alignment horizontal="right" textRotation="0" wrapText="0" indent="0" justifyLastLine="0" shrinkToFit="0" readingOrder="0"/>
      <protection locked="1" hidden="1"/>
    </dxf>
    <dxf>
      <protection locked="1" hidden="1"/>
    </dxf>
    <dxf>
      <fill>
        <patternFill patternType="none">
          <fgColor indexed="64"/>
          <bgColor auto="1"/>
        </patternFill>
      </fill>
      <alignment horizontal="right" textRotation="0" wrapText="0" indent="0" justifyLastLine="0" shrinkToFit="0" readingOrder="0"/>
      <protection locked="1" hidden="1"/>
    </dxf>
    <dxf>
      <fill>
        <patternFill patternType="none">
          <fgColor indexed="64"/>
          <bgColor auto="1"/>
        </patternFill>
      </fill>
      <alignment horizontal="left" vertical="center" textRotation="0" wrapText="0" indent="0" justifyLastLine="0" shrinkToFit="0" readingOrder="0"/>
      <protection locked="1" hidden="1"/>
    </dxf>
  </dxfs>
  <tableStyles count="0" defaultTableStyle="TableStyleMedium2" defaultPivotStyle="PivotStyleLight16"/>
  <colors>
    <mruColors>
      <color rgb="FF0000FF"/>
      <color rgb="FFEB6C15"/>
      <color rgb="FFC6EFCE"/>
      <color rgb="FF96E2A4"/>
      <color rgb="FFC6EF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externalLink" Target="externalLinks/externalLink1.xml"/><Relationship Id="rId9"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Efficiency vs I</a:t>
            </a:r>
            <a:r>
              <a:rPr lang="en-US" baseline="-25000"/>
              <a:t>OUT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3920704029643352E-2"/>
          <c:y val="6.878071395456653E-2"/>
          <c:w val="0.88969948966799361"/>
          <c:h val="0.74456459284731269"/>
        </c:manualLayout>
      </c:layout>
      <c:scatterChart>
        <c:scatterStyle val="smoothMarker"/>
        <c:varyColors val="0"/>
        <c:ser>
          <c:idx val="2"/>
          <c:order val="2"/>
          <c:tx>
            <c:v>Plot 1 Efficiency</c:v>
          </c:tx>
          <c:spPr>
            <a:ln w="19050" cap="rnd">
              <a:solidFill>
                <a:srgbClr val="FF0000"/>
              </a:solidFill>
              <a:round/>
            </a:ln>
            <a:effectLst/>
          </c:spPr>
          <c:marker>
            <c:symbol val="none"/>
          </c:marker>
          <c:xVal>
            <c:numRef>
              <c:f>'BQ2575X Design Calculator'!$AG$156:$AG$256</c:f>
              <c:numCache>
                <c:formatCode>General</c:formatCode>
                <c:ptCount val="101"/>
                <c:pt idx="0">
                  <c:v>0</c:v>
                </c:pt>
                <c:pt idx="1">
                  <c:v>0.36</c:v>
                </c:pt>
                <c:pt idx="2">
                  <c:v>0.72</c:v>
                </c:pt>
                <c:pt idx="3">
                  <c:v>1.08</c:v>
                </c:pt>
                <c:pt idx="4">
                  <c:v>1.44</c:v>
                </c:pt>
                <c:pt idx="5">
                  <c:v>1.8</c:v>
                </c:pt>
                <c:pt idx="6">
                  <c:v>2.16</c:v>
                </c:pt>
                <c:pt idx="7">
                  <c:v>2.52</c:v>
                </c:pt>
                <c:pt idx="8">
                  <c:v>2.88</c:v>
                </c:pt>
                <c:pt idx="9">
                  <c:v>3.24</c:v>
                </c:pt>
                <c:pt idx="10">
                  <c:v>3.6</c:v>
                </c:pt>
                <c:pt idx="11">
                  <c:v>3.96</c:v>
                </c:pt>
                <c:pt idx="12">
                  <c:v>4.32</c:v>
                </c:pt>
                <c:pt idx="13">
                  <c:v>4.68</c:v>
                </c:pt>
                <c:pt idx="14">
                  <c:v>5.04</c:v>
                </c:pt>
                <c:pt idx="15">
                  <c:v>5.4</c:v>
                </c:pt>
                <c:pt idx="16">
                  <c:v>5.76</c:v>
                </c:pt>
                <c:pt idx="17">
                  <c:v>6.12</c:v>
                </c:pt>
                <c:pt idx="18">
                  <c:v>6.48</c:v>
                </c:pt>
                <c:pt idx="19">
                  <c:v>6.84</c:v>
                </c:pt>
                <c:pt idx="20">
                  <c:v>7.2</c:v>
                </c:pt>
                <c:pt idx="21">
                  <c:v>7.56</c:v>
                </c:pt>
                <c:pt idx="22">
                  <c:v>7.92</c:v>
                </c:pt>
                <c:pt idx="23">
                  <c:v>8.2799999999999994</c:v>
                </c:pt>
                <c:pt idx="24">
                  <c:v>8.64</c:v>
                </c:pt>
                <c:pt idx="25">
                  <c:v>9</c:v>
                </c:pt>
                <c:pt idx="26">
                  <c:v>9.36</c:v>
                </c:pt>
                <c:pt idx="27">
                  <c:v>9.7200000000000006</c:v>
                </c:pt>
                <c:pt idx="28">
                  <c:v>10.08</c:v>
                </c:pt>
                <c:pt idx="29">
                  <c:v>10.44</c:v>
                </c:pt>
                <c:pt idx="30">
                  <c:v>10.8</c:v>
                </c:pt>
                <c:pt idx="31">
                  <c:v>11.16</c:v>
                </c:pt>
                <c:pt idx="32">
                  <c:v>11.52</c:v>
                </c:pt>
                <c:pt idx="33">
                  <c:v>11.88</c:v>
                </c:pt>
                <c:pt idx="34">
                  <c:v>12.24</c:v>
                </c:pt>
                <c:pt idx="35">
                  <c:v>12.6</c:v>
                </c:pt>
                <c:pt idx="36">
                  <c:v>12.96</c:v>
                </c:pt>
                <c:pt idx="37">
                  <c:v>13.32</c:v>
                </c:pt>
                <c:pt idx="38">
                  <c:v>13.68</c:v>
                </c:pt>
                <c:pt idx="39">
                  <c:v>14.04</c:v>
                </c:pt>
                <c:pt idx="40">
                  <c:v>14.4</c:v>
                </c:pt>
                <c:pt idx="41">
                  <c:v>14.76</c:v>
                </c:pt>
                <c:pt idx="42">
                  <c:v>15.12</c:v>
                </c:pt>
                <c:pt idx="43">
                  <c:v>15.48</c:v>
                </c:pt>
                <c:pt idx="44">
                  <c:v>15.84</c:v>
                </c:pt>
                <c:pt idx="45">
                  <c:v>16.2</c:v>
                </c:pt>
                <c:pt idx="46">
                  <c:v>16.559999999999999</c:v>
                </c:pt>
                <c:pt idx="47">
                  <c:v>16.920000000000002</c:v>
                </c:pt>
                <c:pt idx="48">
                  <c:v>17.28</c:v>
                </c:pt>
                <c:pt idx="49">
                  <c:v>17.64</c:v>
                </c:pt>
                <c:pt idx="50">
                  <c:v>18</c:v>
                </c:pt>
                <c:pt idx="51">
                  <c:v>18.36</c:v>
                </c:pt>
                <c:pt idx="52">
                  <c:v>18.72</c:v>
                </c:pt>
                <c:pt idx="53">
                  <c:v>19.079999999999998</c:v>
                </c:pt>
                <c:pt idx="54">
                  <c:v>19.440000000000001</c:v>
                </c:pt>
                <c:pt idx="55">
                  <c:v>19.8</c:v>
                </c:pt>
                <c:pt idx="56">
                  <c:v>20.16</c:v>
                </c:pt>
                <c:pt idx="57">
                  <c:v>20.52</c:v>
                </c:pt>
                <c:pt idx="58">
                  <c:v>20.88</c:v>
                </c:pt>
                <c:pt idx="59">
                  <c:v>21.24</c:v>
                </c:pt>
                <c:pt idx="60">
                  <c:v>21.6</c:v>
                </c:pt>
                <c:pt idx="61">
                  <c:v>21.96</c:v>
                </c:pt>
                <c:pt idx="62">
                  <c:v>22.32</c:v>
                </c:pt>
                <c:pt idx="63">
                  <c:v>22.68</c:v>
                </c:pt>
                <c:pt idx="64">
                  <c:v>23.04</c:v>
                </c:pt>
                <c:pt idx="65">
                  <c:v>23.4</c:v>
                </c:pt>
                <c:pt idx="66">
                  <c:v>23.76</c:v>
                </c:pt>
                <c:pt idx="67">
                  <c:v>24.12</c:v>
                </c:pt>
                <c:pt idx="68">
                  <c:v>24.48</c:v>
                </c:pt>
                <c:pt idx="69">
                  <c:v>24.84</c:v>
                </c:pt>
                <c:pt idx="70">
                  <c:v>25.2</c:v>
                </c:pt>
                <c:pt idx="71">
                  <c:v>25.56</c:v>
                </c:pt>
                <c:pt idx="72">
                  <c:v>25.92</c:v>
                </c:pt>
                <c:pt idx="73">
                  <c:v>26.28</c:v>
                </c:pt>
                <c:pt idx="74">
                  <c:v>26.64</c:v>
                </c:pt>
                <c:pt idx="75">
                  <c:v>27</c:v>
                </c:pt>
                <c:pt idx="76">
                  <c:v>27.36</c:v>
                </c:pt>
                <c:pt idx="77">
                  <c:v>27.72</c:v>
                </c:pt>
                <c:pt idx="78">
                  <c:v>28.08</c:v>
                </c:pt>
                <c:pt idx="79">
                  <c:v>28.44</c:v>
                </c:pt>
                <c:pt idx="80">
                  <c:v>28.8</c:v>
                </c:pt>
                <c:pt idx="81">
                  <c:v>29.16</c:v>
                </c:pt>
                <c:pt idx="82">
                  <c:v>29.52</c:v>
                </c:pt>
                <c:pt idx="83">
                  <c:v>29.88</c:v>
                </c:pt>
                <c:pt idx="84">
                  <c:v>30.24</c:v>
                </c:pt>
                <c:pt idx="85">
                  <c:v>30.6</c:v>
                </c:pt>
                <c:pt idx="86">
                  <c:v>30.96</c:v>
                </c:pt>
                <c:pt idx="87">
                  <c:v>31.32</c:v>
                </c:pt>
                <c:pt idx="88">
                  <c:v>31.68</c:v>
                </c:pt>
                <c:pt idx="89">
                  <c:v>32.04</c:v>
                </c:pt>
                <c:pt idx="90">
                  <c:v>32.4</c:v>
                </c:pt>
                <c:pt idx="91">
                  <c:v>32.76</c:v>
                </c:pt>
                <c:pt idx="92">
                  <c:v>33.119999999999997</c:v>
                </c:pt>
                <c:pt idx="93">
                  <c:v>33.479999999999997</c:v>
                </c:pt>
                <c:pt idx="94">
                  <c:v>33.840000000000003</c:v>
                </c:pt>
                <c:pt idx="95">
                  <c:v>34.200000000000003</c:v>
                </c:pt>
                <c:pt idx="96">
                  <c:v>34.56</c:v>
                </c:pt>
                <c:pt idx="97">
                  <c:v>34.92</c:v>
                </c:pt>
                <c:pt idx="98">
                  <c:v>35.28</c:v>
                </c:pt>
                <c:pt idx="99">
                  <c:v>35.64</c:v>
                </c:pt>
                <c:pt idx="100">
                  <c:v>36</c:v>
                </c:pt>
              </c:numCache>
            </c:numRef>
          </c:xVal>
          <c:yVal>
            <c:numRef>
              <c:f>'BQ2575X Design Calculator'!$CR$156:$CR$256</c:f>
              <c:numCache>
                <c:formatCode>0.00</c:formatCode>
                <c:ptCount val="101"/>
                <c:pt idx="0">
                  <c:v>0</c:v>
                </c:pt>
                <c:pt idx="1">
                  <c:v>86.263235854693804</c:v>
                </c:pt>
                <c:pt idx="2">
                  <c:v>92.563175955776572</c:v>
                </c:pt>
                <c:pt idx="3">
                  <c:v>94.865774724918353</c:v>
                </c:pt>
                <c:pt idx="4">
                  <c:v>96.055215164533053</c:v>
                </c:pt>
                <c:pt idx="5">
                  <c:v>96.778952124033651</c:v>
                </c:pt>
                <c:pt idx="6">
                  <c:v>97.263869159880798</c:v>
                </c:pt>
                <c:pt idx="7">
                  <c:v>97.61006135468692</c:v>
                </c:pt>
                <c:pt idx="8">
                  <c:v>97.8685447070376</c:v>
                </c:pt>
                <c:pt idx="9">
                  <c:v>98.06805228300442</c:v>
                </c:pt>
                <c:pt idx="10">
                  <c:v>98.226002535846774</c:v>
                </c:pt>
                <c:pt idx="11">
                  <c:v>98.353569548959342</c:v>
                </c:pt>
                <c:pt idx="12">
                  <c:v>98.45825107397485</c:v>
                </c:pt>
                <c:pt idx="13">
                  <c:v>98.54526554045367</c:v>
                </c:pt>
                <c:pt idx="14">
                  <c:v>98.618357022864672</c:v>
                </c:pt>
                <c:pt idx="15">
                  <c:v>98.680281574085143</c:v>
                </c:pt>
                <c:pt idx="16">
                  <c:v>98.733112965623434</c:v>
                </c:pt>
                <c:pt idx="17">
                  <c:v>98.7784415123364</c:v>
                </c:pt>
                <c:pt idx="18">
                  <c:v>98.817507198420969</c:v>
                </c:pt>
                <c:pt idx="19">
                  <c:v>98.851291110026423</c:v>
                </c:pt>
                <c:pt idx="20">
                  <c:v>98.880579652891626</c:v>
                </c:pt>
                <c:pt idx="21">
                  <c:v>98.906010558981123</c:v>
                </c:pt>
                <c:pt idx="22">
                  <c:v>98.928106435248253</c:v>
                </c:pt>
                <c:pt idx="23">
                  <c:v>98.947299620205669</c:v>
                </c:pt>
                <c:pt idx="24">
                  <c:v>98.96395086696009</c:v>
                </c:pt>
                <c:pt idx="25">
                  <c:v>98.978363570454363</c:v>
                </c:pt>
                <c:pt idx="26">
                  <c:v>98.990794731313784</c:v>
                </c:pt>
                <c:pt idx="27">
                  <c:v>99.001463497444291</c:v>
                </c:pt>
                <c:pt idx="28">
                  <c:v>99.010557885549559</c:v>
                </c:pt>
                <c:pt idx="29">
                  <c:v>99.018240119518481</c:v>
                </c:pt>
                <c:pt idx="30">
                  <c:v>99.024650906723863</c:v>
                </c:pt>
                <c:pt idx="31">
                  <c:v>99.029912890843775</c:v>
                </c:pt>
                <c:pt idx="32">
                  <c:v>99.03413346045707</c:v>
                </c:pt>
                <c:pt idx="33">
                  <c:v>99.037407049416174</c:v>
                </c:pt>
                <c:pt idx="34">
                  <c:v>99.039817033148111</c:v>
                </c:pt>
                <c:pt idx="35">
                  <c:v>99.041437301334668</c:v>
                </c:pt>
                <c:pt idx="36">
                  <c:v>99.042333569623835</c:v>
                </c:pt>
                <c:pt idx="37">
                  <c:v>99.042564479534818</c:v>
                </c:pt>
                <c:pt idx="38">
                  <c:v>99.042182525412372</c:v>
                </c:pt>
                <c:pt idx="39">
                  <c:v>99.041234839347709</c:v>
                </c:pt>
                <c:pt idx="40">
                  <c:v>99.039763858824088</c:v>
                </c:pt>
                <c:pt idx="41">
                  <c:v>99.037807897032934</c:v>
                </c:pt>
                <c:pt idx="42">
                  <c:v>99.035401632021362</c:v>
                </c:pt>
                <c:pt idx="43">
                  <c:v>99.032576527836071</c:v>
                </c:pt>
                <c:pt idx="44">
                  <c:v>99.029361198444064</c:v>
                </c:pt>
                <c:pt idx="45">
                  <c:v>99.025781723300028</c:v>
                </c:pt>
                <c:pt idx="46">
                  <c:v>99.021861921893716</c:v>
                </c:pt>
                <c:pt idx="47">
                  <c:v>99.017623593365869</c:v>
                </c:pt>
                <c:pt idx="48">
                  <c:v>99.013086726270458</c:v>
                </c:pt>
                <c:pt idx="49">
                  <c:v>99.008269682734323</c:v>
                </c:pt>
                <c:pt idx="50">
                  <c:v>99.003189360586973</c:v>
                </c:pt>
                <c:pt idx="51">
                  <c:v>98.997861336475395</c:v>
                </c:pt>
                <c:pt idx="52">
                  <c:v>98.992299992515498</c:v>
                </c:pt>
                <c:pt idx="53">
                  <c:v>98.986518628648199</c:v>
                </c:pt>
                <c:pt idx="54">
                  <c:v>98.980529562548057</c:v>
                </c:pt>
                <c:pt idx="55">
                  <c:v>98.974344218663774</c:v>
                </c:pt>
                <c:pt idx="56">
                  <c:v>98.967973207745601</c:v>
                </c:pt>
                <c:pt idx="57">
                  <c:v>98.961426398024571</c:v>
                </c:pt>
                <c:pt idx="58">
                  <c:v>98.95471297904831</c:v>
                </c:pt>
                <c:pt idx="59">
                  <c:v>98.947841519042328</c:v>
                </c:pt>
                <c:pt idx="60">
                  <c:v>98.940820016550504</c:v>
                </c:pt>
                <c:pt idx="61">
                  <c:v>98.933655947008873</c:v>
                </c:pt>
                <c:pt idx="62">
                  <c:v>98.926356304824154</c:v>
                </c:pt>
                <c:pt idx="63">
                  <c:v>98.918927641454573</c:v>
                </c:pt>
                <c:pt idx="64">
                  <c:v>98.91137609992947</c:v>
                </c:pt>
                <c:pt idx="65">
                  <c:v>98.903707446190154</c:v>
                </c:pt>
                <c:pt idx="66">
                  <c:v>98.895927097588427</c:v>
                </c:pt>
                <c:pt idx="67">
                  <c:v>98.88804014883911</c:v>
                </c:pt>
                <c:pt idx="68">
                  <c:v>98.880051395687758</c:v>
                </c:pt>
                <c:pt idx="69">
                  <c:v>98.871965356525166</c:v>
                </c:pt>
                <c:pt idx="70">
                  <c:v>98.863786292153222</c:v>
                </c:pt>
                <c:pt idx="71">
                  <c:v>98.85551822388436</c:v>
                </c:pt>
                <c:pt idx="72">
                  <c:v>98.847164950135777</c:v>
                </c:pt>
                <c:pt idx="73">
                  <c:v>98.838730061662815</c:v>
                </c:pt>
                <c:pt idx="74">
                  <c:v>98.830216955559862</c:v>
                </c:pt>
                <c:pt idx="75">
                  <c:v>98.821628848143405</c:v>
                </c:pt>
                <c:pt idx="76">
                  <c:v>98.812968786820321</c:v>
                </c:pt>
                <c:pt idx="77">
                  <c:v>98.804239661033051</c:v>
                </c:pt>
                <c:pt idx="78">
                  <c:v>98.795444212364671</c:v>
                </c:pt>
                <c:pt idx="79">
                  <c:v>98.786585043877963</c:v>
                </c:pt>
                <c:pt idx="80">
                  <c:v>98.777664628755474</c:v>
                </c:pt>
                <c:pt idx="81">
                  <c:v>98.768685318300868</c:v>
                </c:pt>
                <c:pt idx="82">
                  <c:v>98.75964934935574</c:v>
                </c:pt>
                <c:pt idx="83">
                  <c:v>98.750558851181594</c:v>
                </c:pt>
                <c:pt idx="84">
                  <c:v>98.741415851850917</c:v>
                </c:pt>
                <c:pt idx="85">
                  <c:v>98.732222284188083</c:v>
                </c:pt>
                <c:pt idx="86">
                  <c:v>98.722979991296569</c:v>
                </c:pt>
                <c:pt idx="87">
                  <c:v>98.713690731705555</c:v>
                </c:pt>
                <c:pt idx="88">
                  <c:v>98.704356184166315</c:v>
                </c:pt>
                <c:pt idx="89">
                  <c:v>98.694977952125925</c:v>
                </c:pt>
                <c:pt idx="90">
                  <c:v>98.685557567903089</c:v>
                </c:pt>
                <c:pt idx="91">
                  <c:v>98.676096496589238</c:v>
                </c:pt>
                <c:pt idx="92">
                  <c:v>98.6665961396955</c:v>
                </c:pt>
                <c:pt idx="93">
                  <c:v>98.657057838564981</c:v>
                </c:pt>
                <c:pt idx="94">
                  <c:v>98.647482877567512</c:v>
                </c:pt>
                <c:pt idx="95">
                  <c:v>98.637872487092864</c:v>
                </c:pt>
                <c:pt idx="96">
                  <c:v>98.628227846357376</c:v>
                </c:pt>
                <c:pt idx="97">
                  <c:v>98.618550086037175</c:v>
                </c:pt>
                <c:pt idx="98">
                  <c:v>98.608840290740346</c:v>
                </c:pt>
                <c:pt idx="99">
                  <c:v>98.599099501329761</c:v>
                </c:pt>
                <c:pt idx="100">
                  <c:v>98.589328717106469</c:v>
                </c:pt>
              </c:numCache>
            </c:numRef>
          </c:yVal>
          <c:smooth val="1"/>
          <c:extLst>
            <c:ext xmlns:c16="http://schemas.microsoft.com/office/drawing/2014/chart" uri="{C3380CC4-5D6E-409C-BE32-E72D297353CC}">
              <c16:uniqueId val="{00000002-1F98-4669-B27B-9CB36E467256}"/>
            </c:ext>
          </c:extLst>
        </c:ser>
        <c:ser>
          <c:idx val="8"/>
          <c:order val="5"/>
          <c:tx>
            <c:v>Plot 1 Saved Efficiency</c:v>
          </c:tx>
          <c:spPr>
            <a:ln w="19050" cap="rnd">
              <a:solidFill>
                <a:srgbClr val="FF0000"/>
              </a:solidFill>
              <a:prstDash val="dash"/>
              <a:round/>
            </a:ln>
            <a:effectLst/>
          </c:spPr>
          <c:marker>
            <c:symbol val="none"/>
          </c:marker>
          <c:xVal>
            <c:numRef>
              <c:f>'BQ2575X Design Calculator'!$AG$156:$AG$256</c:f>
              <c:numCache>
                <c:formatCode>General</c:formatCode>
                <c:ptCount val="101"/>
                <c:pt idx="0">
                  <c:v>0</c:v>
                </c:pt>
                <c:pt idx="1">
                  <c:v>0.36</c:v>
                </c:pt>
                <c:pt idx="2">
                  <c:v>0.72</c:v>
                </c:pt>
                <c:pt idx="3">
                  <c:v>1.08</c:v>
                </c:pt>
                <c:pt idx="4">
                  <c:v>1.44</c:v>
                </c:pt>
                <c:pt idx="5">
                  <c:v>1.8</c:v>
                </c:pt>
                <c:pt idx="6">
                  <c:v>2.16</c:v>
                </c:pt>
                <c:pt idx="7">
                  <c:v>2.52</c:v>
                </c:pt>
                <c:pt idx="8">
                  <c:v>2.88</c:v>
                </c:pt>
                <c:pt idx="9">
                  <c:v>3.24</c:v>
                </c:pt>
                <c:pt idx="10">
                  <c:v>3.6</c:v>
                </c:pt>
                <c:pt idx="11">
                  <c:v>3.96</c:v>
                </c:pt>
                <c:pt idx="12">
                  <c:v>4.32</c:v>
                </c:pt>
                <c:pt idx="13">
                  <c:v>4.68</c:v>
                </c:pt>
                <c:pt idx="14">
                  <c:v>5.04</c:v>
                </c:pt>
                <c:pt idx="15">
                  <c:v>5.4</c:v>
                </c:pt>
                <c:pt idx="16">
                  <c:v>5.76</c:v>
                </c:pt>
                <c:pt idx="17">
                  <c:v>6.12</c:v>
                </c:pt>
                <c:pt idx="18">
                  <c:v>6.48</c:v>
                </c:pt>
                <c:pt idx="19">
                  <c:v>6.84</c:v>
                </c:pt>
                <c:pt idx="20">
                  <c:v>7.2</c:v>
                </c:pt>
                <c:pt idx="21">
                  <c:v>7.56</c:v>
                </c:pt>
                <c:pt idx="22">
                  <c:v>7.92</c:v>
                </c:pt>
                <c:pt idx="23">
                  <c:v>8.2799999999999994</c:v>
                </c:pt>
                <c:pt idx="24">
                  <c:v>8.64</c:v>
                </c:pt>
                <c:pt idx="25">
                  <c:v>9</c:v>
                </c:pt>
                <c:pt idx="26">
                  <c:v>9.36</c:v>
                </c:pt>
                <c:pt idx="27">
                  <c:v>9.7200000000000006</c:v>
                </c:pt>
                <c:pt idx="28">
                  <c:v>10.08</c:v>
                </c:pt>
                <c:pt idx="29">
                  <c:v>10.44</c:v>
                </c:pt>
                <c:pt idx="30">
                  <c:v>10.8</c:v>
                </c:pt>
                <c:pt idx="31">
                  <c:v>11.16</c:v>
                </c:pt>
                <c:pt idx="32">
                  <c:v>11.52</c:v>
                </c:pt>
                <c:pt idx="33">
                  <c:v>11.88</c:v>
                </c:pt>
                <c:pt idx="34">
                  <c:v>12.24</c:v>
                </c:pt>
                <c:pt idx="35">
                  <c:v>12.6</c:v>
                </c:pt>
                <c:pt idx="36">
                  <c:v>12.96</c:v>
                </c:pt>
                <c:pt idx="37">
                  <c:v>13.32</c:v>
                </c:pt>
                <c:pt idx="38">
                  <c:v>13.68</c:v>
                </c:pt>
                <c:pt idx="39">
                  <c:v>14.04</c:v>
                </c:pt>
                <c:pt idx="40">
                  <c:v>14.4</c:v>
                </c:pt>
                <c:pt idx="41">
                  <c:v>14.76</c:v>
                </c:pt>
                <c:pt idx="42">
                  <c:v>15.12</c:v>
                </c:pt>
                <c:pt idx="43">
                  <c:v>15.48</c:v>
                </c:pt>
                <c:pt idx="44">
                  <c:v>15.84</c:v>
                </c:pt>
                <c:pt idx="45">
                  <c:v>16.2</c:v>
                </c:pt>
                <c:pt idx="46">
                  <c:v>16.559999999999999</c:v>
                </c:pt>
                <c:pt idx="47">
                  <c:v>16.920000000000002</c:v>
                </c:pt>
                <c:pt idx="48">
                  <c:v>17.28</c:v>
                </c:pt>
                <c:pt idx="49">
                  <c:v>17.64</c:v>
                </c:pt>
                <c:pt idx="50">
                  <c:v>18</c:v>
                </c:pt>
                <c:pt idx="51">
                  <c:v>18.36</c:v>
                </c:pt>
                <c:pt idx="52">
                  <c:v>18.72</c:v>
                </c:pt>
                <c:pt idx="53">
                  <c:v>19.079999999999998</c:v>
                </c:pt>
                <c:pt idx="54">
                  <c:v>19.440000000000001</c:v>
                </c:pt>
                <c:pt idx="55">
                  <c:v>19.8</c:v>
                </c:pt>
                <c:pt idx="56">
                  <c:v>20.16</c:v>
                </c:pt>
                <c:pt idx="57">
                  <c:v>20.52</c:v>
                </c:pt>
                <c:pt idx="58">
                  <c:v>20.88</c:v>
                </c:pt>
                <c:pt idx="59">
                  <c:v>21.24</c:v>
                </c:pt>
                <c:pt idx="60">
                  <c:v>21.6</c:v>
                </c:pt>
                <c:pt idx="61">
                  <c:v>21.96</c:v>
                </c:pt>
                <c:pt idx="62">
                  <c:v>22.32</c:v>
                </c:pt>
                <c:pt idx="63">
                  <c:v>22.68</c:v>
                </c:pt>
                <c:pt idx="64">
                  <c:v>23.04</c:v>
                </c:pt>
                <c:pt idx="65">
                  <c:v>23.4</c:v>
                </c:pt>
                <c:pt idx="66">
                  <c:v>23.76</c:v>
                </c:pt>
                <c:pt idx="67">
                  <c:v>24.12</c:v>
                </c:pt>
                <c:pt idx="68">
                  <c:v>24.48</c:v>
                </c:pt>
                <c:pt idx="69">
                  <c:v>24.84</c:v>
                </c:pt>
                <c:pt idx="70">
                  <c:v>25.2</c:v>
                </c:pt>
                <c:pt idx="71">
                  <c:v>25.56</c:v>
                </c:pt>
                <c:pt idx="72">
                  <c:v>25.92</c:v>
                </c:pt>
                <c:pt idx="73">
                  <c:v>26.28</c:v>
                </c:pt>
                <c:pt idx="74">
                  <c:v>26.64</c:v>
                </c:pt>
                <c:pt idx="75">
                  <c:v>27</c:v>
                </c:pt>
                <c:pt idx="76">
                  <c:v>27.36</c:v>
                </c:pt>
                <c:pt idx="77">
                  <c:v>27.72</c:v>
                </c:pt>
                <c:pt idx="78">
                  <c:v>28.08</c:v>
                </c:pt>
                <c:pt idx="79">
                  <c:v>28.44</c:v>
                </c:pt>
                <c:pt idx="80">
                  <c:v>28.8</c:v>
                </c:pt>
                <c:pt idx="81">
                  <c:v>29.16</c:v>
                </c:pt>
                <c:pt idx="82">
                  <c:v>29.52</c:v>
                </c:pt>
                <c:pt idx="83">
                  <c:v>29.88</c:v>
                </c:pt>
                <c:pt idx="84">
                  <c:v>30.24</c:v>
                </c:pt>
                <c:pt idx="85">
                  <c:v>30.6</c:v>
                </c:pt>
                <c:pt idx="86">
                  <c:v>30.96</c:v>
                </c:pt>
                <c:pt idx="87">
                  <c:v>31.32</c:v>
                </c:pt>
                <c:pt idx="88">
                  <c:v>31.68</c:v>
                </c:pt>
                <c:pt idx="89">
                  <c:v>32.04</c:v>
                </c:pt>
                <c:pt idx="90">
                  <c:v>32.4</c:v>
                </c:pt>
                <c:pt idx="91">
                  <c:v>32.76</c:v>
                </c:pt>
                <c:pt idx="92">
                  <c:v>33.119999999999997</c:v>
                </c:pt>
                <c:pt idx="93">
                  <c:v>33.479999999999997</c:v>
                </c:pt>
                <c:pt idx="94">
                  <c:v>33.840000000000003</c:v>
                </c:pt>
                <c:pt idx="95">
                  <c:v>34.200000000000003</c:v>
                </c:pt>
                <c:pt idx="96">
                  <c:v>34.56</c:v>
                </c:pt>
                <c:pt idx="97">
                  <c:v>34.92</c:v>
                </c:pt>
                <c:pt idx="98">
                  <c:v>35.28</c:v>
                </c:pt>
                <c:pt idx="99">
                  <c:v>35.64</c:v>
                </c:pt>
                <c:pt idx="100">
                  <c:v>36</c:v>
                </c:pt>
              </c:numCache>
            </c:numRef>
          </c:xVal>
          <c:yVal>
            <c:numRef>
              <c:f>'BQ2575X Design Calculator'!$CZ$156:$CZ$256</c:f>
              <c:numCache>
                <c:formatCode>0.00</c:formatCode>
                <c:ptCount val="101"/>
                <c:pt idx="0">
                  <c:v>0</c:v>
                </c:pt>
                <c:pt idx="1">
                  <c:v>86.263235854693804</c:v>
                </c:pt>
                <c:pt idx="2">
                  <c:v>92.563175955776572</c:v>
                </c:pt>
                <c:pt idx="3">
                  <c:v>94.865774724918353</c:v>
                </c:pt>
                <c:pt idx="4">
                  <c:v>96.055215164533053</c:v>
                </c:pt>
                <c:pt idx="5">
                  <c:v>96.778952124033651</c:v>
                </c:pt>
                <c:pt idx="6">
                  <c:v>97.263869159880798</c:v>
                </c:pt>
                <c:pt idx="7">
                  <c:v>97.61006135468692</c:v>
                </c:pt>
                <c:pt idx="8">
                  <c:v>97.8685447070376</c:v>
                </c:pt>
                <c:pt idx="9">
                  <c:v>98.06805228300442</c:v>
                </c:pt>
                <c:pt idx="10">
                  <c:v>98.226002535846774</c:v>
                </c:pt>
                <c:pt idx="11">
                  <c:v>98.353569548959342</c:v>
                </c:pt>
                <c:pt idx="12">
                  <c:v>98.45825107397485</c:v>
                </c:pt>
                <c:pt idx="13">
                  <c:v>98.54526554045367</c:v>
                </c:pt>
                <c:pt idx="14">
                  <c:v>98.618357022864672</c:v>
                </c:pt>
                <c:pt idx="15">
                  <c:v>98.680281574085143</c:v>
                </c:pt>
                <c:pt idx="16">
                  <c:v>98.733112965623434</c:v>
                </c:pt>
                <c:pt idx="17">
                  <c:v>98.7784415123364</c:v>
                </c:pt>
                <c:pt idx="18">
                  <c:v>98.817507198420969</c:v>
                </c:pt>
                <c:pt idx="19">
                  <c:v>98.851291110026423</c:v>
                </c:pt>
                <c:pt idx="20">
                  <c:v>98.880579652891626</c:v>
                </c:pt>
                <c:pt idx="21">
                  <c:v>98.906010558981123</c:v>
                </c:pt>
                <c:pt idx="22">
                  <c:v>98.928106435248253</c:v>
                </c:pt>
                <c:pt idx="23">
                  <c:v>98.947299620205669</c:v>
                </c:pt>
                <c:pt idx="24">
                  <c:v>98.96395086696009</c:v>
                </c:pt>
                <c:pt idx="25">
                  <c:v>98.978363570454363</c:v>
                </c:pt>
                <c:pt idx="26">
                  <c:v>98.990794731313784</c:v>
                </c:pt>
                <c:pt idx="27">
                  <c:v>99.001463497444291</c:v>
                </c:pt>
                <c:pt idx="28">
                  <c:v>99.010557885549559</c:v>
                </c:pt>
                <c:pt idx="29">
                  <c:v>99.018240119518481</c:v>
                </c:pt>
                <c:pt idx="30">
                  <c:v>99.024650906723863</c:v>
                </c:pt>
                <c:pt idx="31">
                  <c:v>99.029912890843775</c:v>
                </c:pt>
                <c:pt idx="32">
                  <c:v>99.03413346045707</c:v>
                </c:pt>
                <c:pt idx="33">
                  <c:v>99.037407049416174</c:v>
                </c:pt>
                <c:pt idx="34">
                  <c:v>99.039817033148111</c:v>
                </c:pt>
                <c:pt idx="35">
                  <c:v>99.041437301334668</c:v>
                </c:pt>
                <c:pt idx="36">
                  <c:v>99.042333569623835</c:v>
                </c:pt>
                <c:pt idx="37">
                  <c:v>99.042564479534818</c:v>
                </c:pt>
                <c:pt idx="38">
                  <c:v>99.042182525412372</c:v>
                </c:pt>
                <c:pt idx="39">
                  <c:v>99.041234839347709</c:v>
                </c:pt>
                <c:pt idx="40">
                  <c:v>99.039763858824088</c:v>
                </c:pt>
                <c:pt idx="41">
                  <c:v>99.037807897032934</c:v>
                </c:pt>
                <c:pt idx="42">
                  <c:v>99.035401632021362</c:v>
                </c:pt>
                <c:pt idx="43">
                  <c:v>99.032576527836071</c:v>
                </c:pt>
                <c:pt idx="44">
                  <c:v>99.029361198444064</c:v>
                </c:pt>
                <c:pt idx="45">
                  <c:v>99.025781723300028</c:v>
                </c:pt>
                <c:pt idx="46">
                  <c:v>99.021861921893716</c:v>
                </c:pt>
                <c:pt idx="47">
                  <c:v>99.017623593365869</c:v>
                </c:pt>
                <c:pt idx="48">
                  <c:v>99.013086726270458</c:v>
                </c:pt>
                <c:pt idx="49">
                  <c:v>99.008269682734323</c:v>
                </c:pt>
                <c:pt idx="50">
                  <c:v>99.003189360586973</c:v>
                </c:pt>
                <c:pt idx="51">
                  <c:v>98.997861336475395</c:v>
                </c:pt>
                <c:pt idx="52">
                  <c:v>98.992299992515498</c:v>
                </c:pt>
                <c:pt idx="53">
                  <c:v>98.986518628648199</c:v>
                </c:pt>
                <c:pt idx="54">
                  <c:v>98.980529562548057</c:v>
                </c:pt>
                <c:pt idx="55">
                  <c:v>98.974344218663774</c:v>
                </c:pt>
                <c:pt idx="56">
                  <c:v>98.967973207745601</c:v>
                </c:pt>
                <c:pt idx="57">
                  <c:v>98.961426398024571</c:v>
                </c:pt>
                <c:pt idx="58">
                  <c:v>98.95471297904831</c:v>
                </c:pt>
                <c:pt idx="59">
                  <c:v>98.947841519042328</c:v>
                </c:pt>
                <c:pt idx="60">
                  <c:v>98.940820016550504</c:v>
                </c:pt>
                <c:pt idx="61">
                  <c:v>98.933655947008873</c:v>
                </c:pt>
                <c:pt idx="62">
                  <c:v>98.926356304824154</c:v>
                </c:pt>
                <c:pt idx="63">
                  <c:v>98.918927641454573</c:v>
                </c:pt>
                <c:pt idx="64">
                  <c:v>98.91137609992947</c:v>
                </c:pt>
                <c:pt idx="65">
                  <c:v>98.903707446190154</c:v>
                </c:pt>
                <c:pt idx="66">
                  <c:v>98.895927097588427</c:v>
                </c:pt>
                <c:pt idx="67">
                  <c:v>98.88804014883911</c:v>
                </c:pt>
                <c:pt idx="68">
                  <c:v>98.880051395687758</c:v>
                </c:pt>
                <c:pt idx="69">
                  <c:v>98.871965356525166</c:v>
                </c:pt>
                <c:pt idx="70">
                  <c:v>98.863786292153222</c:v>
                </c:pt>
                <c:pt idx="71">
                  <c:v>98.85551822388436</c:v>
                </c:pt>
                <c:pt idx="72">
                  <c:v>98.847164950135777</c:v>
                </c:pt>
                <c:pt idx="73">
                  <c:v>98.838730061662815</c:v>
                </c:pt>
                <c:pt idx="74">
                  <c:v>98.830216955559862</c:v>
                </c:pt>
                <c:pt idx="75">
                  <c:v>98.821628848143405</c:v>
                </c:pt>
                <c:pt idx="76">
                  <c:v>98.812968786820321</c:v>
                </c:pt>
                <c:pt idx="77">
                  <c:v>98.804239661033051</c:v>
                </c:pt>
                <c:pt idx="78">
                  <c:v>98.795444212364671</c:v>
                </c:pt>
                <c:pt idx="79">
                  <c:v>98.786585043877963</c:v>
                </c:pt>
                <c:pt idx="80">
                  <c:v>98.777664628755474</c:v>
                </c:pt>
                <c:pt idx="81">
                  <c:v>98.768685318300868</c:v>
                </c:pt>
                <c:pt idx="82">
                  <c:v>98.75964934935574</c:v>
                </c:pt>
                <c:pt idx="83">
                  <c:v>98.750558851181594</c:v>
                </c:pt>
                <c:pt idx="84">
                  <c:v>98.741415851850917</c:v>
                </c:pt>
                <c:pt idx="85">
                  <c:v>98.732222284188083</c:v>
                </c:pt>
                <c:pt idx="86">
                  <c:v>98.722979991296569</c:v>
                </c:pt>
                <c:pt idx="87">
                  <c:v>98.713690731705555</c:v>
                </c:pt>
                <c:pt idx="88">
                  <c:v>98.704356184166315</c:v>
                </c:pt>
                <c:pt idx="89">
                  <c:v>98.694977952125925</c:v>
                </c:pt>
                <c:pt idx="90">
                  <c:v>98.685557567903089</c:v>
                </c:pt>
                <c:pt idx="91">
                  <c:v>98.676096496589238</c:v>
                </c:pt>
                <c:pt idx="92">
                  <c:v>98.6665961396955</c:v>
                </c:pt>
                <c:pt idx="93">
                  <c:v>98.657057838564981</c:v>
                </c:pt>
                <c:pt idx="94">
                  <c:v>98.647482877567512</c:v>
                </c:pt>
                <c:pt idx="95">
                  <c:v>98.637872487092864</c:v>
                </c:pt>
                <c:pt idx="96">
                  <c:v>98.628227846357376</c:v>
                </c:pt>
                <c:pt idx="97">
                  <c:v>98.618550086037175</c:v>
                </c:pt>
                <c:pt idx="98">
                  <c:v>98.608840290740346</c:v>
                </c:pt>
                <c:pt idx="99">
                  <c:v>98.599099501329761</c:v>
                </c:pt>
                <c:pt idx="100">
                  <c:v>98.589328717106469</c:v>
                </c:pt>
              </c:numCache>
            </c:numRef>
          </c:yVal>
          <c:smooth val="1"/>
          <c:extLst>
            <c:ext xmlns:c16="http://schemas.microsoft.com/office/drawing/2014/chart" uri="{C3380CC4-5D6E-409C-BE32-E72D297353CC}">
              <c16:uniqueId val="{00000008-1F98-4669-B27B-9CB36E467256}"/>
            </c:ext>
          </c:extLst>
        </c:ser>
        <c:ser>
          <c:idx val="5"/>
          <c:order val="8"/>
          <c:tx>
            <c:v>Plot 2 Efficiency</c:v>
          </c:tx>
          <c:spPr>
            <a:ln w="19050" cap="rnd">
              <a:solidFill>
                <a:srgbClr val="0000FF"/>
              </a:solidFill>
              <a:round/>
            </a:ln>
            <a:effectLst/>
          </c:spPr>
          <c:marker>
            <c:symbol val="none"/>
          </c:marker>
          <c:xVal>
            <c:numRef>
              <c:f>'BQ2575X Design Calculator'!$AG$156:$AG$256</c:f>
              <c:numCache>
                <c:formatCode>General</c:formatCode>
                <c:ptCount val="101"/>
                <c:pt idx="0">
                  <c:v>0</c:v>
                </c:pt>
                <c:pt idx="1">
                  <c:v>0.36</c:v>
                </c:pt>
                <c:pt idx="2">
                  <c:v>0.72</c:v>
                </c:pt>
                <c:pt idx="3">
                  <c:v>1.08</c:v>
                </c:pt>
                <c:pt idx="4">
                  <c:v>1.44</c:v>
                </c:pt>
                <c:pt idx="5">
                  <c:v>1.8</c:v>
                </c:pt>
                <c:pt idx="6">
                  <c:v>2.16</c:v>
                </c:pt>
                <c:pt idx="7">
                  <c:v>2.52</c:v>
                </c:pt>
                <c:pt idx="8">
                  <c:v>2.88</c:v>
                </c:pt>
                <c:pt idx="9">
                  <c:v>3.24</c:v>
                </c:pt>
                <c:pt idx="10">
                  <c:v>3.6</c:v>
                </c:pt>
                <c:pt idx="11">
                  <c:v>3.96</c:v>
                </c:pt>
                <c:pt idx="12">
                  <c:v>4.32</c:v>
                </c:pt>
                <c:pt idx="13">
                  <c:v>4.68</c:v>
                </c:pt>
                <c:pt idx="14">
                  <c:v>5.04</c:v>
                </c:pt>
                <c:pt idx="15">
                  <c:v>5.4</c:v>
                </c:pt>
                <c:pt idx="16">
                  <c:v>5.76</c:v>
                </c:pt>
                <c:pt idx="17">
                  <c:v>6.12</c:v>
                </c:pt>
                <c:pt idx="18">
                  <c:v>6.48</c:v>
                </c:pt>
                <c:pt idx="19">
                  <c:v>6.84</c:v>
                </c:pt>
                <c:pt idx="20">
                  <c:v>7.2</c:v>
                </c:pt>
                <c:pt idx="21">
                  <c:v>7.56</c:v>
                </c:pt>
                <c:pt idx="22">
                  <c:v>7.92</c:v>
                </c:pt>
                <c:pt idx="23">
                  <c:v>8.2799999999999994</c:v>
                </c:pt>
                <c:pt idx="24">
                  <c:v>8.64</c:v>
                </c:pt>
                <c:pt idx="25">
                  <c:v>9</c:v>
                </c:pt>
                <c:pt idx="26">
                  <c:v>9.36</c:v>
                </c:pt>
                <c:pt idx="27">
                  <c:v>9.7200000000000006</c:v>
                </c:pt>
                <c:pt idx="28">
                  <c:v>10.08</c:v>
                </c:pt>
                <c:pt idx="29">
                  <c:v>10.44</c:v>
                </c:pt>
                <c:pt idx="30">
                  <c:v>10.8</c:v>
                </c:pt>
                <c:pt idx="31">
                  <c:v>11.16</c:v>
                </c:pt>
                <c:pt idx="32">
                  <c:v>11.52</c:v>
                </c:pt>
                <c:pt idx="33">
                  <c:v>11.88</c:v>
                </c:pt>
                <c:pt idx="34">
                  <c:v>12.24</c:v>
                </c:pt>
                <c:pt idx="35">
                  <c:v>12.6</c:v>
                </c:pt>
                <c:pt idx="36">
                  <c:v>12.96</c:v>
                </c:pt>
                <c:pt idx="37">
                  <c:v>13.32</c:v>
                </c:pt>
                <c:pt idx="38">
                  <c:v>13.68</c:v>
                </c:pt>
                <c:pt idx="39">
                  <c:v>14.04</c:v>
                </c:pt>
                <c:pt idx="40">
                  <c:v>14.4</c:v>
                </c:pt>
                <c:pt idx="41">
                  <c:v>14.76</c:v>
                </c:pt>
                <c:pt idx="42">
                  <c:v>15.12</c:v>
                </c:pt>
                <c:pt idx="43">
                  <c:v>15.48</c:v>
                </c:pt>
                <c:pt idx="44">
                  <c:v>15.84</c:v>
                </c:pt>
                <c:pt idx="45">
                  <c:v>16.2</c:v>
                </c:pt>
                <c:pt idx="46">
                  <c:v>16.559999999999999</c:v>
                </c:pt>
                <c:pt idx="47">
                  <c:v>16.920000000000002</c:v>
                </c:pt>
                <c:pt idx="48">
                  <c:v>17.28</c:v>
                </c:pt>
                <c:pt idx="49">
                  <c:v>17.64</c:v>
                </c:pt>
                <c:pt idx="50">
                  <c:v>18</c:v>
                </c:pt>
                <c:pt idx="51">
                  <c:v>18.36</c:v>
                </c:pt>
                <c:pt idx="52">
                  <c:v>18.72</c:v>
                </c:pt>
                <c:pt idx="53">
                  <c:v>19.079999999999998</c:v>
                </c:pt>
                <c:pt idx="54">
                  <c:v>19.440000000000001</c:v>
                </c:pt>
                <c:pt idx="55">
                  <c:v>19.8</c:v>
                </c:pt>
                <c:pt idx="56">
                  <c:v>20.16</c:v>
                </c:pt>
                <c:pt idx="57">
                  <c:v>20.52</c:v>
                </c:pt>
                <c:pt idx="58">
                  <c:v>20.88</c:v>
                </c:pt>
                <c:pt idx="59">
                  <c:v>21.24</c:v>
                </c:pt>
                <c:pt idx="60">
                  <c:v>21.6</c:v>
                </c:pt>
                <c:pt idx="61">
                  <c:v>21.96</c:v>
                </c:pt>
                <c:pt idx="62">
                  <c:v>22.32</c:v>
                </c:pt>
                <c:pt idx="63">
                  <c:v>22.68</c:v>
                </c:pt>
                <c:pt idx="64">
                  <c:v>23.04</c:v>
                </c:pt>
                <c:pt idx="65">
                  <c:v>23.4</c:v>
                </c:pt>
                <c:pt idx="66">
                  <c:v>23.76</c:v>
                </c:pt>
                <c:pt idx="67">
                  <c:v>24.12</c:v>
                </c:pt>
                <c:pt idx="68">
                  <c:v>24.48</c:v>
                </c:pt>
                <c:pt idx="69">
                  <c:v>24.84</c:v>
                </c:pt>
                <c:pt idx="70">
                  <c:v>25.2</c:v>
                </c:pt>
                <c:pt idx="71">
                  <c:v>25.56</c:v>
                </c:pt>
                <c:pt idx="72">
                  <c:v>25.92</c:v>
                </c:pt>
                <c:pt idx="73">
                  <c:v>26.28</c:v>
                </c:pt>
                <c:pt idx="74">
                  <c:v>26.64</c:v>
                </c:pt>
                <c:pt idx="75">
                  <c:v>27</c:v>
                </c:pt>
                <c:pt idx="76">
                  <c:v>27.36</c:v>
                </c:pt>
                <c:pt idx="77">
                  <c:v>27.72</c:v>
                </c:pt>
                <c:pt idx="78">
                  <c:v>28.08</c:v>
                </c:pt>
                <c:pt idx="79">
                  <c:v>28.44</c:v>
                </c:pt>
                <c:pt idx="80">
                  <c:v>28.8</c:v>
                </c:pt>
                <c:pt idx="81">
                  <c:v>29.16</c:v>
                </c:pt>
                <c:pt idx="82">
                  <c:v>29.52</c:v>
                </c:pt>
                <c:pt idx="83">
                  <c:v>29.88</c:v>
                </c:pt>
                <c:pt idx="84">
                  <c:v>30.24</c:v>
                </c:pt>
                <c:pt idx="85">
                  <c:v>30.6</c:v>
                </c:pt>
                <c:pt idx="86">
                  <c:v>30.96</c:v>
                </c:pt>
                <c:pt idx="87">
                  <c:v>31.32</c:v>
                </c:pt>
                <c:pt idx="88">
                  <c:v>31.68</c:v>
                </c:pt>
                <c:pt idx="89">
                  <c:v>32.04</c:v>
                </c:pt>
                <c:pt idx="90">
                  <c:v>32.4</c:v>
                </c:pt>
                <c:pt idx="91">
                  <c:v>32.76</c:v>
                </c:pt>
                <c:pt idx="92">
                  <c:v>33.119999999999997</c:v>
                </c:pt>
                <c:pt idx="93">
                  <c:v>33.479999999999997</c:v>
                </c:pt>
                <c:pt idx="94">
                  <c:v>33.840000000000003</c:v>
                </c:pt>
                <c:pt idx="95">
                  <c:v>34.200000000000003</c:v>
                </c:pt>
                <c:pt idx="96">
                  <c:v>34.56</c:v>
                </c:pt>
                <c:pt idx="97">
                  <c:v>34.92</c:v>
                </c:pt>
                <c:pt idx="98">
                  <c:v>35.28</c:v>
                </c:pt>
                <c:pt idx="99">
                  <c:v>35.64</c:v>
                </c:pt>
                <c:pt idx="100">
                  <c:v>36</c:v>
                </c:pt>
              </c:numCache>
            </c:numRef>
          </c:xVal>
          <c:yVal>
            <c:numRef>
              <c:f>'BQ2575X Design Calculator'!$CV$156:$CV$256</c:f>
              <c:numCache>
                <c:formatCode>0.00</c:formatCode>
                <c:ptCount val="101"/>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pt idx="77">
                  <c:v>-100</c:v>
                </c:pt>
                <c:pt idx="78">
                  <c:v>-100</c:v>
                </c:pt>
                <c:pt idx="79">
                  <c:v>-100</c:v>
                </c:pt>
                <c:pt idx="80">
                  <c:v>-100</c:v>
                </c:pt>
                <c:pt idx="81">
                  <c:v>-100</c:v>
                </c:pt>
                <c:pt idx="82">
                  <c:v>-100</c:v>
                </c:pt>
                <c:pt idx="83">
                  <c:v>-100</c:v>
                </c:pt>
                <c:pt idx="84">
                  <c:v>-100</c:v>
                </c:pt>
                <c:pt idx="85">
                  <c:v>-100</c:v>
                </c:pt>
                <c:pt idx="86">
                  <c:v>-100</c:v>
                </c:pt>
                <c:pt idx="87">
                  <c:v>-100</c:v>
                </c:pt>
                <c:pt idx="88">
                  <c:v>-100</c:v>
                </c:pt>
                <c:pt idx="89">
                  <c:v>-100</c:v>
                </c:pt>
                <c:pt idx="90">
                  <c:v>-100</c:v>
                </c:pt>
                <c:pt idx="91">
                  <c:v>-100</c:v>
                </c:pt>
                <c:pt idx="92">
                  <c:v>-100</c:v>
                </c:pt>
                <c:pt idx="93">
                  <c:v>-100</c:v>
                </c:pt>
                <c:pt idx="94">
                  <c:v>-100</c:v>
                </c:pt>
                <c:pt idx="95">
                  <c:v>-100</c:v>
                </c:pt>
                <c:pt idx="96">
                  <c:v>-100</c:v>
                </c:pt>
                <c:pt idx="97">
                  <c:v>-100</c:v>
                </c:pt>
                <c:pt idx="98">
                  <c:v>-100</c:v>
                </c:pt>
                <c:pt idx="99">
                  <c:v>-100</c:v>
                </c:pt>
                <c:pt idx="100">
                  <c:v>-100</c:v>
                </c:pt>
              </c:numCache>
            </c:numRef>
          </c:yVal>
          <c:smooth val="1"/>
          <c:extLst>
            <c:ext xmlns:c16="http://schemas.microsoft.com/office/drawing/2014/chart" uri="{C3380CC4-5D6E-409C-BE32-E72D297353CC}">
              <c16:uniqueId val="{00000005-1F98-4669-B27B-9CB36E467256}"/>
            </c:ext>
          </c:extLst>
        </c:ser>
        <c:ser>
          <c:idx val="11"/>
          <c:order val="11"/>
          <c:tx>
            <c:v>Plot 2 Saved Efficiency</c:v>
          </c:tx>
          <c:spPr>
            <a:ln w="19050" cap="rnd">
              <a:solidFill>
                <a:srgbClr val="0000FF"/>
              </a:solidFill>
              <a:prstDash val="dash"/>
              <a:round/>
            </a:ln>
            <a:effectLst/>
          </c:spPr>
          <c:marker>
            <c:symbol val="none"/>
          </c:marker>
          <c:xVal>
            <c:numRef>
              <c:f>'BQ2575X Design Calculator'!$AG$156:$AG$256</c:f>
              <c:numCache>
                <c:formatCode>General</c:formatCode>
                <c:ptCount val="101"/>
                <c:pt idx="0">
                  <c:v>0</c:v>
                </c:pt>
                <c:pt idx="1">
                  <c:v>0.36</c:v>
                </c:pt>
                <c:pt idx="2">
                  <c:v>0.72</c:v>
                </c:pt>
                <c:pt idx="3">
                  <c:v>1.08</c:v>
                </c:pt>
                <c:pt idx="4">
                  <c:v>1.44</c:v>
                </c:pt>
                <c:pt idx="5">
                  <c:v>1.8</c:v>
                </c:pt>
                <c:pt idx="6">
                  <c:v>2.16</c:v>
                </c:pt>
                <c:pt idx="7">
                  <c:v>2.52</c:v>
                </c:pt>
                <c:pt idx="8">
                  <c:v>2.88</c:v>
                </c:pt>
                <c:pt idx="9">
                  <c:v>3.24</c:v>
                </c:pt>
                <c:pt idx="10">
                  <c:v>3.6</c:v>
                </c:pt>
                <c:pt idx="11">
                  <c:v>3.96</c:v>
                </c:pt>
                <c:pt idx="12">
                  <c:v>4.32</c:v>
                </c:pt>
                <c:pt idx="13">
                  <c:v>4.68</c:v>
                </c:pt>
                <c:pt idx="14">
                  <c:v>5.04</c:v>
                </c:pt>
                <c:pt idx="15">
                  <c:v>5.4</c:v>
                </c:pt>
                <c:pt idx="16">
                  <c:v>5.76</c:v>
                </c:pt>
                <c:pt idx="17">
                  <c:v>6.12</c:v>
                </c:pt>
                <c:pt idx="18">
                  <c:v>6.48</c:v>
                </c:pt>
                <c:pt idx="19">
                  <c:v>6.84</c:v>
                </c:pt>
                <c:pt idx="20">
                  <c:v>7.2</c:v>
                </c:pt>
                <c:pt idx="21">
                  <c:v>7.56</c:v>
                </c:pt>
                <c:pt idx="22">
                  <c:v>7.92</c:v>
                </c:pt>
                <c:pt idx="23">
                  <c:v>8.2799999999999994</c:v>
                </c:pt>
                <c:pt idx="24">
                  <c:v>8.64</c:v>
                </c:pt>
                <c:pt idx="25">
                  <c:v>9</c:v>
                </c:pt>
                <c:pt idx="26">
                  <c:v>9.36</c:v>
                </c:pt>
                <c:pt idx="27">
                  <c:v>9.7200000000000006</c:v>
                </c:pt>
                <c:pt idx="28">
                  <c:v>10.08</c:v>
                </c:pt>
                <c:pt idx="29">
                  <c:v>10.44</c:v>
                </c:pt>
                <c:pt idx="30">
                  <c:v>10.8</c:v>
                </c:pt>
                <c:pt idx="31">
                  <c:v>11.16</c:v>
                </c:pt>
                <c:pt idx="32">
                  <c:v>11.52</c:v>
                </c:pt>
                <c:pt idx="33">
                  <c:v>11.88</c:v>
                </c:pt>
                <c:pt idx="34">
                  <c:v>12.24</c:v>
                </c:pt>
                <c:pt idx="35">
                  <c:v>12.6</c:v>
                </c:pt>
                <c:pt idx="36">
                  <c:v>12.96</c:v>
                </c:pt>
                <c:pt idx="37">
                  <c:v>13.32</c:v>
                </c:pt>
                <c:pt idx="38">
                  <c:v>13.68</c:v>
                </c:pt>
                <c:pt idx="39">
                  <c:v>14.04</c:v>
                </c:pt>
                <c:pt idx="40">
                  <c:v>14.4</c:v>
                </c:pt>
                <c:pt idx="41">
                  <c:v>14.76</c:v>
                </c:pt>
                <c:pt idx="42">
                  <c:v>15.12</c:v>
                </c:pt>
                <c:pt idx="43">
                  <c:v>15.48</c:v>
                </c:pt>
                <c:pt idx="44">
                  <c:v>15.84</c:v>
                </c:pt>
                <c:pt idx="45">
                  <c:v>16.2</c:v>
                </c:pt>
                <c:pt idx="46">
                  <c:v>16.559999999999999</c:v>
                </c:pt>
                <c:pt idx="47">
                  <c:v>16.920000000000002</c:v>
                </c:pt>
                <c:pt idx="48">
                  <c:v>17.28</c:v>
                </c:pt>
                <c:pt idx="49">
                  <c:v>17.64</c:v>
                </c:pt>
                <c:pt idx="50">
                  <c:v>18</c:v>
                </c:pt>
                <c:pt idx="51">
                  <c:v>18.36</c:v>
                </c:pt>
                <c:pt idx="52">
                  <c:v>18.72</c:v>
                </c:pt>
                <c:pt idx="53">
                  <c:v>19.079999999999998</c:v>
                </c:pt>
                <c:pt idx="54">
                  <c:v>19.440000000000001</c:v>
                </c:pt>
                <c:pt idx="55">
                  <c:v>19.8</c:v>
                </c:pt>
                <c:pt idx="56">
                  <c:v>20.16</c:v>
                </c:pt>
                <c:pt idx="57">
                  <c:v>20.52</c:v>
                </c:pt>
                <c:pt idx="58">
                  <c:v>20.88</c:v>
                </c:pt>
                <c:pt idx="59">
                  <c:v>21.24</c:v>
                </c:pt>
                <c:pt idx="60">
                  <c:v>21.6</c:v>
                </c:pt>
                <c:pt idx="61">
                  <c:v>21.96</c:v>
                </c:pt>
                <c:pt idx="62">
                  <c:v>22.32</c:v>
                </c:pt>
                <c:pt idx="63">
                  <c:v>22.68</c:v>
                </c:pt>
                <c:pt idx="64">
                  <c:v>23.04</c:v>
                </c:pt>
                <c:pt idx="65">
                  <c:v>23.4</c:v>
                </c:pt>
                <c:pt idx="66">
                  <c:v>23.76</c:v>
                </c:pt>
                <c:pt idx="67">
                  <c:v>24.12</c:v>
                </c:pt>
                <c:pt idx="68">
                  <c:v>24.48</c:v>
                </c:pt>
                <c:pt idx="69">
                  <c:v>24.84</c:v>
                </c:pt>
                <c:pt idx="70">
                  <c:v>25.2</c:v>
                </c:pt>
                <c:pt idx="71">
                  <c:v>25.56</c:v>
                </c:pt>
                <c:pt idx="72">
                  <c:v>25.92</c:v>
                </c:pt>
                <c:pt idx="73">
                  <c:v>26.28</c:v>
                </c:pt>
                <c:pt idx="74">
                  <c:v>26.64</c:v>
                </c:pt>
                <c:pt idx="75">
                  <c:v>27</c:v>
                </c:pt>
                <c:pt idx="76">
                  <c:v>27.36</c:v>
                </c:pt>
                <c:pt idx="77">
                  <c:v>27.72</c:v>
                </c:pt>
                <c:pt idx="78">
                  <c:v>28.08</c:v>
                </c:pt>
                <c:pt idx="79">
                  <c:v>28.44</c:v>
                </c:pt>
                <c:pt idx="80">
                  <c:v>28.8</c:v>
                </c:pt>
                <c:pt idx="81">
                  <c:v>29.16</c:v>
                </c:pt>
                <c:pt idx="82">
                  <c:v>29.52</c:v>
                </c:pt>
                <c:pt idx="83">
                  <c:v>29.88</c:v>
                </c:pt>
                <c:pt idx="84">
                  <c:v>30.24</c:v>
                </c:pt>
                <c:pt idx="85">
                  <c:v>30.6</c:v>
                </c:pt>
                <c:pt idx="86">
                  <c:v>30.96</c:v>
                </c:pt>
                <c:pt idx="87">
                  <c:v>31.32</c:v>
                </c:pt>
                <c:pt idx="88">
                  <c:v>31.68</c:v>
                </c:pt>
                <c:pt idx="89">
                  <c:v>32.04</c:v>
                </c:pt>
                <c:pt idx="90">
                  <c:v>32.4</c:v>
                </c:pt>
                <c:pt idx="91">
                  <c:v>32.76</c:v>
                </c:pt>
                <c:pt idx="92">
                  <c:v>33.119999999999997</c:v>
                </c:pt>
                <c:pt idx="93">
                  <c:v>33.479999999999997</c:v>
                </c:pt>
                <c:pt idx="94">
                  <c:v>33.840000000000003</c:v>
                </c:pt>
                <c:pt idx="95">
                  <c:v>34.200000000000003</c:v>
                </c:pt>
                <c:pt idx="96">
                  <c:v>34.56</c:v>
                </c:pt>
                <c:pt idx="97">
                  <c:v>34.92</c:v>
                </c:pt>
                <c:pt idx="98">
                  <c:v>35.28</c:v>
                </c:pt>
                <c:pt idx="99">
                  <c:v>35.64</c:v>
                </c:pt>
                <c:pt idx="100">
                  <c:v>36</c:v>
                </c:pt>
              </c:numCache>
            </c:numRef>
          </c:xVal>
          <c:yVal>
            <c:numRef>
              <c:f>'BQ2575X Design Calculator'!$DD$156:$DD$256</c:f>
              <c:numCache>
                <c:formatCode>0.00</c:formatCode>
                <c:ptCount val="101"/>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pt idx="77">
                  <c:v>-100</c:v>
                </c:pt>
                <c:pt idx="78">
                  <c:v>-100</c:v>
                </c:pt>
                <c:pt idx="79">
                  <c:v>-100</c:v>
                </c:pt>
                <c:pt idx="80">
                  <c:v>-100</c:v>
                </c:pt>
                <c:pt idx="81">
                  <c:v>-100</c:v>
                </c:pt>
                <c:pt idx="82">
                  <c:v>-100</c:v>
                </c:pt>
                <c:pt idx="83">
                  <c:v>-100</c:v>
                </c:pt>
                <c:pt idx="84">
                  <c:v>-100</c:v>
                </c:pt>
                <c:pt idx="85">
                  <c:v>-100</c:v>
                </c:pt>
                <c:pt idx="86">
                  <c:v>-100</c:v>
                </c:pt>
                <c:pt idx="87">
                  <c:v>-100</c:v>
                </c:pt>
                <c:pt idx="88">
                  <c:v>-100</c:v>
                </c:pt>
                <c:pt idx="89">
                  <c:v>-100</c:v>
                </c:pt>
                <c:pt idx="90">
                  <c:v>-100</c:v>
                </c:pt>
                <c:pt idx="91">
                  <c:v>-100</c:v>
                </c:pt>
                <c:pt idx="92">
                  <c:v>-100</c:v>
                </c:pt>
                <c:pt idx="93">
                  <c:v>-100</c:v>
                </c:pt>
                <c:pt idx="94">
                  <c:v>-100</c:v>
                </c:pt>
                <c:pt idx="95">
                  <c:v>-100</c:v>
                </c:pt>
                <c:pt idx="96">
                  <c:v>-100</c:v>
                </c:pt>
                <c:pt idx="97">
                  <c:v>-100</c:v>
                </c:pt>
                <c:pt idx="98">
                  <c:v>-100</c:v>
                </c:pt>
                <c:pt idx="99">
                  <c:v>-100</c:v>
                </c:pt>
                <c:pt idx="100">
                  <c:v>-100</c:v>
                </c:pt>
              </c:numCache>
            </c:numRef>
          </c:yVal>
          <c:smooth val="1"/>
          <c:extLst>
            <c:ext xmlns:c16="http://schemas.microsoft.com/office/drawing/2014/chart" uri="{C3380CC4-5D6E-409C-BE32-E72D297353CC}">
              <c16:uniqueId val="{0000000B-1F98-4669-B27B-9CB36E467256}"/>
            </c:ext>
          </c:extLst>
        </c:ser>
        <c:dLbls>
          <c:showLegendKey val="0"/>
          <c:showVal val="0"/>
          <c:showCatName val="0"/>
          <c:showSerName val="0"/>
          <c:showPercent val="0"/>
          <c:showBubbleSize val="0"/>
        </c:dLbls>
        <c:axId val="1445999951"/>
        <c:axId val="1070374975"/>
      </c:scatterChart>
      <c:scatterChart>
        <c:scatterStyle val="smoothMarker"/>
        <c:varyColors val="0"/>
        <c:ser>
          <c:idx val="0"/>
          <c:order val="0"/>
          <c:tx>
            <c:v>Plot 1 Sense Loss</c:v>
          </c:tx>
          <c:spPr>
            <a:ln w="19050" cap="rnd">
              <a:solidFill>
                <a:schemeClr val="accent4"/>
              </a:solidFill>
              <a:round/>
            </a:ln>
            <a:effectLst/>
          </c:spPr>
          <c:marker>
            <c:symbol val="none"/>
          </c:marker>
          <c:xVal>
            <c:numRef>
              <c:f>'BQ2575X Design Calculator'!$AG$156:$AG$256</c:f>
              <c:numCache>
                <c:formatCode>General</c:formatCode>
                <c:ptCount val="101"/>
                <c:pt idx="0">
                  <c:v>0</c:v>
                </c:pt>
                <c:pt idx="1">
                  <c:v>0.36</c:v>
                </c:pt>
                <c:pt idx="2">
                  <c:v>0.72</c:v>
                </c:pt>
                <c:pt idx="3">
                  <c:v>1.08</c:v>
                </c:pt>
                <c:pt idx="4">
                  <c:v>1.44</c:v>
                </c:pt>
                <c:pt idx="5">
                  <c:v>1.8</c:v>
                </c:pt>
                <c:pt idx="6">
                  <c:v>2.16</c:v>
                </c:pt>
                <c:pt idx="7">
                  <c:v>2.52</c:v>
                </c:pt>
                <c:pt idx="8">
                  <c:v>2.88</c:v>
                </c:pt>
                <c:pt idx="9">
                  <c:v>3.24</c:v>
                </c:pt>
                <c:pt idx="10">
                  <c:v>3.6</c:v>
                </c:pt>
                <c:pt idx="11">
                  <c:v>3.96</c:v>
                </c:pt>
                <c:pt idx="12">
                  <c:v>4.32</c:v>
                </c:pt>
                <c:pt idx="13">
                  <c:v>4.68</c:v>
                </c:pt>
                <c:pt idx="14">
                  <c:v>5.04</c:v>
                </c:pt>
                <c:pt idx="15">
                  <c:v>5.4</c:v>
                </c:pt>
                <c:pt idx="16">
                  <c:v>5.76</c:v>
                </c:pt>
                <c:pt idx="17">
                  <c:v>6.12</c:v>
                </c:pt>
                <c:pt idx="18">
                  <c:v>6.48</c:v>
                </c:pt>
                <c:pt idx="19">
                  <c:v>6.84</c:v>
                </c:pt>
                <c:pt idx="20">
                  <c:v>7.2</c:v>
                </c:pt>
                <c:pt idx="21">
                  <c:v>7.56</c:v>
                </c:pt>
                <c:pt idx="22">
                  <c:v>7.92</c:v>
                </c:pt>
                <c:pt idx="23">
                  <c:v>8.2799999999999994</c:v>
                </c:pt>
                <c:pt idx="24">
                  <c:v>8.64</c:v>
                </c:pt>
                <c:pt idx="25">
                  <c:v>9</c:v>
                </c:pt>
                <c:pt idx="26">
                  <c:v>9.36</c:v>
                </c:pt>
                <c:pt idx="27">
                  <c:v>9.7200000000000006</c:v>
                </c:pt>
                <c:pt idx="28">
                  <c:v>10.08</c:v>
                </c:pt>
                <c:pt idx="29">
                  <c:v>10.44</c:v>
                </c:pt>
                <c:pt idx="30">
                  <c:v>10.8</c:v>
                </c:pt>
                <c:pt idx="31">
                  <c:v>11.16</c:v>
                </c:pt>
                <c:pt idx="32">
                  <c:v>11.52</c:v>
                </c:pt>
                <c:pt idx="33">
                  <c:v>11.88</c:v>
                </c:pt>
                <c:pt idx="34">
                  <c:v>12.24</c:v>
                </c:pt>
                <c:pt idx="35">
                  <c:v>12.6</c:v>
                </c:pt>
                <c:pt idx="36">
                  <c:v>12.96</c:v>
                </c:pt>
                <c:pt idx="37">
                  <c:v>13.32</c:v>
                </c:pt>
                <c:pt idx="38">
                  <c:v>13.68</c:v>
                </c:pt>
                <c:pt idx="39">
                  <c:v>14.04</c:v>
                </c:pt>
                <c:pt idx="40">
                  <c:v>14.4</c:v>
                </c:pt>
                <c:pt idx="41">
                  <c:v>14.76</c:v>
                </c:pt>
                <c:pt idx="42">
                  <c:v>15.12</c:v>
                </c:pt>
                <c:pt idx="43">
                  <c:v>15.48</c:v>
                </c:pt>
                <c:pt idx="44">
                  <c:v>15.84</c:v>
                </c:pt>
                <c:pt idx="45">
                  <c:v>16.2</c:v>
                </c:pt>
                <c:pt idx="46">
                  <c:v>16.559999999999999</c:v>
                </c:pt>
                <c:pt idx="47">
                  <c:v>16.920000000000002</c:v>
                </c:pt>
                <c:pt idx="48">
                  <c:v>17.28</c:v>
                </c:pt>
                <c:pt idx="49">
                  <c:v>17.64</c:v>
                </c:pt>
                <c:pt idx="50">
                  <c:v>18</c:v>
                </c:pt>
                <c:pt idx="51">
                  <c:v>18.36</c:v>
                </c:pt>
                <c:pt idx="52">
                  <c:v>18.72</c:v>
                </c:pt>
                <c:pt idx="53">
                  <c:v>19.079999999999998</c:v>
                </c:pt>
                <c:pt idx="54">
                  <c:v>19.440000000000001</c:v>
                </c:pt>
                <c:pt idx="55">
                  <c:v>19.8</c:v>
                </c:pt>
                <c:pt idx="56">
                  <c:v>20.16</c:v>
                </c:pt>
                <c:pt idx="57">
                  <c:v>20.52</c:v>
                </c:pt>
                <c:pt idx="58">
                  <c:v>20.88</c:v>
                </c:pt>
                <c:pt idx="59">
                  <c:v>21.24</c:v>
                </c:pt>
                <c:pt idx="60">
                  <c:v>21.6</c:v>
                </c:pt>
                <c:pt idx="61">
                  <c:v>21.96</c:v>
                </c:pt>
                <c:pt idx="62">
                  <c:v>22.32</c:v>
                </c:pt>
                <c:pt idx="63">
                  <c:v>22.68</c:v>
                </c:pt>
                <c:pt idx="64">
                  <c:v>23.04</c:v>
                </c:pt>
                <c:pt idx="65">
                  <c:v>23.4</c:v>
                </c:pt>
                <c:pt idx="66">
                  <c:v>23.76</c:v>
                </c:pt>
                <c:pt idx="67">
                  <c:v>24.12</c:v>
                </c:pt>
                <c:pt idx="68">
                  <c:v>24.48</c:v>
                </c:pt>
                <c:pt idx="69">
                  <c:v>24.84</c:v>
                </c:pt>
                <c:pt idx="70">
                  <c:v>25.2</c:v>
                </c:pt>
                <c:pt idx="71">
                  <c:v>25.56</c:v>
                </c:pt>
                <c:pt idx="72">
                  <c:v>25.92</c:v>
                </c:pt>
                <c:pt idx="73">
                  <c:v>26.28</c:v>
                </c:pt>
                <c:pt idx="74">
                  <c:v>26.64</c:v>
                </c:pt>
                <c:pt idx="75">
                  <c:v>27</c:v>
                </c:pt>
                <c:pt idx="76">
                  <c:v>27.36</c:v>
                </c:pt>
                <c:pt idx="77">
                  <c:v>27.72</c:v>
                </c:pt>
                <c:pt idx="78">
                  <c:v>28.08</c:v>
                </c:pt>
                <c:pt idx="79">
                  <c:v>28.44</c:v>
                </c:pt>
                <c:pt idx="80">
                  <c:v>28.8</c:v>
                </c:pt>
                <c:pt idx="81">
                  <c:v>29.16</c:v>
                </c:pt>
                <c:pt idx="82">
                  <c:v>29.52</c:v>
                </c:pt>
                <c:pt idx="83">
                  <c:v>29.88</c:v>
                </c:pt>
                <c:pt idx="84">
                  <c:v>30.24</c:v>
                </c:pt>
                <c:pt idx="85">
                  <c:v>30.6</c:v>
                </c:pt>
                <c:pt idx="86">
                  <c:v>30.96</c:v>
                </c:pt>
                <c:pt idx="87">
                  <c:v>31.32</c:v>
                </c:pt>
                <c:pt idx="88">
                  <c:v>31.68</c:v>
                </c:pt>
                <c:pt idx="89">
                  <c:v>32.04</c:v>
                </c:pt>
                <c:pt idx="90">
                  <c:v>32.4</c:v>
                </c:pt>
                <c:pt idx="91">
                  <c:v>32.76</c:v>
                </c:pt>
                <c:pt idx="92">
                  <c:v>33.119999999999997</c:v>
                </c:pt>
                <c:pt idx="93">
                  <c:v>33.479999999999997</c:v>
                </c:pt>
                <c:pt idx="94">
                  <c:v>33.840000000000003</c:v>
                </c:pt>
                <c:pt idx="95">
                  <c:v>34.200000000000003</c:v>
                </c:pt>
                <c:pt idx="96">
                  <c:v>34.56</c:v>
                </c:pt>
                <c:pt idx="97">
                  <c:v>34.92</c:v>
                </c:pt>
                <c:pt idx="98">
                  <c:v>35.28</c:v>
                </c:pt>
                <c:pt idx="99">
                  <c:v>35.64</c:v>
                </c:pt>
                <c:pt idx="100">
                  <c:v>36</c:v>
                </c:pt>
              </c:numCache>
            </c:numRef>
          </c:xVal>
          <c:yVal>
            <c:numRef>
              <c:f>'BQ2575X Design Calculator'!$CP$156:$CP$256</c:f>
              <c:numCache>
                <c:formatCode>0.00</c:formatCode>
                <c:ptCount val="101"/>
                <c:pt idx="0">
                  <c:v>0</c:v>
                </c:pt>
                <c:pt idx="1">
                  <c:v>1.5440529300567109E-3</c:v>
                </c:pt>
                <c:pt idx="2">
                  <c:v>6.1762117202268435E-3</c:v>
                </c:pt>
                <c:pt idx="3">
                  <c:v>1.38964763705104E-2</c:v>
                </c:pt>
                <c:pt idx="4">
                  <c:v>2.4704846880907374E-2</c:v>
                </c:pt>
                <c:pt idx="5">
                  <c:v>3.8601323251417775E-2</c:v>
                </c:pt>
                <c:pt idx="6">
                  <c:v>5.5585905482041599E-2</c:v>
                </c:pt>
                <c:pt idx="7">
                  <c:v>7.5658593572778834E-2</c:v>
                </c:pt>
                <c:pt idx="8">
                  <c:v>9.8819387523629496E-2</c:v>
                </c:pt>
                <c:pt idx="9">
                  <c:v>0.1250682873345936</c:v>
                </c:pt>
                <c:pt idx="10">
                  <c:v>0.1544052930056711</c:v>
                </c:pt>
                <c:pt idx="11">
                  <c:v>0.18683040453686203</c:v>
                </c:pt>
                <c:pt idx="12">
                  <c:v>0.2223436219281664</c:v>
                </c:pt>
                <c:pt idx="13">
                  <c:v>0.26094494517958411</c:v>
                </c:pt>
                <c:pt idx="14">
                  <c:v>0.30263437429111534</c:v>
                </c:pt>
                <c:pt idx="15">
                  <c:v>0.34741190926276</c:v>
                </c:pt>
                <c:pt idx="16">
                  <c:v>0.39527755009451798</c:v>
                </c:pt>
                <c:pt idx="17">
                  <c:v>0.4462312967863894</c:v>
                </c:pt>
                <c:pt idx="18">
                  <c:v>0.50027314933837441</c:v>
                </c:pt>
                <c:pt idx="19">
                  <c:v>0.55740310775047264</c:v>
                </c:pt>
                <c:pt idx="20">
                  <c:v>0.61762117202268441</c:v>
                </c:pt>
                <c:pt idx="21">
                  <c:v>0.6809273421550095</c:v>
                </c:pt>
                <c:pt idx="22">
                  <c:v>0.74732161814744813</c:v>
                </c:pt>
                <c:pt idx="23">
                  <c:v>0.81680399999999986</c:v>
                </c:pt>
                <c:pt idx="24">
                  <c:v>0.88937448771266558</c:v>
                </c:pt>
                <c:pt idx="25">
                  <c:v>0.96503308128544429</c:v>
                </c:pt>
                <c:pt idx="26">
                  <c:v>1.0437797807183364</c:v>
                </c:pt>
                <c:pt idx="27">
                  <c:v>1.1256145860113422</c:v>
                </c:pt>
                <c:pt idx="28">
                  <c:v>1.2105374971644614</c:v>
                </c:pt>
                <c:pt idx="29">
                  <c:v>1.2985485141776936</c:v>
                </c:pt>
                <c:pt idx="30">
                  <c:v>1.38964763705104</c:v>
                </c:pt>
                <c:pt idx="31">
                  <c:v>1.4838348657844993</c:v>
                </c:pt>
                <c:pt idx="32">
                  <c:v>1.5811102003780719</c:v>
                </c:pt>
                <c:pt idx="33">
                  <c:v>1.6814736408317585</c:v>
                </c:pt>
                <c:pt idx="34">
                  <c:v>1.7849251871455576</c:v>
                </c:pt>
                <c:pt idx="35">
                  <c:v>1.8914648393194704</c:v>
                </c:pt>
                <c:pt idx="36">
                  <c:v>2.0010925973534976</c:v>
                </c:pt>
                <c:pt idx="37">
                  <c:v>2.1138084612476371</c:v>
                </c:pt>
                <c:pt idx="38">
                  <c:v>2.2296124310018905</c:v>
                </c:pt>
                <c:pt idx="39">
                  <c:v>2.3485045066162571</c:v>
                </c:pt>
                <c:pt idx="40">
                  <c:v>2.4704846880907376</c:v>
                </c:pt>
                <c:pt idx="41">
                  <c:v>2.5955529754253313</c:v>
                </c:pt>
                <c:pt idx="42">
                  <c:v>2.723709368620038</c:v>
                </c:pt>
                <c:pt idx="43">
                  <c:v>2.8549538676748583</c:v>
                </c:pt>
                <c:pt idx="44">
                  <c:v>2.9892864725897925</c:v>
                </c:pt>
                <c:pt idx="45">
                  <c:v>3.1267071833648399</c:v>
                </c:pt>
                <c:pt idx="46">
                  <c:v>3.2672159999999995</c:v>
                </c:pt>
                <c:pt idx="47">
                  <c:v>3.4108129224952752</c:v>
                </c:pt>
                <c:pt idx="48">
                  <c:v>3.5574979508506623</c:v>
                </c:pt>
                <c:pt idx="49">
                  <c:v>3.7072710850661625</c:v>
                </c:pt>
                <c:pt idx="50">
                  <c:v>3.8601323251417772</c:v>
                </c:pt>
                <c:pt idx="51">
                  <c:v>4.0160816710775045</c:v>
                </c:pt>
                <c:pt idx="52">
                  <c:v>4.1751191228733457</c:v>
                </c:pt>
                <c:pt idx="53">
                  <c:v>4.3372446805293006</c:v>
                </c:pt>
                <c:pt idx="54">
                  <c:v>4.5024583440453689</c:v>
                </c:pt>
                <c:pt idx="55">
                  <c:v>4.67076011342155</c:v>
                </c:pt>
                <c:pt idx="56">
                  <c:v>4.8421499886578454</c:v>
                </c:pt>
                <c:pt idx="57">
                  <c:v>5.0166279697542535</c:v>
                </c:pt>
                <c:pt idx="58">
                  <c:v>5.1941940567107743</c:v>
                </c:pt>
                <c:pt idx="59">
                  <c:v>5.3748482495274095</c:v>
                </c:pt>
                <c:pt idx="60">
                  <c:v>5.55859054820416</c:v>
                </c:pt>
                <c:pt idx="61">
                  <c:v>5.7454209527410214</c:v>
                </c:pt>
                <c:pt idx="62">
                  <c:v>5.9353394631379972</c:v>
                </c:pt>
                <c:pt idx="63">
                  <c:v>6.1283460793950857</c:v>
                </c:pt>
                <c:pt idx="64">
                  <c:v>6.3244408015122877</c:v>
                </c:pt>
                <c:pt idx="65">
                  <c:v>6.5236236294896024</c:v>
                </c:pt>
                <c:pt idx="66">
                  <c:v>6.7258945633270342</c:v>
                </c:pt>
                <c:pt idx="67">
                  <c:v>6.9312536030245742</c:v>
                </c:pt>
                <c:pt idx="68">
                  <c:v>7.1397007485822304</c:v>
                </c:pt>
                <c:pt idx="69">
                  <c:v>7.3512360000000001</c:v>
                </c:pt>
                <c:pt idx="70">
                  <c:v>7.5658593572778816</c:v>
                </c:pt>
                <c:pt idx="71">
                  <c:v>7.7835708204158784</c:v>
                </c:pt>
                <c:pt idx="72">
                  <c:v>8.0043703894139906</c:v>
                </c:pt>
                <c:pt idx="73">
                  <c:v>8.2282580642722127</c:v>
                </c:pt>
                <c:pt idx="74">
                  <c:v>8.4552338449905484</c:v>
                </c:pt>
                <c:pt idx="75">
                  <c:v>8.6852977315689994</c:v>
                </c:pt>
                <c:pt idx="76">
                  <c:v>8.9184497240075622</c:v>
                </c:pt>
                <c:pt idx="77">
                  <c:v>9.1546898223062385</c:v>
                </c:pt>
                <c:pt idx="78">
                  <c:v>9.3940180264650284</c:v>
                </c:pt>
                <c:pt idx="79">
                  <c:v>9.6364343364839335</c:v>
                </c:pt>
                <c:pt idx="80">
                  <c:v>9.8819387523629505</c:v>
                </c:pt>
                <c:pt idx="81">
                  <c:v>10.130531274102079</c:v>
                </c:pt>
                <c:pt idx="82">
                  <c:v>10.382211901701325</c:v>
                </c:pt>
                <c:pt idx="83">
                  <c:v>10.636980635160683</c:v>
                </c:pt>
                <c:pt idx="84">
                  <c:v>10.894837474480152</c:v>
                </c:pt>
                <c:pt idx="85">
                  <c:v>11.15578241965974</c:v>
                </c:pt>
                <c:pt idx="86">
                  <c:v>11.419815470699433</c:v>
                </c:pt>
                <c:pt idx="87">
                  <c:v>11.686936627599243</c:v>
                </c:pt>
                <c:pt idx="88">
                  <c:v>11.95714589035917</c:v>
                </c:pt>
                <c:pt idx="89">
                  <c:v>12.230443258979207</c:v>
                </c:pt>
                <c:pt idx="90">
                  <c:v>12.50682873345936</c:v>
                </c:pt>
                <c:pt idx="91">
                  <c:v>12.78630231379962</c:v>
                </c:pt>
                <c:pt idx="92">
                  <c:v>13.068863999999998</c:v>
                </c:pt>
                <c:pt idx="93">
                  <c:v>13.354513792060491</c:v>
                </c:pt>
                <c:pt idx="94">
                  <c:v>13.643251689981101</c:v>
                </c:pt>
                <c:pt idx="95">
                  <c:v>13.935077693761814</c:v>
                </c:pt>
                <c:pt idx="96">
                  <c:v>14.229991803402649</c:v>
                </c:pt>
                <c:pt idx="97">
                  <c:v>14.527994018903591</c:v>
                </c:pt>
                <c:pt idx="98">
                  <c:v>14.82908434026465</c:v>
                </c:pt>
                <c:pt idx="99">
                  <c:v>15.133262767485823</c:v>
                </c:pt>
                <c:pt idx="100">
                  <c:v>15.440529300567109</c:v>
                </c:pt>
              </c:numCache>
            </c:numRef>
          </c:yVal>
          <c:smooth val="1"/>
          <c:extLst>
            <c:ext xmlns:c16="http://schemas.microsoft.com/office/drawing/2014/chart" uri="{C3380CC4-5D6E-409C-BE32-E72D297353CC}">
              <c16:uniqueId val="{00000000-1F98-4669-B27B-9CB36E467256}"/>
            </c:ext>
          </c:extLst>
        </c:ser>
        <c:ser>
          <c:idx val="1"/>
          <c:order val="1"/>
          <c:tx>
            <c:v>Plot 1 MOSFET Losses</c:v>
          </c:tx>
          <c:spPr>
            <a:ln w="19050" cap="rnd">
              <a:solidFill>
                <a:schemeClr val="accent2"/>
              </a:solidFill>
              <a:round/>
            </a:ln>
            <a:effectLst/>
          </c:spPr>
          <c:marker>
            <c:symbol val="none"/>
          </c:marker>
          <c:xVal>
            <c:numRef>
              <c:f>'BQ2575X Design Calculator'!$AG$156:$AG$256</c:f>
              <c:numCache>
                <c:formatCode>General</c:formatCode>
                <c:ptCount val="101"/>
                <c:pt idx="0">
                  <c:v>0</c:v>
                </c:pt>
                <c:pt idx="1">
                  <c:v>0.36</c:v>
                </c:pt>
                <c:pt idx="2">
                  <c:v>0.72</c:v>
                </c:pt>
                <c:pt idx="3">
                  <c:v>1.08</c:v>
                </c:pt>
                <c:pt idx="4">
                  <c:v>1.44</c:v>
                </c:pt>
                <c:pt idx="5">
                  <c:v>1.8</c:v>
                </c:pt>
                <c:pt idx="6">
                  <c:v>2.16</c:v>
                </c:pt>
                <c:pt idx="7">
                  <c:v>2.52</c:v>
                </c:pt>
                <c:pt idx="8">
                  <c:v>2.88</c:v>
                </c:pt>
                <c:pt idx="9">
                  <c:v>3.24</c:v>
                </c:pt>
                <c:pt idx="10">
                  <c:v>3.6</c:v>
                </c:pt>
                <c:pt idx="11">
                  <c:v>3.96</c:v>
                </c:pt>
                <c:pt idx="12">
                  <c:v>4.32</c:v>
                </c:pt>
                <c:pt idx="13">
                  <c:v>4.68</c:v>
                </c:pt>
                <c:pt idx="14">
                  <c:v>5.04</c:v>
                </c:pt>
                <c:pt idx="15">
                  <c:v>5.4</c:v>
                </c:pt>
                <c:pt idx="16">
                  <c:v>5.76</c:v>
                </c:pt>
                <c:pt idx="17">
                  <c:v>6.12</c:v>
                </c:pt>
                <c:pt idx="18">
                  <c:v>6.48</c:v>
                </c:pt>
                <c:pt idx="19">
                  <c:v>6.84</c:v>
                </c:pt>
                <c:pt idx="20">
                  <c:v>7.2</c:v>
                </c:pt>
                <c:pt idx="21">
                  <c:v>7.56</c:v>
                </c:pt>
                <c:pt idx="22">
                  <c:v>7.92</c:v>
                </c:pt>
                <c:pt idx="23">
                  <c:v>8.2799999999999994</c:v>
                </c:pt>
                <c:pt idx="24">
                  <c:v>8.64</c:v>
                </c:pt>
                <c:pt idx="25">
                  <c:v>9</c:v>
                </c:pt>
                <c:pt idx="26">
                  <c:v>9.36</c:v>
                </c:pt>
                <c:pt idx="27">
                  <c:v>9.7200000000000006</c:v>
                </c:pt>
                <c:pt idx="28">
                  <c:v>10.08</c:v>
                </c:pt>
                <c:pt idx="29">
                  <c:v>10.44</c:v>
                </c:pt>
                <c:pt idx="30">
                  <c:v>10.8</c:v>
                </c:pt>
                <c:pt idx="31">
                  <c:v>11.16</c:v>
                </c:pt>
                <c:pt idx="32">
                  <c:v>11.52</c:v>
                </c:pt>
                <c:pt idx="33">
                  <c:v>11.88</c:v>
                </c:pt>
                <c:pt idx="34">
                  <c:v>12.24</c:v>
                </c:pt>
                <c:pt idx="35">
                  <c:v>12.6</c:v>
                </c:pt>
                <c:pt idx="36">
                  <c:v>12.96</c:v>
                </c:pt>
                <c:pt idx="37">
                  <c:v>13.32</c:v>
                </c:pt>
                <c:pt idx="38">
                  <c:v>13.68</c:v>
                </c:pt>
                <c:pt idx="39">
                  <c:v>14.04</c:v>
                </c:pt>
                <c:pt idx="40">
                  <c:v>14.4</c:v>
                </c:pt>
                <c:pt idx="41">
                  <c:v>14.76</c:v>
                </c:pt>
                <c:pt idx="42">
                  <c:v>15.12</c:v>
                </c:pt>
                <c:pt idx="43">
                  <c:v>15.48</c:v>
                </c:pt>
                <c:pt idx="44">
                  <c:v>15.84</c:v>
                </c:pt>
                <c:pt idx="45">
                  <c:v>16.2</c:v>
                </c:pt>
                <c:pt idx="46">
                  <c:v>16.559999999999999</c:v>
                </c:pt>
                <c:pt idx="47">
                  <c:v>16.920000000000002</c:v>
                </c:pt>
                <c:pt idx="48">
                  <c:v>17.28</c:v>
                </c:pt>
                <c:pt idx="49">
                  <c:v>17.64</c:v>
                </c:pt>
                <c:pt idx="50">
                  <c:v>18</c:v>
                </c:pt>
                <c:pt idx="51">
                  <c:v>18.36</c:v>
                </c:pt>
                <c:pt idx="52">
                  <c:v>18.72</c:v>
                </c:pt>
                <c:pt idx="53">
                  <c:v>19.079999999999998</c:v>
                </c:pt>
                <c:pt idx="54">
                  <c:v>19.440000000000001</c:v>
                </c:pt>
                <c:pt idx="55">
                  <c:v>19.8</c:v>
                </c:pt>
                <c:pt idx="56">
                  <c:v>20.16</c:v>
                </c:pt>
                <c:pt idx="57">
                  <c:v>20.52</c:v>
                </c:pt>
                <c:pt idx="58">
                  <c:v>20.88</c:v>
                </c:pt>
                <c:pt idx="59">
                  <c:v>21.24</c:v>
                </c:pt>
                <c:pt idx="60">
                  <c:v>21.6</c:v>
                </c:pt>
                <c:pt idx="61">
                  <c:v>21.96</c:v>
                </c:pt>
                <c:pt idx="62">
                  <c:v>22.32</c:v>
                </c:pt>
                <c:pt idx="63">
                  <c:v>22.68</c:v>
                </c:pt>
                <c:pt idx="64">
                  <c:v>23.04</c:v>
                </c:pt>
                <c:pt idx="65">
                  <c:v>23.4</c:v>
                </c:pt>
                <c:pt idx="66">
                  <c:v>23.76</c:v>
                </c:pt>
                <c:pt idx="67">
                  <c:v>24.12</c:v>
                </c:pt>
                <c:pt idx="68">
                  <c:v>24.48</c:v>
                </c:pt>
                <c:pt idx="69">
                  <c:v>24.84</c:v>
                </c:pt>
                <c:pt idx="70">
                  <c:v>25.2</c:v>
                </c:pt>
                <c:pt idx="71">
                  <c:v>25.56</c:v>
                </c:pt>
                <c:pt idx="72">
                  <c:v>25.92</c:v>
                </c:pt>
                <c:pt idx="73">
                  <c:v>26.28</c:v>
                </c:pt>
                <c:pt idx="74">
                  <c:v>26.64</c:v>
                </c:pt>
                <c:pt idx="75">
                  <c:v>27</c:v>
                </c:pt>
                <c:pt idx="76">
                  <c:v>27.36</c:v>
                </c:pt>
                <c:pt idx="77">
                  <c:v>27.72</c:v>
                </c:pt>
                <c:pt idx="78">
                  <c:v>28.08</c:v>
                </c:pt>
                <c:pt idx="79">
                  <c:v>28.44</c:v>
                </c:pt>
                <c:pt idx="80">
                  <c:v>28.8</c:v>
                </c:pt>
                <c:pt idx="81">
                  <c:v>29.16</c:v>
                </c:pt>
                <c:pt idx="82">
                  <c:v>29.52</c:v>
                </c:pt>
                <c:pt idx="83">
                  <c:v>29.88</c:v>
                </c:pt>
                <c:pt idx="84">
                  <c:v>30.24</c:v>
                </c:pt>
                <c:pt idx="85">
                  <c:v>30.6</c:v>
                </c:pt>
                <c:pt idx="86">
                  <c:v>30.96</c:v>
                </c:pt>
                <c:pt idx="87">
                  <c:v>31.32</c:v>
                </c:pt>
                <c:pt idx="88">
                  <c:v>31.68</c:v>
                </c:pt>
                <c:pt idx="89">
                  <c:v>32.04</c:v>
                </c:pt>
                <c:pt idx="90">
                  <c:v>32.4</c:v>
                </c:pt>
                <c:pt idx="91">
                  <c:v>32.76</c:v>
                </c:pt>
                <c:pt idx="92">
                  <c:v>33.119999999999997</c:v>
                </c:pt>
                <c:pt idx="93">
                  <c:v>33.479999999999997</c:v>
                </c:pt>
                <c:pt idx="94">
                  <c:v>33.840000000000003</c:v>
                </c:pt>
                <c:pt idx="95">
                  <c:v>34.200000000000003</c:v>
                </c:pt>
                <c:pt idx="96">
                  <c:v>34.56</c:v>
                </c:pt>
                <c:pt idx="97">
                  <c:v>34.92</c:v>
                </c:pt>
                <c:pt idx="98">
                  <c:v>35.28</c:v>
                </c:pt>
                <c:pt idx="99">
                  <c:v>35.64</c:v>
                </c:pt>
                <c:pt idx="100">
                  <c:v>36</c:v>
                </c:pt>
              </c:numCache>
            </c:numRef>
          </c:xVal>
          <c:yVal>
            <c:numRef>
              <c:f>'BQ2575X Design Calculator'!$CQ$156:$CQ$256</c:f>
              <c:numCache>
                <c:formatCode>0.00</c:formatCode>
                <c:ptCount val="101"/>
                <c:pt idx="0">
                  <c:v>2.0948460074208497</c:v>
                </c:pt>
                <c:pt idx="1">
                  <c:v>2.1080991756587775</c:v>
                </c:pt>
                <c:pt idx="2">
                  <c:v>2.1225978697772123</c:v>
                </c:pt>
                <c:pt idx="3">
                  <c:v>2.1370863193167717</c:v>
                </c:pt>
                <c:pt idx="4">
                  <c:v>2.1515646835448594</c:v>
                </c:pt>
                <c:pt idx="5">
                  <c:v>2.166033120719014</c:v>
                </c:pt>
                <c:pt idx="6">
                  <c:v>2.1804917880948955</c:v>
                </c:pt>
                <c:pt idx="7">
                  <c:v>2.194940841934208</c:v>
                </c:pt>
                <c:pt idx="8">
                  <c:v>2.2093804375125301</c:v>
                </c:pt>
                <c:pt idx="9">
                  <c:v>2.2238107291270937</c:v>
                </c:pt>
                <c:pt idx="10">
                  <c:v>2.238231870104467</c:v>
                </c:pt>
                <c:pt idx="11">
                  <c:v>2.2526440128081839</c:v>
                </c:pt>
                <c:pt idx="12">
                  <c:v>2.2670473086462888</c:v>
                </c:pt>
                <c:pt idx="13">
                  <c:v>2.2814419080788153</c:v>
                </c:pt>
                <c:pt idx="14">
                  <c:v>2.2958279606251968</c:v>
                </c:pt>
                <c:pt idx="15">
                  <c:v>2.3102056148716028</c:v>
                </c:pt>
                <c:pt idx="16">
                  <c:v>2.3245750184782126</c:v>
                </c:pt>
                <c:pt idx="17">
                  <c:v>2.338936318186414</c:v>
                </c:pt>
                <c:pt idx="18">
                  <c:v>2.3532896598259416</c:v>
                </c:pt>
                <c:pt idx="19">
                  <c:v>2.3676351883219451</c:v>
                </c:pt>
                <c:pt idx="20">
                  <c:v>2.3819730477019911</c:v>
                </c:pt>
                <c:pt idx="21">
                  <c:v>2.3963033811030048</c:v>
                </c:pt>
                <c:pt idx="22">
                  <c:v>2.410626330778141</c:v>
                </c:pt>
                <c:pt idx="23">
                  <c:v>2.4249420381035942</c:v>
                </c:pt>
                <c:pt idx="24">
                  <c:v>2.4392506435853516</c:v>
                </c:pt>
                <c:pt idx="25">
                  <c:v>2.4535522868658717</c:v>
                </c:pt>
                <c:pt idx="26">
                  <c:v>2.4678471067307117</c:v>
                </c:pt>
                <c:pt idx="27">
                  <c:v>2.4821352411150923</c:v>
                </c:pt>
                <c:pt idx="28">
                  <c:v>2.4964168271103957</c:v>
                </c:pt>
                <c:pt idx="29">
                  <c:v>2.5106920009706131</c:v>
                </c:pt>
                <c:pt idx="30">
                  <c:v>2.5249608981187275</c:v>
                </c:pt>
                <c:pt idx="31">
                  <c:v>2.5392236531530386</c:v>
                </c:pt>
                <c:pt idx="32">
                  <c:v>2.553480399853433</c:v>
                </c:pt>
                <c:pt idx="33">
                  <c:v>2.5677312711875939</c:v>
                </c:pt>
                <c:pt idx="34">
                  <c:v>2.5819763993171563</c:v>
                </c:pt>
                <c:pt idx="35">
                  <c:v>2.5962159156038074</c:v>
                </c:pt>
                <c:pt idx="36">
                  <c:v>2.610449950615326</c:v>
                </c:pt>
                <c:pt idx="37">
                  <c:v>2.6246786341315764</c:v>
                </c:pt>
                <c:pt idx="38">
                  <c:v>2.6389020951504389</c:v>
                </c:pt>
                <c:pt idx="39">
                  <c:v>2.6531204618936939</c:v>
                </c:pt>
                <c:pt idx="40">
                  <c:v>2.6673338618128484</c:v>
                </c:pt>
                <c:pt idx="41">
                  <c:v>2.6815424215949113</c:v>
                </c:pt>
                <c:pt idx="42">
                  <c:v>2.6957462671681194</c:v>
                </c:pt>
                <c:pt idx="43">
                  <c:v>2.7099455237076078</c:v>
                </c:pt>
                <c:pt idx="44">
                  <c:v>2.7241403156410313</c:v>
                </c:pt>
                <c:pt idx="45">
                  <c:v>2.7383307666541401</c:v>
                </c:pt>
                <c:pt idx="46">
                  <c:v>2.7525169996962933</c:v>
                </c:pt>
                <c:pt idx="47">
                  <c:v>2.7666991369859386</c:v>
                </c:pt>
                <c:pt idx="48">
                  <c:v>2.7808773000160341</c:v>
                </c:pt>
                <c:pt idx="49">
                  <c:v>2.7950516095594211</c:v>
                </c:pt>
                <c:pt idx="50">
                  <c:v>2.8092221856741553</c:v>
                </c:pt>
                <c:pt idx="51">
                  <c:v>2.8233891477087827</c:v>
                </c:pt>
                <c:pt idx="52">
                  <c:v>2.8375526143075809</c:v>
                </c:pt>
                <c:pt idx="53">
                  <c:v>2.8517127034157386</c:v>
                </c:pt>
                <c:pt idx="54">
                  <c:v>2.8658695322845</c:v>
                </c:pt>
                <c:pt idx="55">
                  <c:v>2.8800232174762646</c:v>
                </c:pt>
                <c:pt idx="56">
                  <c:v>2.8941738748696335</c:v>
                </c:pt>
                <c:pt idx="57">
                  <c:v>2.9083216196644202</c:v>
                </c:pt>
                <c:pt idx="58">
                  <c:v>2.9224665663866127</c:v>
                </c:pt>
                <c:pt idx="59">
                  <c:v>2.9366088288932914</c:v>
                </c:pt>
                <c:pt idx="60">
                  <c:v>2.9507485203775095</c:v>
                </c:pt>
                <c:pt idx="61">
                  <c:v>2.9648857533731237</c:v>
                </c:pt>
                <c:pt idx="62">
                  <c:v>2.9790206397595886</c:v>
                </c:pt>
                <c:pt idx="63">
                  <c:v>2.9931532907667027</c:v>
                </c:pt>
                <c:pt idx="64">
                  <c:v>3.0072838169793248</c:v>
                </c:pt>
                <c:pt idx="65">
                  <c:v>3.0214123283420347</c:v>
                </c:pt>
                <c:pt idx="66">
                  <c:v>3.0355389341637631</c:v>
                </c:pt>
                <c:pt idx="67">
                  <c:v>3.049663743122379</c:v>
                </c:pt>
                <c:pt idx="68">
                  <c:v>3.0637868632692409</c:v>
                </c:pt>
                <c:pt idx="69">
                  <c:v>3.0779084020336969</c:v>
                </c:pt>
                <c:pt idx="70">
                  <c:v>3.0920284662275646</c:v>
                </c:pt>
                <c:pt idx="71">
                  <c:v>3.1061471620495542</c:v>
                </c:pt>
                <c:pt idx="72">
                  <c:v>3.1202645950896644</c:v>
                </c:pt>
                <c:pt idx="73">
                  <c:v>3.1343808703335378</c:v>
                </c:pt>
                <c:pt idx="74">
                  <c:v>3.1484960921667788</c:v>
                </c:pt>
                <c:pt idx="75">
                  <c:v>3.1626103643792356</c:v>
                </c:pt>
                <c:pt idx="76">
                  <c:v>3.1767237901692416</c:v>
                </c:pt>
                <c:pt idx="77">
                  <c:v>3.1908364721478266</c:v>
                </c:pt>
                <c:pt idx="78">
                  <c:v>3.2049485123428858</c:v>
                </c:pt>
                <c:pt idx="79">
                  <c:v>3.2190600122033213</c:v>
                </c:pt>
                <c:pt idx="80">
                  <c:v>3.2331710726031386</c:v>
                </c:pt>
                <c:pt idx="81">
                  <c:v>3.2472817938455174</c:v>
                </c:pt>
                <c:pt idx="82">
                  <c:v>3.2613922756668412</c:v>
                </c:pt>
                <c:pt idx="83">
                  <c:v>3.2755026172406967</c:v>
                </c:pt>
                <c:pt idx="84">
                  <c:v>3.2896129171818393</c:v>
                </c:pt>
                <c:pt idx="85">
                  <c:v>3.3037232735501192</c:v>
                </c:pt>
                <c:pt idx="86">
                  <c:v>3.3178337838543857</c:v>
                </c:pt>
                <c:pt idx="87">
                  <c:v>3.3319445450563481</c:v>
                </c:pt>
                <c:pt idx="88">
                  <c:v>3.346055653574409</c:v>
                </c:pt>
                <c:pt idx="89">
                  <c:v>3.3601672052874649</c:v>
                </c:pt>
                <c:pt idx="90">
                  <c:v>3.3742792955386745</c:v>
                </c:pt>
                <c:pt idx="91">
                  <c:v>3.3883920191391952</c:v>
                </c:pt>
                <c:pt idx="92">
                  <c:v>3.40250547037189</c:v>
                </c:pt>
                <c:pt idx="93">
                  <c:v>3.4166197429950005</c:v>
                </c:pt>
                <c:pt idx="94">
                  <c:v>3.4307349302457943</c:v>
                </c:pt>
                <c:pt idx="95">
                  <c:v>3.4448511248441718</c:v>
                </c:pt>
                <c:pt idx="96">
                  <c:v>3.4589684189962591</c:v>
                </c:pt>
                <c:pt idx="97">
                  <c:v>3.4730869043979551</c:v>
                </c:pt>
                <c:pt idx="98">
                  <c:v>3.4872066722384587</c:v>
                </c:pt>
                <c:pt idx="99">
                  <c:v>3.5013278132037651</c:v>
                </c:pt>
                <c:pt idx="100">
                  <c:v>3.5154504174801295</c:v>
                </c:pt>
              </c:numCache>
            </c:numRef>
          </c:yVal>
          <c:smooth val="1"/>
          <c:extLst>
            <c:ext xmlns:c16="http://schemas.microsoft.com/office/drawing/2014/chart" uri="{C3380CC4-5D6E-409C-BE32-E72D297353CC}">
              <c16:uniqueId val="{00000001-1F98-4669-B27B-9CB36E467256}"/>
            </c:ext>
          </c:extLst>
        </c:ser>
        <c:ser>
          <c:idx val="6"/>
          <c:order val="3"/>
          <c:tx>
            <c:v>Plot 1 Saved Sense Loss</c:v>
          </c:tx>
          <c:spPr>
            <a:ln w="19050" cap="rnd">
              <a:solidFill>
                <a:schemeClr val="accent4"/>
              </a:solidFill>
              <a:prstDash val="dash"/>
              <a:round/>
            </a:ln>
            <a:effectLst/>
          </c:spPr>
          <c:marker>
            <c:symbol val="none"/>
          </c:marker>
          <c:xVal>
            <c:numRef>
              <c:f>'BQ2575X Design Calculator'!$AG$156:$AG$256</c:f>
              <c:numCache>
                <c:formatCode>General</c:formatCode>
                <c:ptCount val="101"/>
                <c:pt idx="0">
                  <c:v>0</c:v>
                </c:pt>
                <c:pt idx="1">
                  <c:v>0.36</c:v>
                </c:pt>
                <c:pt idx="2">
                  <c:v>0.72</c:v>
                </c:pt>
                <c:pt idx="3">
                  <c:v>1.08</c:v>
                </c:pt>
                <c:pt idx="4">
                  <c:v>1.44</c:v>
                </c:pt>
                <c:pt idx="5">
                  <c:v>1.8</c:v>
                </c:pt>
                <c:pt idx="6">
                  <c:v>2.16</c:v>
                </c:pt>
                <c:pt idx="7">
                  <c:v>2.52</c:v>
                </c:pt>
                <c:pt idx="8">
                  <c:v>2.88</c:v>
                </c:pt>
                <c:pt idx="9">
                  <c:v>3.24</c:v>
                </c:pt>
                <c:pt idx="10">
                  <c:v>3.6</c:v>
                </c:pt>
                <c:pt idx="11">
                  <c:v>3.96</c:v>
                </c:pt>
                <c:pt idx="12">
                  <c:v>4.32</c:v>
                </c:pt>
                <c:pt idx="13">
                  <c:v>4.68</c:v>
                </c:pt>
                <c:pt idx="14">
                  <c:v>5.04</c:v>
                </c:pt>
                <c:pt idx="15">
                  <c:v>5.4</c:v>
                </c:pt>
                <c:pt idx="16">
                  <c:v>5.76</c:v>
                </c:pt>
                <c:pt idx="17">
                  <c:v>6.12</c:v>
                </c:pt>
                <c:pt idx="18">
                  <c:v>6.48</c:v>
                </c:pt>
                <c:pt idx="19">
                  <c:v>6.84</c:v>
                </c:pt>
                <c:pt idx="20">
                  <c:v>7.2</c:v>
                </c:pt>
                <c:pt idx="21">
                  <c:v>7.56</c:v>
                </c:pt>
                <c:pt idx="22">
                  <c:v>7.92</c:v>
                </c:pt>
                <c:pt idx="23">
                  <c:v>8.2799999999999994</c:v>
                </c:pt>
                <c:pt idx="24">
                  <c:v>8.64</c:v>
                </c:pt>
                <c:pt idx="25">
                  <c:v>9</c:v>
                </c:pt>
                <c:pt idx="26">
                  <c:v>9.36</c:v>
                </c:pt>
                <c:pt idx="27">
                  <c:v>9.7200000000000006</c:v>
                </c:pt>
                <c:pt idx="28">
                  <c:v>10.08</c:v>
                </c:pt>
                <c:pt idx="29">
                  <c:v>10.44</c:v>
                </c:pt>
                <c:pt idx="30">
                  <c:v>10.8</c:v>
                </c:pt>
                <c:pt idx="31">
                  <c:v>11.16</c:v>
                </c:pt>
                <c:pt idx="32">
                  <c:v>11.52</c:v>
                </c:pt>
                <c:pt idx="33">
                  <c:v>11.88</c:v>
                </c:pt>
                <c:pt idx="34">
                  <c:v>12.24</c:v>
                </c:pt>
                <c:pt idx="35">
                  <c:v>12.6</c:v>
                </c:pt>
                <c:pt idx="36">
                  <c:v>12.96</c:v>
                </c:pt>
                <c:pt idx="37">
                  <c:v>13.32</c:v>
                </c:pt>
                <c:pt idx="38">
                  <c:v>13.68</c:v>
                </c:pt>
                <c:pt idx="39">
                  <c:v>14.04</c:v>
                </c:pt>
                <c:pt idx="40">
                  <c:v>14.4</c:v>
                </c:pt>
                <c:pt idx="41">
                  <c:v>14.76</c:v>
                </c:pt>
                <c:pt idx="42">
                  <c:v>15.12</c:v>
                </c:pt>
                <c:pt idx="43">
                  <c:v>15.48</c:v>
                </c:pt>
                <c:pt idx="44">
                  <c:v>15.84</c:v>
                </c:pt>
                <c:pt idx="45">
                  <c:v>16.2</c:v>
                </c:pt>
                <c:pt idx="46">
                  <c:v>16.559999999999999</c:v>
                </c:pt>
                <c:pt idx="47">
                  <c:v>16.920000000000002</c:v>
                </c:pt>
                <c:pt idx="48">
                  <c:v>17.28</c:v>
                </c:pt>
                <c:pt idx="49">
                  <c:v>17.64</c:v>
                </c:pt>
                <c:pt idx="50">
                  <c:v>18</c:v>
                </c:pt>
                <c:pt idx="51">
                  <c:v>18.36</c:v>
                </c:pt>
                <c:pt idx="52">
                  <c:v>18.72</c:v>
                </c:pt>
                <c:pt idx="53">
                  <c:v>19.079999999999998</c:v>
                </c:pt>
                <c:pt idx="54">
                  <c:v>19.440000000000001</c:v>
                </c:pt>
                <c:pt idx="55">
                  <c:v>19.8</c:v>
                </c:pt>
                <c:pt idx="56">
                  <c:v>20.16</c:v>
                </c:pt>
                <c:pt idx="57">
                  <c:v>20.52</c:v>
                </c:pt>
                <c:pt idx="58">
                  <c:v>20.88</c:v>
                </c:pt>
                <c:pt idx="59">
                  <c:v>21.24</c:v>
                </c:pt>
                <c:pt idx="60">
                  <c:v>21.6</c:v>
                </c:pt>
                <c:pt idx="61">
                  <c:v>21.96</c:v>
                </c:pt>
                <c:pt idx="62">
                  <c:v>22.32</c:v>
                </c:pt>
                <c:pt idx="63">
                  <c:v>22.68</c:v>
                </c:pt>
                <c:pt idx="64">
                  <c:v>23.04</c:v>
                </c:pt>
                <c:pt idx="65">
                  <c:v>23.4</c:v>
                </c:pt>
                <c:pt idx="66">
                  <c:v>23.76</c:v>
                </c:pt>
                <c:pt idx="67">
                  <c:v>24.12</c:v>
                </c:pt>
                <c:pt idx="68">
                  <c:v>24.48</c:v>
                </c:pt>
                <c:pt idx="69">
                  <c:v>24.84</c:v>
                </c:pt>
                <c:pt idx="70">
                  <c:v>25.2</c:v>
                </c:pt>
                <c:pt idx="71">
                  <c:v>25.56</c:v>
                </c:pt>
                <c:pt idx="72">
                  <c:v>25.92</c:v>
                </c:pt>
                <c:pt idx="73">
                  <c:v>26.28</c:v>
                </c:pt>
                <c:pt idx="74">
                  <c:v>26.64</c:v>
                </c:pt>
                <c:pt idx="75">
                  <c:v>27</c:v>
                </c:pt>
                <c:pt idx="76">
                  <c:v>27.36</c:v>
                </c:pt>
                <c:pt idx="77">
                  <c:v>27.72</c:v>
                </c:pt>
                <c:pt idx="78">
                  <c:v>28.08</c:v>
                </c:pt>
                <c:pt idx="79">
                  <c:v>28.44</c:v>
                </c:pt>
                <c:pt idx="80">
                  <c:v>28.8</c:v>
                </c:pt>
                <c:pt idx="81">
                  <c:v>29.16</c:v>
                </c:pt>
                <c:pt idx="82">
                  <c:v>29.52</c:v>
                </c:pt>
                <c:pt idx="83">
                  <c:v>29.88</c:v>
                </c:pt>
                <c:pt idx="84">
                  <c:v>30.24</c:v>
                </c:pt>
                <c:pt idx="85">
                  <c:v>30.6</c:v>
                </c:pt>
                <c:pt idx="86">
                  <c:v>30.96</c:v>
                </c:pt>
                <c:pt idx="87">
                  <c:v>31.32</c:v>
                </c:pt>
                <c:pt idx="88">
                  <c:v>31.68</c:v>
                </c:pt>
                <c:pt idx="89">
                  <c:v>32.04</c:v>
                </c:pt>
                <c:pt idx="90">
                  <c:v>32.4</c:v>
                </c:pt>
                <c:pt idx="91">
                  <c:v>32.76</c:v>
                </c:pt>
                <c:pt idx="92">
                  <c:v>33.119999999999997</c:v>
                </c:pt>
                <c:pt idx="93">
                  <c:v>33.479999999999997</c:v>
                </c:pt>
                <c:pt idx="94">
                  <c:v>33.840000000000003</c:v>
                </c:pt>
                <c:pt idx="95">
                  <c:v>34.200000000000003</c:v>
                </c:pt>
                <c:pt idx="96">
                  <c:v>34.56</c:v>
                </c:pt>
                <c:pt idx="97">
                  <c:v>34.92</c:v>
                </c:pt>
                <c:pt idx="98">
                  <c:v>35.28</c:v>
                </c:pt>
                <c:pt idx="99">
                  <c:v>35.64</c:v>
                </c:pt>
                <c:pt idx="100">
                  <c:v>36</c:v>
                </c:pt>
              </c:numCache>
            </c:numRef>
          </c:xVal>
          <c:yVal>
            <c:numRef>
              <c:f>'BQ2575X Design Calculator'!$CX$156:$CX$256</c:f>
              <c:numCache>
                <c:formatCode>0.00</c:formatCode>
                <c:ptCount val="101"/>
                <c:pt idx="0">
                  <c:v>0</c:v>
                </c:pt>
                <c:pt idx="1">
                  <c:v>1.5440529300567109E-3</c:v>
                </c:pt>
                <c:pt idx="2">
                  <c:v>6.1762117202268435E-3</c:v>
                </c:pt>
                <c:pt idx="3">
                  <c:v>1.38964763705104E-2</c:v>
                </c:pt>
                <c:pt idx="4">
                  <c:v>2.4704846880907374E-2</c:v>
                </c:pt>
                <c:pt idx="5">
                  <c:v>3.8601323251417775E-2</c:v>
                </c:pt>
                <c:pt idx="6">
                  <c:v>5.5585905482041599E-2</c:v>
                </c:pt>
                <c:pt idx="7">
                  <c:v>7.5658593572778834E-2</c:v>
                </c:pt>
                <c:pt idx="8">
                  <c:v>9.8819387523629496E-2</c:v>
                </c:pt>
                <c:pt idx="9">
                  <c:v>0.1250682873345936</c:v>
                </c:pt>
                <c:pt idx="10">
                  <c:v>0.1544052930056711</c:v>
                </c:pt>
                <c:pt idx="11">
                  <c:v>0.18683040453686203</c:v>
                </c:pt>
                <c:pt idx="12">
                  <c:v>0.2223436219281664</c:v>
                </c:pt>
                <c:pt idx="13">
                  <c:v>0.26094494517958411</c:v>
                </c:pt>
                <c:pt idx="14">
                  <c:v>0.30263437429111534</c:v>
                </c:pt>
                <c:pt idx="15">
                  <c:v>0.34741190926276</c:v>
                </c:pt>
                <c:pt idx="16">
                  <c:v>0.39527755009451798</c:v>
                </c:pt>
                <c:pt idx="17">
                  <c:v>0.4462312967863894</c:v>
                </c:pt>
                <c:pt idx="18">
                  <c:v>0.50027314933837441</c:v>
                </c:pt>
                <c:pt idx="19">
                  <c:v>0.55740310775047264</c:v>
                </c:pt>
                <c:pt idx="20">
                  <c:v>0.61762117202268441</c:v>
                </c:pt>
                <c:pt idx="21">
                  <c:v>0.6809273421550095</c:v>
                </c:pt>
                <c:pt idx="22">
                  <c:v>0.74732161814744813</c:v>
                </c:pt>
                <c:pt idx="23">
                  <c:v>0.81680399999999986</c:v>
                </c:pt>
                <c:pt idx="24">
                  <c:v>0.88937448771266558</c:v>
                </c:pt>
                <c:pt idx="25">
                  <c:v>0.96503308128544429</c:v>
                </c:pt>
                <c:pt idx="26">
                  <c:v>1.0437797807183364</c:v>
                </c:pt>
                <c:pt idx="27">
                  <c:v>1.1256145860113422</c:v>
                </c:pt>
                <c:pt idx="28">
                  <c:v>1.2105374971644614</c:v>
                </c:pt>
                <c:pt idx="29">
                  <c:v>1.2985485141776936</c:v>
                </c:pt>
                <c:pt idx="30">
                  <c:v>1.38964763705104</c:v>
                </c:pt>
                <c:pt idx="31">
                  <c:v>1.4838348657844993</c:v>
                </c:pt>
                <c:pt idx="32">
                  <c:v>1.5811102003780719</c:v>
                </c:pt>
                <c:pt idx="33">
                  <c:v>1.6814736408317585</c:v>
                </c:pt>
                <c:pt idx="34">
                  <c:v>1.7849251871455576</c:v>
                </c:pt>
                <c:pt idx="35">
                  <c:v>1.8914648393194704</c:v>
                </c:pt>
                <c:pt idx="36">
                  <c:v>2.0010925973534976</c:v>
                </c:pt>
                <c:pt idx="37">
                  <c:v>2.1138084612476371</c:v>
                </c:pt>
                <c:pt idx="38">
                  <c:v>2.2296124310018905</c:v>
                </c:pt>
                <c:pt idx="39">
                  <c:v>2.3485045066162571</c:v>
                </c:pt>
                <c:pt idx="40">
                  <c:v>2.4704846880907376</c:v>
                </c:pt>
                <c:pt idx="41">
                  <c:v>2.5955529754253313</c:v>
                </c:pt>
                <c:pt idx="42">
                  <c:v>2.723709368620038</c:v>
                </c:pt>
                <c:pt idx="43">
                  <c:v>2.8549538676748583</c:v>
                </c:pt>
                <c:pt idx="44">
                  <c:v>2.9892864725897925</c:v>
                </c:pt>
                <c:pt idx="45">
                  <c:v>3.1267071833648399</c:v>
                </c:pt>
                <c:pt idx="46">
                  <c:v>3.2672159999999995</c:v>
                </c:pt>
                <c:pt idx="47">
                  <c:v>3.4108129224952752</c:v>
                </c:pt>
                <c:pt idx="48">
                  <c:v>3.5574979508506623</c:v>
                </c:pt>
                <c:pt idx="49">
                  <c:v>3.7072710850661625</c:v>
                </c:pt>
                <c:pt idx="50">
                  <c:v>3.8601323251417772</c:v>
                </c:pt>
                <c:pt idx="51">
                  <c:v>4.0160816710775045</c:v>
                </c:pt>
                <c:pt idx="52">
                  <c:v>4.1751191228733457</c:v>
                </c:pt>
                <c:pt idx="53">
                  <c:v>4.3372446805293006</c:v>
                </c:pt>
                <c:pt idx="54">
                  <c:v>4.5024583440453689</c:v>
                </c:pt>
                <c:pt idx="55">
                  <c:v>4.67076011342155</c:v>
                </c:pt>
                <c:pt idx="56">
                  <c:v>4.8421499886578454</c:v>
                </c:pt>
                <c:pt idx="57">
                  <c:v>5.0166279697542535</c:v>
                </c:pt>
                <c:pt idx="58">
                  <c:v>5.1941940567107743</c:v>
                </c:pt>
                <c:pt idx="59">
                  <c:v>5.3748482495274095</c:v>
                </c:pt>
                <c:pt idx="60">
                  <c:v>5.55859054820416</c:v>
                </c:pt>
                <c:pt idx="61">
                  <c:v>5.7454209527410214</c:v>
                </c:pt>
                <c:pt idx="62">
                  <c:v>5.9353394631379972</c:v>
                </c:pt>
                <c:pt idx="63">
                  <c:v>6.1283460793950857</c:v>
                </c:pt>
                <c:pt idx="64">
                  <c:v>6.3244408015122877</c:v>
                </c:pt>
                <c:pt idx="65">
                  <c:v>6.5236236294896024</c:v>
                </c:pt>
                <c:pt idx="66">
                  <c:v>6.7258945633270342</c:v>
                </c:pt>
                <c:pt idx="67">
                  <c:v>6.9312536030245742</c:v>
                </c:pt>
                <c:pt idx="68">
                  <c:v>7.1397007485822304</c:v>
                </c:pt>
                <c:pt idx="69">
                  <c:v>7.3512360000000001</c:v>
                </c:pt>
                <c:pt idx="70">
                  <c:v>7.5658593572778816</c:v>
                </c:pt>
                <c:pt idx="71">
                  <c:v>7.7835708204158784</c:v>
                </c:pt>
                <c:pt idx="72">
                  <c:v>8.0043703894139906</c:v>
                </c:pt>
                <c:pt idx="73">
                  <c:v>8.2282580642722127</c:v>
                </c:pt>
                <c:pt idx="74">
                  <c:v>8.4552338449905484</c:v>
                </c:pt>
                <c:pt idx="75">
                  <c:v>8.6852977315689994</c:v>
                </c:pt>
                <c:pt idx="76">
                  <c:v>8.9184497240075622</c:v>
                </c:pt>
                <c:pt idx="77">
                  <c:v>9.1546898223062385</c:v>
                </c:pt>
                <c:pt idx="78">
                  <c:v>9.3940180264650284</c:v>
                </c:pt>
                <c:pt idx="79">
                  <c:v>9.6364343364839335</c:v>
                </c:pt>
                <c:pt idx="80">
                  <c:v>9.8819387523629505</c:v>
                </c:pt>
                <c:pt idx="81">
                  <c:v>10.130531274102079</c:v>
                </c:pt>
                <c:pt idx="82">
                  <c:v>10.382211901701325</c:v>
                </c:pt>
                <c:pt idx="83">
                  <c:v>10.636980635160683</c:v>
                </c:pt>
                <c:pt idx="84">
                  <c:v>10.894837474480152</c:v>
                </c:pt>
                <c:pt idx="85">
                  <c:v>11.15578241965974</c:v>
                </c:pt>
                <c:pt idx="86">
                  <c:v>11.419815470699433</c:v>
                </c:pt>
                <c:pt idx="87">
                  <c:v>11.686936627599243</c:v>
                </c:pt>
                <c:pt idx="88">
                  <c:v>11.95714589035917</c:v>
                </c:pt>
                <c:pt idx="89">
                  <c:v>12.230443258979207</c:v>
                </c:pt>
                <c:pt idx="90">
                  <c:v>12.50682873345936</c:v>
                </c:pt>
                <c:pt idx="91">
                  <c:v>12.78630231379962</c:v>
                </c:pt>
                <c:pt idx="92">
                  <c:v>13.068863999999998</c:v>
                </c:pt>
                <c:pt idx="93">
                  <c:v>13.354513792060491</c:v>
                </c:pt>
                <c:pt idx="94">
                  <c:v>13.643251689981101</c:v>
                </c:pt>
                <c:pt idx="95">
                  <c:v>13.935077693761814</c:v>
                </c:pt>
                <c:pt idx="96">
                  <c:v>14.229991803402649</c:v>
                </c:pt>
                <c:pt idx="97">
                  <c:v>14.527994018903591</c:v>
                </c:pt>
                <c:pt idx="98">
                  <c:v>14.82908434026465</c:v>
                </c:pt>
                <c:pt idx="99">
                  <c:v>15.133262767485823</c:v>
                </c:pt>
                <c:pt idx="100">
                  <c:v>15.440529300567109</c:v>
                </c:pt>
              </c:numCache>
            </c:numRef>
          </c:yVal>
          <c:smooth val="1"/>
          <c:extLst>
            <c:ext xmlns:c16="http://schemas.microsoft.com/office/drawing/2014/chart" uri="{C3380CC4-5D6E-409C-BE32-E72D297353CC}">
              <c16:uniqueId val="{00000006-1F98-4669-B27B-9CB36E467256}"/>
            </c:ext>
          </c:extLst>
        </c:ser>
        <c:ser>
          <c:idx val="7"/>
          <c:order val="4"/>
          <c:tx>
            <c:v>Plot 1 Saved MOSFET Losses</c:v>
          </c:tx>
          <c:spPr>
            <a:ln w="19050" cap="rnd">
              <a:solidFill>
                <a:schemeClr val="accent2"/>
              </a:solidFill>
              <a:prstDash val="dash"/>
              <a:round/>
            </a:ln>
            <a:effectLst/>
          </c:spPr>
          <c:marker>
            <c:symbol val="none"/>
          </c:marker>
          <c:xVal>
            <c:numRef>
              <c:f>'BQ2575X Design Calculator'!$AG$156:$AG$256</c:f>
              <c:numCache>
                <c:formatCode>General</c:formatCode>
                <c:ptCount val="101"/>
                <c:pt idx="0">
                  <c:v>0</c:v>
                </c:pt>
                <c:pt idx="1">
                  <c:v>0.36</c:v>
                </c:pt>
                <c:pt idx="2">
                  <c:v>0.72</c:v>
                </c:pt>
                <c:pt idx="3">
                  <c:v>1.08</c:v>
                </c:pt>
                <c:pt idx="4">
                  <c:v>1.44</c:v>
                </c:pt>
                <c:pt idx="5">
                  <c:v>1.8</c:v>
                </c:pt>
                <c:pt idx="6">
                  <c:v>2.16</c:v>
                </c:pt>
                <c:pt idx="7">
                  <c:v>2.52</c:v>
                </c:pt>
                <c:pt idx="8">
                  <c:v>2.88</c:v>
                </c:pt>
                <c:pt idx="9">
                  <c:v>3.24</c:v>
                </c:pt>
                <c:pt idx="10">
                  <c:v>3.6</c:v>
                </c:pt>
                <c:pt idx="11">
                  <c:v>3.96</c:v>
                </c:pt>
                <c:pt idx="12">
                  <c:v>4.32</c:v>
                </c:pt>
                <c:pt idx="13">
                  <c:v>4.68</c:v>
                </c:pt>
                <c:pt idx="14">
                  <c:v>5.04</c:v>
                </c:pt>
                <c:pt idx="15">
                  <c:v>5.4</c:v>
                </c:pt>
                <c:pt idx="16">
                  <c:v>5.76</c:v>
                </c:pt>
                <c:pt idx="17">
                  <c:v>6.12</c:v>
                </c:pt>
                <c:pt idx="18">
                  <c:v>6.48</c:v>
                </c:pt>
                <c:pt idx="19">
                  <c:v>6.84</c:v>
                </c:pt>
                <c:pt idx="20">
                  <c:v>7.2</c:v>
                </c:pt>
                <c:pt idx="21">
                  <c:v>7.56</c:v>
                </c:pt>
                <c:pt idx="22">
                  <c:v>7.92</c:v>
                </c:pt>
                <c:pt idx="23">
                  <c:v>8.2799999999999994</c:v>
                </c:pt>
                <c:pt idx="24">
                  <c:v>8.64</c:v>
                </c:pt>
                <c:pt idx="25">
                  <c:v>9</c:v>
                </c:pt>
                <c:pt idx="26">
                  <c:v>9.36</c:v>
                </c:pt>
                <c:pt idx="27">
                  <c:v>9.7200000000000006</c:v>
                </c:pt>
                <c:pt idx="28">
                  <c:v>10.08</c:v>
                </c:pt>
                <c:pt idx="29">
                  <c:v>10.44</c:v>
                </c:pt>
                <c:pt idx="30">
                  <c:v>10.8</c:v>
                </c:pt>
                <c:pt idx="31">
                  <c:v>11.16</c:v>
                </c:pt>
                <c:pt idx="32">
                  <c:v>11.52</c:v>
                </c:pt>
                <c:pt idx="33">
                  <c:v>11.88</c:v>
                </c:pt>
                <c:pt idx="34">
                  <c:v>12.24</c:v>
                </c:pt>
                <c:pt idx="35">
                  <c:v>12.6</c:v>
                </c:pt>
                <c:pt idx="36">
                  <c:v>12.96</c:v>
                </c:pt>
                <c:pt idx="37">
                  <c:v>13.32</c:v>
                </c:pt>
                <c:pt idx="38">
                  <c:v>13.68</c:v>
                </c:pt>
                <c:pt idx="39">
                  <c:v>14.04</c:v>
                </c:pt>
                <c:pt idx="40">
                  <c:v>14.4</c:v>
                </c:pt>
                <c:pt idx="41">
                  <c:v>14.76</c:v>
                </c:pt>
                <c:pt idx="42">
                  <c:v>15.12</c:v>
                </c:pt>
                <c:pt idx="43">
                  <c:v>15.48</c:v>
                </c:pt>
                <c:pt idx="44">
                  <c:v>15.84</c:v>
                </c:pt>
                <c:pt idx="45">
                  <c:v>16.2</c:v>
                </c:pt>
                <c:pt idx="46">
                  <c:v>16.559999999999999</c:v>
                </c:pt>
                <c:pt idx="47">
                  <c:v>16.920000000000002</c:v>
                </c:pt>
                <c:pt idx="48">
                  <c:v>17.28</c:v>
                </c:pt>
                <c:pt idx="49">
                  <c:v>17.64</c:v>
                </c:pt>
                <c:pt idx="50">
                  <c:v>18</c:v>
                </c:pt>
                <c:pt idx="51">
                  <c:v>18.36</c:v>
                </c:pt>
                <c:pt idx="52">
                  <c:v>18.72</c:v>
                </c:pt>
                <c:pt idx="53">
                  <c:v>19.079999999999998</c:v>
                </c:pt>
                <c:pt idx="54">
                  <c:v>19.440000000000001</c:v>
                </c:pt>
                <c:pt idx="55">
                  <c:v>19.8</c:v>
                </c:pt>
                <c:pt idx="56">
                  <c:v>20.16</c:v>
                </c:pt>
                <c:pt idx="57">
                  <c:v>20.52</c:v>
                </c:pt>
                <c:pt idx="58">
                  <c:v>20.88</c:v>
                </c:pt>
                <c:pt idx="59">
                  <c:v>21.24</c:v>
                </c:pt>
                <c:pt idx="60">
                  <c:v>21.6</c:v>
                </c:pt>
                <c:pt idx="61">
                  <c:v>21.96</c:v>
                </c:pt>
                <c:pt idx="62">
                  <c:v>22.32</c:v>
                </c:pt>
                <c:pt idx="63">
                  <c:v>22.68</c:v>
                </c:pt>
                <c:pt idx="64">
                  <c:v>23.04</c:v>
                </c:pt>
                <c:pt idx="65">
                  <c:v>23.4</c:v>
                </c:pt>
                <c:pt idx="66">
                  <c:v>23.76</c:v>
                </c:pt>
                <c:pt idx="67">
                  <c:v>24.12</c:v>
                </c:pt>
                <c:pt idx="68">
                  <c:v>24.48</c:v>
                </c:pt>
                <c:pt idx="69">
                  <c:v>24.84</c:v>
                </c:pt>
                <c:pt idx="70">
                  <c:v>25.2</c:v>
                </c:pt>
                <c:pt idx="71">
                  <c:v>25.56</c:v>
                </c:pt>
                <c:pt idx="72">
                  <c:v>25.92</c:v>
                </c:pt>
                <c:pt idx="73">
                  <c:v>26.28</c:v>
                </c:pt>
                <c:pt idx="74">
                  <c:v>26.64</c:v>
                </c:pt>
                <c:pt idx="75">
                  <c:v>27</c:v>
                </c:pt>
                <c:pt idx="76">
                  <c:v>27.36</c:v>
                </c:pt>
                <c:pt idx="77">
                  <c:v>27.72</c:v>
                </c:pt>
                <c:pt idx="78">
                  <c:v>28.08</c:v>
                </c:pt>
                <c:pt idx="79">
                  <c:v>28.44</c:v>
                </c:pt>
                <c:pt idx="80">
                  <c:v>28.8</c:v>
                </c:pt>
                <c:pt idx="81">
                  <c:v>29.16</c:v>
                </c:pt>
                <c:pt idx="82">
                  <c:v>29.52</c:v>
                </c:pt>
                <c:pt idx="83">
                  <c:v>29.88</c:v>
                </c:pt>
                <c:pt idx="84">
                  <c:v>30.24</c:v>
                </c:pt>
                <c:pt idx="85">
                  <c:v>30.6</c:v>
                </c:pt>
                <c:pt idx="86">
                  <c:v>30.96</c:v>
                </c:pt>
                <c:pt idx="87">
                  <c:v>31.32</c:v>
                </c:pt>
                <c:pt idx="88">
                  <c:v>31.68</c:v>
                </c:pt>
                <c:pt idx="89">
                  <c:v>32.04</c:v>
                </c:pt>
                <c:pt idx="90">
                  <c:v>32.4</c:v>
                </c:pt>
                <c:pt idx="91">
                  <c:v>32.76</c:v>
                </c:pt>
                <c:pt idx="92">
                  <c:v>33.119999999999997</c:v>
                </c:pt>
                <c:pt idx="93">
                  <c:v>33.479999999999997</c:v>
                </c:pt>
                <c:pt idx="94">
                  <c:v>33.840000000000003</c:v>
                </c:pt>
                <c:pt idx="95">
                  <c:v>34.200000000000003</c:v>
                </c:pt>
                <c:pt idx="96">
                  <c:v>34.56</c:v>
                </c:pt>
                <c:pt idx="97">
                  <c:v>34.92</c:v>
                </c:pt>
                <c:pt idx="98">
                  <c:v>35.28</c:v>
                </c:pt>
                <c:pt idx="99">
                  <c:v>35.64</c:v>
                </c:pt>
                <c:pt idx="100">
                  <c:v>36</c:v>
                </c:pt>
              </c:numCache>
            </c:numRef>
          </c:xVal>
          <c:yVal>
            <c:numRef>
              <c:f>'BQ2575X Design Calculator'!$CY$156:$CY$256</c:f>
              <c:numCache>
                <c:formatCode>0.00</c:formatCode>
                <c:ptCount val="101"/>
                <c:pt idx="0">
                  <c:v>2.0948460074208497</c:v>
                </c:pt>
                <c:pt idx="1">
                  <c:v>2.1080991756587775</c:v>
                </c:pt>
                <c:pt idx="2">
                  <c:v>2.1225978697772123</c:v>
                </c:pt>
                <c:pt idx="3">
                  <c:v>2.1370863193167717</c:v>
                </c:pt>
                <c:pt idx="4">
                  <c:v>2.1515646835448594</c:v>
                </c:pt>
                <c:pt idx="5">
                  <c:v>2.166033120719014</c:v>
                </c:pt>
                <c:pt idx="6">
                  <c:v>2.1804917880948955</c:v>
                </c:pt>
                <c:pt idx="7">
                  <c:v>2.194940841934208</c:v>
                </c:pt>
                <c:pt idx="8">
                  <c:v>2.2093804375125301</c:v>
                </c:pt>
                <c:pt idx="9">
                  <c:v>2.2238107291270937</c:v>
                </c:pt>
                <c:pt idx="10">
                  <c:v>2.238231870104467</c:v>
                </c:pt>
                <c:pt idx="11">
                  <c:v>2.2526440128081839</c:v>
                </c:pt>
                <c:pt idx="12">
                  <c:v>2.2670473086462888</c:v>
                </c:pt>
                <c:pt idx="13">
                  <c:v>2.2814419080788153</c:v>
                </c:pt>
                <c:pt idx="14">
                  <c:v>2.2958279606251968</c:v>
                </c:pt>
                <c:pt idx="15">
                  <c:v>2.3102056148716028</c:v>
                </c:pt>
                <c:pt idx="16">
                  <c:v>2.3245750184782126</c:v>
                </c:pt>
                <c:pt idx="17">
                  <c:v>2.338936318186414</c:v>
                </c:pt>
                <c:pt idx="18">
                  <c:v>2.3532896598259416</c:v>
                </c:pt>
                <c:pt idx="19">
                  <c:v>2.3676351883219451</c:v>
                </c:pt>
                <c:pt idx="20">
                  <c:v>2.3819730477019911</c:v>
                </c:pt>
                <c:pt idx="21">
                  <c:v>2.3963033811030048</c:v>
                </c:pt>
                <c:pt idx="22">
                  <c:v>2.410626330778141</c:v>
                </c:pt>
                <c:pt idx="23">
                  <c:v>2.4249420381035942</c:v>
                </c:pt>
                <c:pt idx="24">
                  <c:v>2.4392506435853516</c:v>
                </c:pt>
                <c:pt idx="25">
                  <c:v>2.4535522868658717</c:v>
                </c:pt>
                <c:pt idx="26">
                  <c:v>2.4678471067307117</c:v>
                </c:pt>
                <c:pt idx="27">
                  <c:v>2.4821352411150923</c:v>
                </c:pt>
                <c:pt idx="28">
                  <c:v>2.4964168271103957</c:v>
                </c:pt>
                <c:pt idx="29">
                  <c:v>2.5106920009706131</c:v>
                </c:pt>
                <c:pt idx="30">
                  <c:v>2.5249608981187275</c:v>
                </c:pt>
                <c:pt idx="31">
                  <c:v>2.5392236531530386</c:v>
                </c:pt>
                <c:pt idx="32">
                  <c:v>2.553480399853433</c:v>
                </c:pt>
                <c:pt idx="33">
                  <c:v>2.5677312711875939</c:v>
                </c:pt>
                <c:pt idx="34">
                  <c:v>2.5819763993171563</c:v>
                </c:pt>
                <c:pt idx="35">
                  <c:v>2.5962159156038074</c:v>
                </c:pt>
                <c:pt idx="36">
                  <c:v>2.610449950615326</c:v>
                </c:pt>
                <c:pt idx="37">
                  <c:v>2.6246786341315764</c:v>
                </c:pt>
                <c:pt idx="38">
                  <c:v>2.6389020951504389</c:v>
                </c:pt>
                <c:pt idx="39">
                  <c:v>2.6531204618936939</c:v>
                </c:pt>
                <c:pt idx="40">
                  <c:v>2.6673338618128484</c:v>
                </c:pt>
                <c:pt idx="41">
                  <c:v>2.6815424215949113</c:v>
                </c:pt>
                <c:pt idx="42">
                  <c:v>2.6957462671681194</c:v>
                </c:pt>
                <c:pt idx="43">
                  <c:v>2.7099455237076078</c:v>
                </c:pt>
                <c:pt idx="44">
                  <c:v>2.7241403156410313</c:v>
                </c:pt>
                <c:pt idx="45">
                  <c:v>2.7383307666541401</c:v>
                </c:pt>
                <c:pt idx="46">
                  <c:v>2.7525169996962933</c:v>
                </c:pt>
                <c:pt idx="47">
                  <c:v>2.7666991369859386</c:v>
                </c:pt>
                <c:pt idx="48">
                  <c:v>2.7808773000160341</c:v>
                </c:pt>
                <c:pt idx="49">
                  <c:v>2.7950516095594211</c:v>
                </c:pt>
                <c:pt idx="50">
                  <c:v>2.8092221856741553</c:v>
                </c:pt>
                <c:pt idx="51">
                  <c:v>2.8233891477087827</c:v>
                </c:pt>
                <c:pt idx="52">
                  <c:v>2.8375526143075809</c:v>
                </c:pt>
                <c:pt idx="53">
                  <c:v>2.8517127034157386</c:v>
                </c:pt>
                <c:pt idx="54">
                  <c:v>2.8658695322845</c:v>
                </c:pt>
                <c:pt idx="55">
                  <c:v>2.8800232174762646</c:v>
                </c:pt>
                <c:pt idx="56">
                  <c:v>2.8941738748696335</c:v>
                </c:pt>
                <c:pt idx="57">
                  <c:v>2.9083216196644202</c:v>
                </c:pt>
                <c:pt idx="58">
                  <c:v>2.9224665663866127</c:v>
                </c:pt>
                <c:pt idx="59">
                  <c:v>2.9366088288932914</c:v>
                </c:pt>
                <c:pt idx="60">
                  <c:v>2.9507485203775095</c:v>
                </c:pt>
                <c:pt idx="61">
                  <c:v>2.9648857533731237</c:v>
                </c:pt>
                <c:pt idx="62">
                  <c:v>2.9790206397595886</c:v>
                </c:pt>
                <c:pt idx="63">
                  <c:v>2.9931532907667027</c:v>
                </c:pt>
                <c:pt idx="64">
                  <c:v>3.0072838169793248</c:v>
                </c:pt>
                <c:pt idx="65">
                  <c:v>3.0214123283420347</c:v>
                </c:pt>
                <c:pt idx="66">
                  <c:v>3.0355389341637631</c:v>
                </c:pt>
                <c:pt idx="67">
                  <c:v>3.049663743122379</c:v>
                </c:pt>
                <c:pt idx="68">
                  <c:v>3.0637868632692409</c:v>
                </c:pt>
                <c:pt idx="69">
                  <c:v>3.0779084020336969</c:v>
                </c:pt>
                <c:pt idx="70">
                  <c:v>3.0920284662275646</c:v>
                </c:pt>
                <c:pt idx="71">
                  <c:v>3.1061471620495542</c:v>
                </c:pt>
                <c:pt idx="72">
                  <c:v>3.1202645950896644</c:v>
                </c:pt>
                <c:pt idx="73">
                  <c:v>3.1343808703335378</c:v>
                </c:pt>
                <c:pt idx="74">
                  <c:v>3.1484960921667788</c:v>
                </c:pt>
                <c:pt idx="75">
                  <c:v>3.1626103643792356</c:v>
                </c:pt>
                <c:pt idx="76">
                  <c:v>3.1767237901692416</c:v>
                </c:pt>
                <c:pt idx="77">
                  <c:v>3.1908364721478266</c:v>
                </c:pt>
                <c:pt idx="78">
                  <c:v>3.2049485123428858</c:v>
                </c:pt>
                <c:pt idx="79">
                  <c:v>3.2190600122033213</c:v>
                </c:pt>
                <c:pt idx="80">
                  <c:v>3.2331710726031386</c:v>
                </c:pt>
                <c:pt idx="81">
                  <c:v>3.2472817938455174</c:v>
                </c:pt>
                <c:pt idx="82">
                  <c:v>3.2613922756668412</c:v>
                </c:pt>
                <c:pt idx="83">
                  <c:v>3.2755026172406967</c:v>
                </c:pt>
                <c:pt idx="84">
                  <c:v>3.2896129171818393</c:v>
                </c:pt>
                <c:pt idx="85">
                  <c:v>3.3037232735501192</c:v>
                </c:pt>
                <c:pt idx="86">
                  <c:v>3.3178337838543857</c:v>
                </c:pt>
                <c:pt idx="87">
                  <c:v>3.3319445450563481</c:v>
                </c:pt>
                <c:pt idx="88">
                  <c:v>3.346055653574409</c:v>
                </c:pt>
                <c:pt idx="89">
                  <c:v>3.3601672052874649</c:v>
                </c:pt>
                <c:pt idx="90">
                  <c:v>3.3742792955386745</c:v>
                </c:pt>
                <c:pt idx="91">
                  <c:v>3.3883920191391952</c:v>
                </c:pt>
                <c:pt idx="92">
                  <c:v>3.40250547037189</c:v>
                </c:pt>
                <c:pt idx="93">
                  <c:v>3.4166197429950005</c:v>
                </c:pt>
                <c:pt idx="94">
                  <c:v>3.4307349302457943</c:v>
                </c:pt>
                <c:pt idx="95">
                  <c:v>3.4448511248441718</c:v>
                </c:pt>
                <c:pt idx="96">
                  <c:v>3.4589684189962591</c:v>
                </c:pt>
                <c:pt idx="97">
                  <c:v>3.4730869043979551</c:v>
                </c:pt>
                <c:pt idx="98">
                  <c:v>3.4872066722384587</c:v>
                </c:pt>
                <c:pt idx="99">
                  <c:v>3.5013278132037651</c:v>
                </c:pt>
                <c:pt idx="100">
                  <c:v>3.5154504174801295</c:v>
                </c:pt>
              </c:numCache>
            </c:numRef>
          </c:yVal>
          <c:smooth val="1"/>
          <c:extLst>
            <c:ext xmlns:c16="http://schemas.microsoft.com/office/drawing/2014/chart" uri="{C3380CC4-5D6E-409C-BE32-E72D297353CC}">
              <c16:uniqueId val="{00000007-1F98-4669-B27B-9CB36E467256}"/>
            </c:ext>
          </c:extLst>
        </c:ser>
        <c:ser>
          <c:idx val="3"/>
          <c:order val="6"/>
          <c:tx>
            <c:v>Plot 2 Sense Loss</c:v>
          </c:tx>
          <c:spPr>
            <a:ln w="19050" cap="rnd">
              <a:solidFill>
                <a:srgbClr val="00B0F0"/>
              </a:solidFill>
              <a:round/>
            </a:ln>
            <a:effectLst/>
          </c:spPr>
          <c:marker>
            <c:symbol val="none"/>
          </c:marker>
          <c:xVal>
            <c:numRef>
              <c:f>'BQ2575X Design Calculator'!$AG$156:$AG$256</c:f>
              <c:numCache>
                <c:formatCode>General</c:formatCode>
                <c:ptCount val="101"/>
                <c:pt idx="0">
                  <c:v>0</c:v>
                </c:pt>
                <c:pt idx="1">
                  <c:v>0.36</c:v>
                </c:pt>
                <c:pt idx="2">
                  <c:v>0.72</c:v>
                </c:pt>
                <c:pt idx="3">
                  <c:v>1.08</c:v>
                </c:pt>
                <c:pt idx="4">
                  <c:v>1.44</c:v>
                </c:pt>
                <c:pt idx="5">
                  <c:v>1.8</c:v>
                </c:pt>
                <c:pt idx="6">
                  <c:v>2.16</c:v>
                </c:pt>
                <c:pt idx="7">
                  <c:v>2.52</c:v>
                </c:pt>
                <c:pt idx="8">
                  <c:v>2.88</c:v>
                </c:pt>
                <c:pt idx="9">
                  <c:v>3.24</c:v>
                </c:pt>
                <c:pt idx="10">
                  <c:v>3.6</c:v>
                </c:pt>
                <c:pt idx="11">
                  <c:v>3.96</c:v>
                </c:pt>
                <c:pt idx="12">
                  <c:v>4.32</c:v>
                </c:pt>
                <c:pt idx="13">
                  <c:v>4.68</c:v>
                </c:pt>
                <c:pt idx="14">
                  <c:v>5.04</c:v>
                </c:pt>
                <c:pt idx="15">
                  <c:v>5.4</c:v>
                </c:pt>
                <c:pt idx="16">
                  <c:v>5.76</c:v>
                </c:pt>
                <c:pt idx="17">
                  <c:v>6.12</c:v>
                </c:pt>
                <c:pt idx="18">
                  <c:v>6.48</c:v>
                </c:pt>
                <c:pt idx="19">
                  <c:v>6.84</c:v>
                </c:pt>
                <c:pt idx="20">
                  <c:v>7.2</c:v>
                </c:pt>
                <c:pt idx="21">
                  <c:v>7.56</c:v>
                </c:pt>
                <c:pt idx="22">
                  <c:v>7.92</c:v>
                </c:pt>
                <c:pt idx="23">
                  <c:v>8.2799999999999994</c:v>
                </c:pt>
                <c:pt idx="24">
                  <c:v>8.64</c:v>
                </c:pt>
                <c:pt idx="25">
                  <c:v>9</c:v>
                </c:pt>
                <c:pt idx="26">
                  <c:v>9.36</c:v>
                </c:pt>
                <c:pt idx="27">
                  <c:v>9.7200000000000006</c:v>
                </c:pt>
                <c:pt idx="28">
                  <c:v>10.08</c:v>
                </c:pt>
                <c:pt idx="29">
                  <c:v>10.44</c:v>
                </c:pt>
                <c:pt idx="30">
                  <c:v>10.8</c:v>
                </c:pt>
                <c:pt idx="31">
                  <c:v>11.16</c:v>
                </c:pt>
                <c:pt idx="32">
                  <c:v>11.52</c:v>
                </c:pt>
                <c:pt idx="33">
                  <c:v>11.88</c:v>
                </c:pt>
                <c:pt idx="34">
                  <c:v>12.24</c:v>
                </c:pt>
                <c:pt idx="35">
                  <c:v>12.6</c:v>
                </c:pt>
                <c:pt idx="36">
                  <c:v>12.96</c:v>
                </c:pt>
                <c:pt idx="37">
                  <c:v>13.32</c:v>
                </c:pt>
                <c:pt idx="38">
                  <c:v>13.68</c:v>
                </c:pt>
                <c:pt idx="39">
                  <c:v>14.04</c:v>
                </c:pt>
                <c:pt idx="40">
                  <c:v>14.4</c:v>
                </c:pt>
                <c:pt idx="41">
                  <c:v>14.76</c:v>
                </c:pt>
                <c:pt idx="42">
                  <c:v>15.12</c:v>
                </c:pt>
                <c:pt idx="43">
                  <c:v>15.48</c:v>
                </c:pt>
                <c:pt idx="44">
                  <c:v>15.84</c:v>
                </c:pt>
                <c:pt idx="45">
                  <c:v>16.2</c:v>
                </c:pt>
                <c:pt idx="46">
                  <c:v>16.559999999999999</c:v>
                </c:pt>
                <c:pt idx="47">
                  <c:v>16.920000000000002</c:v>
                </c:pt>
                <c:pt idx="48">
                  <c:v>17.28</c:v>
                </c:pt>
                <c:pt idx="49">
                  <c:v>17.64</c:v>
                </c:pt>
                <c:pt idx="50">
                  <c:v>18</c:v>
                </c:pt>
                <c:pt idx="51">
                  <c:v>18.36</c:v>
                </c:pt>
                <c:pt idx="52">
                  <c:v>18.72</c:v>
                </c:pt>
                <c:pt idx="53">
                  <c:v>19.079999999999998</c:v>
                </c:pt>
                <c:pt idx="54">
                  <c:v>19.440000000000001</c:v>
                </c:pt>
                <c:pt idx="55">
                  <c:v>19.8</c:v>
                </c:pt>
                <c:pt idx="56">
                  <c:v>20.16</c:v>
                </c:pt>
                <c:pt idx="57">
                  <c:v>20.52</c:v>
                </c:pt>
                <c:pt idx="58">
                  <c:v>20.88</c:v>
                </c:pt>
                <c:pt idx="59">
                  <c:v>21.24</c:v>
                </c:pt>
                <c:pt idx="60">
                  <c:v>21.6</c:v>
                </c:pt>
                <c:pt idx="61">
                  <c:v>21.96</c:v>
                </c:pt>
                <c:pt idx="62">
                  <c:v>22.32</c:v>
                </c:pt>
                <c:pt idx="63">
                  <c:v>22.68</c:v>
                </c:pt>
                <c:pt idx="64">
                  <c:v>23.04</c:v>
                </c:pt>
                <c:pt idx="65">
                  <c:v>23.4</c:v>
                </c:pt>
                <c:pt idx="66">
                  <c:v>23.76</c:v>
                </c:pt>
                <c:pt idx="67">
                  <c:v>24.12</c:v>
                </c:pt>
                <c:pt idx="68">
                  <c:v>24.48</c:v>
                </c:pt>
                <c:pt idx="69">
                  <c:v>24.84</c:v>
                </c:pt>
                <c:pt idx="70">
                  <c:v>25.2</c:v>
                </c:pt>
                <c:pt idx="71">
                  <c:v>25.56</c:v>
                </c:pt>
                <c:pt idx="72">
                  <c:v>25.92</c:v>
                </c:pt>
                <c:pt idx="73">
                  <c:v>26.28</c:v>
                </c:pt>
                <c:pt idx="74">
                  <c:v>26.64</c:v>
                </c:pt>
                <c:pt idx="75">
                  <c:v>27</c:v>
                </c:pt>
                <c:pt idx="76">
                  <c:v>27.36</c:v>
                </c:pt>
                <c:pt idx="77">
                  <c:v>27.72</c:v>
                </c:pt>
                <c:pt idx="78">
                  <c:v>28.08</c:v>
                </c:pt>
                <c:pt idx="79">
                  <c:v>28.44</c:v>
                </c:pt>
                <c:pt idx="80">
                  <c:v>28.8</c:v>
                </c:pt>
                <c:pt idx="81">
                  <c:v>29.16</c:v>
                </c:pt>
                <c:pt idx="82">
                  <c:v>29.52</c:v>
                </c:pt>
                <c:pt idx="83">
                  <c:v>29.88</c:v>
                </c:pt>
                <c:pt idx="84">
                  <c:v>30.24</c:v>
                </c:pt>
                <c:pt idx="85">
                  <c:v>30.6</c:v>
                </c:pt>
                <c:pt idx="86">
                  <c:v>30.96</c:v>
                </c:pt>
                <c:pt idx="87">
                  <c:v>31.32</c:v>
                </c:pt>
                <c:pt idx="88">
                  <c:v>31.68</c:v>
                </c:pt>
                <c:pt idx="89">
                  <c:v>32.04</c:v>
                </c:pt>
                <c:pt idx="90">
                  <c:v>32.4</c:v>
                </c:pt>
                <c:pt idx="91">
                  <c:v>32.76</c:v>
                </c:pt>
                <c:pt idx="92">
                  <c:v>33.119999999999997</c:v>
                </c:pt>
                <c:pt idx="93">
                  <c:v>33.479999999999997</c:v>
                </c:pt>
                <c:pt idx="94">
                  <c:v>33.840000000000003</c:v>
                </c:pt>
                <c:pt idx="95">
                  <c:v>34.200000000000003</c:v>
                </c:pt>
                <c:pt idx="96">
                  <c:v>34.56</c:v>
                </c:pt>
                <c:pt idx="97">
                  <c:v>34.92</c:v>
                </c:pt>
                <c:pt idx="98">
                  <c:v>35.28</c:v>
                </c:pt>
                <c:pt idx="99">
                  <c:v>35.64</c:v>
                </c:pt>
                <c:pt idx="100">
                  <c:v>36</c:v>
                </c:pt>
              </c:numCache>
            </c:numRef>
          </c:xVal>
          <c:yVal>
            <c:numRef>
              <c:f>'BQ2575X Design Calculator'!$CT$156:$CT$256</c:f>
              <c:numCache>
                <c:formatCode>0.00</c:formatCode>
                <c:ptCount val="101"/>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pt idx="77">
                  <c:v>-100</c:v>
                </c:pt>
                <c:pt idx="78">
                  <c:v>-100</c:v>
                </c:pt>
                <c:pt idx="79">
                  <c:v>-100</c:v>
                </c:pt>
                <c:pt idx="80">
                  <c:v>-100</c:v>
                </c:pt>
                <c:pt idx="81">
                  <c:v>-100</c:v>
                </c:pt>
                <c:pt idx="82">
                  <c:v>-100</c:v>
                </c:pt>
                <c:pt idx="83">
                  <c:v>-100</c:v>
                </c:pt>
                <c:pt idx="84">
                  <c:v>-100</c:v>
                </c:pt>
                <c:pt idx="85">
                  <c:v>-100</c:v>
                </c:pt>
                <c:pt idx="86">
                  <c:v>-100</c:v>
                </c:pt>
                <c:pt idx="87">
                  <c:v>-100</c:v>
                </c:pt>
                <c:pt idx="88">
                  <c:v>-100</c:v>
                </c:pt>
                <c:pt idx="89">
                  <c:v>-100</c:v>
                </c:pt>
                <c:pt idx="90">
                  <c:v>-100</c:v>
                </c:pt>
                <c:pt idx="91">
                  <c:v>-100</c:v>
                </c:pt>
                <c:pt idx="92">
                  <c:v>-100</c:v>
                </c:pt>
                <c:pt idx="93">
                  <c:v>-100</c:v>
                </c:pt>
                <c:pt idx="94">
                  <c:v>-100</c:v>
                </c:pt>
                <c:pt idx="95">
                  <c:v>-100</c:v>
                </c:pt>
                <c:pt idx="96">
                  <c:v>-100</c:v>
                </c:pt>
                <c:pt idx="97">
                  <c:v>-100</c:v>
                </c:pt>
                <c:pt idx="98">
                  <c:v>-100</c:v>
                </c:pt>
                <c:pt idx="99">
                  <c:v>-100</c:v>
                </c:pt>
                <c:pt idx="100">
                  <c:v>-100</c:v>
                </c:pt>
              </c:numCache>
            </c:numRef>
          </c:yVal>
          <c:smooth val="1"/>
          <c:extLst>
            <c:ext xmlns:c16="http://schemas.microsoft.com/office/drawing/2014/chart" uri="{C3380CC4-5D6E-409C-BE32-E72D297353CC}">
              <c16:uniqueId val="{00000003-1F98-4669-B27B-9CB36E467256}"/>
            </c:ext>
          </c:extLst>
        </c:ser>
        <c:ser>
          <c:idx val="4"/>
          <c:order val="7"/>
          <c:tx>
            <c:v>Plot 2 MOSFET Losses</c:v>
          </c:tx>
          <c:spPr>
            <a:ln w="19050" cap="rnd">
              <a:solidFill>
                <a:srgbClr val="0070C0"/>
              </a:solidFill>
              <a:round/>
            </a:ln>
            <a:effectLst/>
          </c:spPr>
          <c:marker>
            <c:symbol val="none"/>
          </c:marker>
          <c:xVal>
            <c:numRef>
              <c:f>'BQ2575X Design Calculator'!$AG$156:$AG$256</c:f>
              <c:numCache>
                <c:formatCode>General</c:formatCode>
                <c:ptCount val="101"/>
                <c:pt idx="0">
                  <c:v>0</c:v>
                </c:pt>
                <c:pt idx="1">
                  <c:v>0.36</c:v>
                </c:pt>
                <c:pt idx="2">
                  <c:v>0.72</c:v>
                </c:pt>
                <c:pt idx="3">
                  <c:v>1.08</c:v>
                </c:pt>
                <c:pt idx="4">
                  <c:v>1.44</c:v>
                </c:pt>
                <c:pt idx="5">
                  <c:v>1.8</c:v>
                </c:pt>
                <c:pt idx="6">
                  <c:v>2.16</c:v>
                </c:pt>
                <c:pt idx="7">
                  <c:v>2.52</c:v>
                </c:pt>
                <c:pt idx="8">
                  <c:v>2.88</c:v>
                </c:pt>
                <c:pt idx="9">
                  <c:v>3.24</c:v>
                </c:pt>
                <c:pt idx="10">
                  <c:v>3.6</c:v>
                </c:pt>
                <c:pt idx="11">
                  <c:v>3.96</c:v>
                </c:pt>
                <c:pt idx="12">
                  <c:v>4.32</c:v>
                </c:pt>
                <c:pt idx="13">
                  <c:v>4.68</c:v>
                </c:pt>
                <c:pt idx="14">
                  <c:v>5.04</c:v>
                </c:pt>
                <c:pt idx="15">
                  <c:v>5.4</c:v>
                </c:pt>
                <c:pt idx="16">
                  <c:v>5.76</c:v>
                </c:pt>
                <c:pt idx="17">
                  <c:v>6.12</c:v>
                </c:pt>
                <c:pt idx="18">
                  <c:v>6.48</c:v>
                </c:pt>
                <c:pt idx="19">
                  <c:v>6.84</c:v>
                </c:pt>
                <c:pt idx="20">
                  <c:v>7.2</c:v>
                </c:pt>
                <c:pt idx="21">
                  <c:v>7.56</c:v>
                </c:pt>
                <c:pt idx="22">
                  <c:v>7.92</c:v>
                </c:pt>
                <c:pt idx="23">
                  <c:v>8.2799999999999994</c:v>
                </c:pt>
                <c:pt idx="24">
                  <c:v>8.64</c:v>
                </c:pt>
                <c:pt idx="25">
                  <c:v>9</c:v>
                </c:pt>
                <c:pt idx="26">
                  <c:v>9.36</c:v>
                </c:pt>
                <c:pt idx="27">
                  <c:v>9.7200000000000006</c:v>
                </c:pt>
                <c:pt idx="28">
                  <c:v>10.08</c:v>
                </c:pt>
                <c:pt idx="29">
                  <c:v>10.44</c:v>
                </c:pt>
                <c:pt idx="30">
                  <c:v>10.8</c:v>
                </c:pt>
                <c:pt idx="31">
                  <c:v>11.16</c:v>
                </c:pt>
                <c:pt idx="32">
                  <c:v>11.52</c:v>
                </c:pt>
                <c:pt idx="33">
                  <c:v>11.88</c:v>
                </c:pt>
                <c:pt idx="34">
                  <c:v>12.24</c:v>
                </c:pt>
                <c:pt idx="35">
                  <c:v>12.6</c:v>
                </c:pt>
                <c:pt idx="36">
                  <c:v>12.96</c:v>
                </c:pt>
                <c:pt idx="37">
                  <c:v>13.32</c:v>
                </c:pt>
                <c:pt idx="38">
                  <c:v>13.68</c:v>
                </c:pt>
                <c:pt idx="39">
                  <c:v>14.04</c:v>
                </c:pt>
                <c:pt idx="40">
                  <c:v>14.4</c:v>
                </c:pt>
                <c:pt idx="41">
                  <c:v>14.76</c:v>
                </c:pt>
                <c:pt idx="42">
                  <c:v>15.12</c:v>
                </c:pt>
                <c:pt idx="43">
                  <c:v>15.48</c:v>
                </c:pt>
                <c:pt idx="44">
                  <c:v>15.84</c:v>
                </c:pt>
                <c:pt idx="45">
                  <c:v>16.2</c:v>
                </c:pt>
                <c:pt idx="46">
                  <c:v>16.559999999999999</c:v>
                </c:pt>
                <c:pt idx="47">
                  <c:v>16.920000000000002</c:v>
                </c:pt>
                <c:pt idx="48">
                  <c:v>17.28</c:v>
                </c:pt>
                <c:pt idx="49">
                  <c:v>17.64</c:v>
                </c:pt>
                <c:pt idx="50">
                  <c:v>18</c:v>
                </c:pt>
                <c:pt idx="51">
                  <c:v>18.36</c:v>
                </c:pt>
                <c:pt idx="52">
                  <c:v>18.72</c:v>
                </c:pt>
                <c:pt idx="53">
                  <c:v>19.079999999999998</c:v>
                </c:pt>
                <c:pt idx="54">
                  <c:v>19.440000000000001</c:v>
                </c:pt>
                <c:pt idx="55">
                  <c:v>19.8</c:v>
                </c:pt>
                <c:pt idx="56">
                  <c:v>20.16</c:v>
                </c:pt>
                <c:pt idx="57">
                  <c:v>20.52</c:v>
                </c:pt>
                <c:pt idx="58">
                  <c:v>20.88</c:v>
                </c:pt>
                <c:pt idx="59">
                  <c:v>21.24</c:v>
                </c:pt>
                <c:pt idx="60">
                  <c:v>21.6</c:v>
                </c:pt>
                <c:pt idx="61">
                  <c:v>21.96</c:v>
                </c:pt>
                <c:pt idx="62">
                  <c:v>22.32</c:v>
                </c:pt>
                <c:pt idx="63">
                  <c:v>22.68</c:v>
                </c:pt>
                <c:pt idx="64">
                  <c:v>23.04</c:v>
                </c:pt>
                <c:pt idx="65">
                  <c:v>23.4</c:v>
                </c:pt>
                <c:pt idx="66">
                  <c:v>23.76</c:v>
                </c:pt>
                <c:pt idx="67">
                  <c:v>24.12</c:v>
                </c:pt>
                <c:pt idx="68">
                  <c:v>24.48</c:v>
                </c:pt>
                <c:pt idx="69">
                  <c:v>24.84</c:v>
                </c:pt>
                <c:pt idx="70">
                  <c:v>25.2</c:v>
                </c:pt>
                <c:pt idx="71">
                  <c:v>25.56</c:v>
                </c:pt>
                <c:pt idx="72">
                  <c:v>25.92</c:v>
                </c:pt>
                <c:pt idx="73">
                  <c:v>26.28</c:v>
                </c:pt>
                <c:pt idx="74">
                  <c:v>26.64</c:v>
                </c:pt>
                <c:pt idx="75">
                  <c:v>27</c:v>
                </c:pt>
                <c:pt idx="76">
                  <c:v>27.36</c:v>
                </c:pt>
                <c:pt idx="77">
                  <c:v>27.72</c:v>
                </c:pt>
                <c:pt idx="78">
                  <c:v>28.08</c:v>
                </c:pt>
                <c:pt idx="79">
                  <c:v>28.44</c:v>
                </c:pt>
                <c:pt idx="80">
                  <c:v>28.8</c:v>
                </c:pt>
                <c:pt idx="81">
                  <c:v>29.16</c:v>
                </c:pt>
                <c:pt idx="82">
                  <c:v>29.52</c:v>
                </c:pt>
                <c:pt idx="83">
                  <c:v>29.88</c:v>
                </c:pt>
                <c:pt idx="84">
                  <c:v>30.24</c:v>
                </c:pt>
                <c:pt idx="85">
                  <c:v>30.6</c:v>
                </c:pt>
                <c:pt idx="86">
                  <c:v>30.96</c:v>
                </c:pt>
                <c:pt idx="87">
                  <c:v>31.32</c:v>
                </c:pt>
                <c:pt idx="88">
                  <c:v>31.68</c:v>
                </c:pt>
                <c:pt idx="89">
                  <c:v>32.04</c:v>
                </c:pt>
                <c:pt idx="90">
                  <c:v>32.4</c:v>
                </c:pt>
                <c:pt idx="91">
                  <c:v>32.76</c:v>
                </c:pt>
                <c:pt idx="92">
                  <c:v>33.119999999999997</c:v>
                </c:pt>
                <c:pt idx="93">
                  <c:v>33.479999999999997</c:v>
                </c:pt>
                <c:pt idx="94">
                  <c:v>33.840000000000003</c:v>
                </c:pt>
                <c:pt idx="95">
                  <c:v>34.200000000000003</c:v>
                </c:pt>
                <c:pt idx="96">
                  <c:v>34.56</c:v>
                </c:pt>
                <c:pt idx="97">
                  <c:v>34.92</c:v>
                </c:pt>
                <c:pt idx="98">
                  <c:v>35.28</c:v>
                </c:pt>
                <c:pt idx="99">
                  <c:v>35.64</c:v>
                </c:pt>
                <c:pt idx="100">
                  <c:v>36</c:v>
                </c:pt>
              </c:numCache>
            </c:numRef>
          </c:xVal>
          <c:yVal>
            <c:numRef>
              <c:f>'BQ2575X Design Calculator'!$CU$156:$CU$256</c:f>
              <c:numCache>
                <c:formatCode>0.00</c:formatCode>
                <c:ptCount val="101"/>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pt idx="77">
                  <c:v>-100</c:v>
                </c:pt>
                <c:pt idx="78">
                  <c:v>-100</c:v>
                </c:pt>
                <c:pt idx="79">
                  <c:v>-100</c:v>
                </c:pt>
                <c:pt idx="80">
                  <c:v>-100</c:v>
                </c:pt>
                <c:pt idx="81">
                  <c:v>-100</c:v>
                </c:pt>
                <c:pt idx="82">
                  <c:v>-100</c:v>
                </c:pt>
                <c:pt idx="83">
                  <c:v>-100</c:v>
                </c:pt>
                <c:pt idx="84">
                  <c:v>-100</c:v>
                </c:pt>
                <c:pt idx="85">
                  <c:v>-100</c:v>
                </c:pt>
                <c:pt idx="86">
                  <c:v>-100</c:v>
                </c:pt>
                <c:pt idx="87">
                  <c:v>-100</c:v>
                </c:pt>
                <c:pt idx="88">
                  <c:v>-100</c:v>
                </c:pt>
                <c:pt idx="89">
                  <c:v>-100</c:v>
                </c:pt>
                <c:pt idx="90">
                  <c:v>-100</c:v>
                </c:pt>
                <c:pt idx="91">
                  <c:v>-100</c:v>
                </c:pt>
                <c:pt idx="92">
                  <c:v>-100</c:v>
                </c:pt>
                <c:pt idx="93">
                  <c:v>-100</c:v>
                </c:pt>
                <c:pt idx="94">
                  <c:v>-100</c:v>
                </c:pt>
                <c:pt idx="95">
                  <c:v>-100</c:v>
                </c:pt>
                <c:pt idx="96">
                  <c:v>-100</c:v>
                </c:pt>
                <c:pt idx="97">
                  <c:v>-100</c:v>
                </c:pt>
                <c:pt idx="98">
                  <c:v>-100</c:v>
                </c:pt>
                <c:pt idx="99">
                  <c:v>-100</c:v>
                </c:pt>
                <c:pt idx="100">
                  <c:v>-100</c:v>
                </c:pt>
              </c:numCache>
            </c:numRef>
          </c:yVal>
          <c:smooth val="1"/>
          <c:extLst>
            <c:ext xmlns:c16="http://schemas.microsoft.com/office/drawing/2014/chart" uri="{C3380CC4-5D6E-409C-BE32-E72D297353CC}">
              <c16:uniqueId val="{00000004-1F98-4669-B27B-9CB36E467256}"/>
            </c:ext>
          </c:extLst>
        </c:ser>
        <c:ser>
          <c:idx val="9"/>
          <c:order val="9"/>
          <c:tx>
            <c:v>Plot 2 Saved Sense Losses</c:v>
          </c:tx>
          <c:spPr>
            <a:ln w="19050" cap="rnd">
              <a:solidFill>
                <a:srgbClr val="00B0F0"/>
              </a:solidFill>
              <a:prstDash val="dash"/>
              <a:round/>
            </a:ln>
            <a:effectLst/>
          </c:spPr>
          <c:marker>
            <c:symbol val="none"/>
          </c:marker>
          <c:xVal>
            <c:numRef>
              <c:f>'BQ2575X Design Calculator'!$AG$156:$AG$256</c:f>
              <c:numCache>
                <c:formatCode>General</c:formatCode>
                <c:ptCount val="101"/>
                <c:pt idx="0">
                  <c:v>0</c:v>
                </c:pt>
                <c:pt idx="1">
                  <c:v>0.36</c:v>
                </c:pt>
                <c:pt idx="2">
                  <c:v>0.72</c:v>
                </c:pt>
                <c:pt idx="3">
                  <c:v>1.08</c:v>
                </c:pt>
                <c:pt idx="4">
                  <c:v>1.44</c:v>
                </c:pt>
                <c:pt idx="5">
                  <c:v>1.8</c:v>
                </c:pt>
                <c:pt idx="6">
                  <c:v>2.16</c:v>
                </c:pt>
                <c:pt idx="7">
                  <c:v>2.52</c:v>
                </c:pt>
                <c:pt idx="8">
                  <c:v>2.88</c:v>
                </c:pt>
                <c:pt idx="9">
                  <c:v>3.24</c:v>
                </c:pt>
                <c:pt idx="10">
                  <c:v>3.6</c:v>
                </c:pt>
                <c:pt idx="11">
                  <c:v>3.96</c:v>
                </c:pt>
                <c:pt idx="12">
                  <c:v>4.32</c:v>
                </c:pt>
                <c:pt idx="13">
                  <c:v>4.68</c:v>
                </c:pt>
                <c:pt idx="14">
                  <c:v>5.04</c:v>
                </c:pt>
                <c:pt idx="15">
                  <c:v>5.4</c:v>
                </c:pt>
                <c:pt idx="16">
                  <c:v>5.76</c:v>
                </c:pt>
                <c:pt idx="17">
                  <c:v>6.12</c:v>
                </c:pt>
                <c:pt idx="18">
                  <c:v>6.48</c:v>
                </c:pt>
                <c:pt idx="19">
                  <c:v>6.84</c:v>
                </c:pt>
                <c:pt idx="20">
                  <c:v>7.2</c:v>
                </c:pt>
                <c:pt idx="21">
                  <c:v>7.56</c:v>
                </c:pt>
                <c:pt idx="22">
                  <c:v>7.92</c:v>
                </c:pt>
                <c:pt idx="23">
                  <c:v>8.2799999999999994</c:v>
                </c:pt>
                <c:pt idx="24">
                  <c:v>8.64</c:v>
                </c:pt>
                <c:pt idx="25">
                  <c:v>9</c:v>
                </c:pt>
                <c:pt idx="26">
                  <c:v>9.36</c:v>
                </c:pt>
                <c:pt idx="27">
                  <c:v>9.7200000000000006</c:v>
                </c:pt>
                <c:pt idx="28">
                  <c:v>10.08</c:v>
                </c:pt>
                <c:pt idx="29">
                  <c:v>10.44</c:v>
                </c:pt>
                <c:pt idx="30">
                  <c:v>10.8</c:v>
                </c:pt>
                <c:pt idx="31">
                  <c:v>11.16</c:v>
                </c:pt>
                <c:pt idx="32">
                  <c:v>11.52</c:v>
                </c:pt>
                <c:pt idx="33">
                  <c:v>11.88</c:v>
                </c:pt>
                <c:pt idx="34">
                  <c:v>12.24</c:v>
                </c:pt>
                <c:pt idx="35">
                  <c:v>12.6</c:v>
                </c:pt>
                <c:pt idx="36">
                  <c:v>12.96</c:v>
                </c:pt>
                <c:pt idx="37">
                  <c:v>13.32</c:v>
                </c:pt>
                <c:pt idx="38">
                  <c:v>13.68</c:v>
                </c:pt>
                <c:pt idx="39">
                  <c:v>14.04</c:v>
                </c:pt>
                <c:pt idx="40">
                  <c:v>14.4</c:v>
                </c:pt>
                <c:pt idx="41">
                  <c:v>14.76</c:v>
                </c:pt>
                <c:pt idx="42">
                  <c:v>15.12</c:v>
                </c:pt>
                <c:pt idx="43">
                  <c:v>15.48</c:v>
                </c:pt>
                <c:pt idx="44">
                  <c:v>15.84</c:v>
                </c:pt>
                <c:pt idx="45">
                  <c:v>16.2</c:v>
                </c:pt>
                <c:pt idx="46">
                  <c:v>16.559999999999999</c:v>
                </c:pt>
                <c:pt idx="47">
                  <c:v>16.920000000000002</c:v>
                </c:pt>
                <c:pt idx="48">
                  <c:v>17.28</c:v>
                </c:pt>
                <c:pt idx="49">
                  <c:v>17.64</c:v>
                </c:pt>
                <c:pt idx="50">
                  <c:v>18</c:v>
                </c:pt>
                <c:pt idx="51">
                  <c:v>18.36</c:v>
                </c:pt>
                <c:pt idx="52">
                  <c:v>18.72</c:v>
                </c:pt>
                <c:pt idx="53">
                  <c:v>19.079999999999998</c:v>
                </c:pt>
                <c:pt idx="54">
                  <c:v>19.440000000000001</c:v>
                </c:pt>
                <c:pt idx="55">
                  <c:v>19.8</c:v>
                </c:pt>
                <c:pt idx="56">
                  <c:v>20.16</c:v>
                </c:pt>
                <c:pt idx="57">
                  <c:v>20.52</c:v>
                </c:pt>
                <c:pt idx="58">
                  <c:v>20.88</c:v>
                </c:pt>
                <c:pt idx="59">
                  <c:v>21.24</c:v>
                </c:pt>
                <c:pt idx="60">
                  <c:v>21.6</c:v>
                </c:pt>
                <c:pt idx="61">
                  <c:v>21.96</c:v>
                </c:pt>
                <c:pt idx="62">
                  <c:v>22.32</c:v>
                </c:pt>
                <c:pt idx="63">
                  <c:v>22.68</c:v>
                </c:pt>
                <c:pt idx="64">
                  <c:v>23.04</c:v>
                </c:pt>
                <c:pt idx="65">
                  <c:v>23.4</c:v>
                </c:pt>
                <c:pt idx="66">
                  <c:v>23.76</c:v>
                </c:pt>
                <c:pt idx="67">
                  <c:v>24.12</c:v>
                </c:pt>
                <c:pt idx="68">
                  <c:v>24.48</c:v>
                </c:pt>
                <c:pt idx="69">
                  <c:v>24.84</c:v>
                </c:pt>
                <c:pt idx="70">
                  <c:v>25.2</c:v>
                </c:pt>
                <c:pt idx="71">
                  <c:v>25.56</c:v>
                </c:pt>
                <c:pt idx="72">
                  <c:v>25.92</c:v>
                </c:pt>
                <c:pt idx="73">
                  <c:v>26.28</c:v>
                </c:pt>
                <c:pt idx="74">
                  <c:v>26.64</c:v>
                </c:pt>
                <c:pt idx="75">
                  <c:v>27</c:v>
                </c:pt>
                <c:pt idx="76">
                  <c:v>27.36</c:v>
                </c:pt>
                <c:pt idx="77">
                  <c:v>27.72</c:v>
                </c:pt>
                <c:pt idx="78">
                  <c:v>28.08</c:v>
                </c:pt>
                <c:pt idx="79">
                  <c:v>28.44</c:v>
                </c:pt>
                <c:pt idx="80">
                  <c:v>28.8</c:v>
                </c:pt>
                <c:pt idx="81">
                  <c:v>29.16</c:v>
                </c:pt>
                <c:pt idx="82">
                  <c:v>29.52</c:v>
                </c:pt>
                <c:pt idx="83">
                  <c:v>29.88</c:v>
                </c:pt>
                <c:pt idx="84">
                  <c:v>30.24</c:v>
                </c:pt>
                <c:pt idx="85">
                  <c:v>30.6</c:v>
                </c:pt>
                <c:pt idx="86">
                  <c:v>30.96</c:v>
                </c:pt>
                <c:pt idx="87">
                  <c:v>31.32</c:v>
                </c:pt>
                <c:pt idx="88">
                  <c:v>31.68</c:v>
                </c:pt>
                <c:pt idx="89">
                  <c:v>32.04</c:v>
                </c:pt>
                <c:pt idx="90">
                  <c:v>32.4</c:v>
                </c:pt>
                <c:pt idx="91">
                  <c:v>32.76</c:v>
                </c:pt>
                <c:pt idx="92">
                  <c:v>33.119999999999997</c:v>
                </c:pt>
                <c:pt idx="93">
                  <c:v>33.479999999999997</c:v>
                </c:pt>
                <c:pt idx="94">
                  <c:v>33.840000000000003</c:v>
                </c:pt>
                <c:pt idx="95">
                  <c:v>34.200000000000003</c:v>
                </c:pt>
                <c:pt idx="96">
                  <c:v>34.56</c:v>
                </c:pt>
                <c:pt idx="97">
                  <c:v>34.92</c:v>
                </c:pt>
                <c:pt idx="98">
                  <c:v>35.28</c:v>
                </c:pt>
                <c:pt idx="99">
                  <c:v>35.64</c:v>
                </c:pt>
                <c:pt idx="100">
                  <c:v>36</c:v>
                </c:pt>
              </c:numCache>
            </c:numRef>
          </c:xVal>
          <c:yVal>
            <c:numRef>
              <c:f>'BQ2575X Design Calculator'!$DB$156:$DB$256</c:f>
              <c:numCache>
                <c:formatCode>0.00</c:formatCode>
                <c:ptCount val="101"/>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pt idx="77">
                  <c:v>-100</c:v>
                </c:pt>
                <c:pt idx="78">
                  <c:v>-100</c:v>
                </c:pt>
                <c:pt idx="79">
                  <c:v>-100</c:v>
                </c:pt>
                <c:pt idx="80">
                  <c:v>-100</c:v>
                </c:pt>
                <c:pt idx="81">
                  <c:v>-100</c:v>
                </c:pt>
                <c:pt idx="82">
                  <c:v>-100</c:v>
                </c:pt>
                <c:pt idx="83">
                  <c:v>-100</c:v>
                </c:pt>
                <c:pt idx="84">
                  <c:v>-100</c:v>
                </c:pt>
                <c:pt idx="85">
                  <c:v>-100</c:v>
                </c:pt>
                <c:pt idx="86">
                  <c:v>-100</c:v>
                </c:pt>
                <c:pt idx="87">
                  <c:v>-100</c:v>
                </c:pt>
                <c:pt idx="88">
                  <c:v>-100</c:v>
                </c:pt>
                <c:pt idx="89">
                  <c:v>-100</c:v>
                </c:pt>
                <c:pt idx="90">
                  <c:v>-100</c:v>
                </c:pt>
                <c:pt idx="91">
                  <c:v>-100</c:v>
                </c:pt>
                <c:pt idx="92">
                  <c:v>-100</c:v>
                </c:pt>
                <c:pt idx="93">
                  <c:v>-100</c:v>
                </c:pt>
                <c:pt idx="94">
                  <c:v>-100</c:v>
                </c:pt>
                <c:pt idx="95">
                  <c:v>-100</c:v>
                </c:pt>
                <c:pt idx="96">
                  <c:v>-100</c:v>
                </c:pt>
                <c:pt idx="97">
                  <c:v>-100</c:v>
                </c:pt>
                <c:pt idx="98">
                  <c:v>-100</c:v>
                </c:pt>
                <c:pt idx="99">
                  <c:v>-100</c:v>
                </c:pt>
                <c:pt idx="100">
                  <c:v>-100</c:v>
                </c:pt>
              </c:numCache>
            </c:numRef>
          </c:yVal>
          <c:smooth val="1"/>
          <c:extLst>
            <c:ext xmlns:c16="http://schemas.microsoft.com/office/drawing/2014/chart" uri="{C3380CC4-5D6E-409C-BE32-E72D297353CC}">
              <c16:uniqueId val="{00000009-1F98-4669-B27B-9CB36E467256}"/>
            </c:ext>
          </c:extLst>
        </c:ser>
        <c:ser>
          <c:idx val="10"/>
          <c:order val="10"/>
          <c:tx>
            <c:v>Plot 2 Saved MOSFET Losses</c:v>
          </c:tx>
          <c:spPr>
            <a:ln w="19050" cap="rnd">
              <a:solidFill>
                <a:srgbClr val="0070C0"/>
              </a:solidFill>
              <a:prstDash val="dash"/>
              <a:round/>
            </a:ln>
            <a:effectLst/>
          </c:spPr>
          <c:marker>
            <c:symbol val="none"/>
          </c:marker>
          <c:xVal>
            <c:numRef>
              <c:f>'BQ2575X Design Calculator'!$AG$156:$AG$256</c:f>
              <c:numCache>
                <c:formatCode>General</c:formatCode>
                <c:ptCount val="101"/>
                <c:pt idx="0">
                  <c:v>0</c:v>
                </c:pt>
                <c:pt idx="1">
                  <c:v>0.36</c:v>
                </c:pt>
                <c:pt idx="2">
                  <c:v>0.72</c:v>
                </c:pt>
                <c:pt idx="3">
                  <c:v>1.08</c:v>
                </c:pt>
                <c:pt idx="4">
                  <c:v>1.44</c:v>
                </c:pt>
                <c:pt idx="5">
                  <c:v>1.8</c:v>
                </c:pt>
                <c:pt idx="6">
                  <c:v>2.16</c:v>
                </c:pt>
                <c:pt idx="7">
                  <c:v>2.52</c:v>
                </c:pt>
                <c:pt idx="8">
                  <c:v>2.88</c:v>
                </c:pt>
                <c:pt idx="9">
                  <c:v>3.24</c:v>
                </c:pt>
                <c:pt idx="10">
                  <c:v>3.6</c:v>
                </c:pt>
                <c:pt idx="11">
                  <c:v>3.96</c:v>
                </c:pt>
                <c:pt idx="12">
                  <c:v>4.32</c:v>
                </c:pt>
                <c:pt idx="13">
                  <c:v>4.68</c:v>
                </c:pt>
                <c:pt idx="14">
                  <c:v>5.04</c:v>
                </c:pt>
                <c:pt idx="15">
                  <c:v>5.4</c:v>
                </c:pt>
                <c:pt idx="16">
                  <c:v>5.76</c:v>
                </c:pt>
                <c:pt idx="17">
                  <c:v>6.12</c:v>
                </c:pt>
                <c:pt idx="18">
                  <c:v>6.48</c:v>
                </c:pt>
                <c:pt idx="19">
                  <c:v>6.84</c:v>
                </c:pt>
                <c:pt idx="20">
                  <c:v>7.2</c:v>
                </c:pt>
                <c:pt idx="21">
                  <c:v>7.56</c:v>
                </c:pt>
                <c:pt idx="22">
                  <c:v>7.92</c:v>
                </c:pt>
                <c:pt idx="23">
                  <c:v>8.2799999999999994</c:v>
                </c:pt>
                <c:pt idx="24">
                  <c:v>8.64</c:v>
                </c:pt>
                <c:pt idx="25">
                  <c:v>9</c:v>
                </c:pt>
                <c:pt idx="26">
                  <c:v>9.36</c:v>
                </c:pt>
                <c:pt idx="27">
                  <c:v>9.7200000000000006</c:v>
                </c:pt>
                <c:pt idx="28">
                  <c:v>10.08</c:v>
                </c:pt>
                <c:pt idx="29">
                  <c:v>10.44</c:v>
                </c:pt>
                <c:pt idx="30">
                  <c:v>10.8</c:v>
                </c:pt>
                <c:pt idx="31">
                  <c:v>11.16</c:v>
                </c:pt>
                <c:pt idx="32">
                  <c:v>11.52</c:v>
                </c:pt>
                <c:pt idx="33">
                  <c:v>11.88</c:v>
                </c:pt>
                <c:pt idx="34">
                  <c:v>12.24</c:v>
                </c:pt>
                <c:pt idx="35">
                  <c:v>12.6</c:v>
                </c:pt>
                <c:pt idx="36">
                  <c:v>12.96</c:v>
                </c:pt>
                <c:pt idx="37">
                  <c:v>13.32</c:v>
                </c:pt>
                <c:pt idx="38">
                  <c:v>13.68</c:v>
                </c:pt>
                <c:pt idx="39">
                  <c:v>14.04</c:v>
                </c:pt>
                <c:pt idx="40">
                  <c:v>14.4</c:v>
                </c:pt>
                <c:pt idx="41">
                  <c:v>14.76</c:v>
                </c:pt>
                <c:pt idx="42">
                  <c:v>15.12</c:v>
                </c:pt>
                <c:pt idx="43">
                  <c:v>15.48</c:v>
                </c:pt>
                <c:pt idx="44">
                  <c:v>15.84</c:v>
                </c:pt>
                <c:pt idx="45">
                  <c:v>16.2</c:v>
                </c:pt>
                <c:pt idx="46">
                  <c:v>16.559999999999999</c:v>
                </c:pt>
                <c:pt idx="47">
                  <c:v>16.920000000000002</c:v>
                </c:pt>
                <c:pt idx="48">
                  <c:v>17.28</c:v>
                </c:pt>
                <c:pt idx="49">
                  <c:v>17.64</c:v>
                </c:pt>
                <c:pt idx="50">
                  <c:v>18</c:v>
                </c:pt>
                <c:pt idx="51">
                  <c:v>18.36</c:v>
                </c:pt>
                <c:pt idx="52">
                  <c:v>18.72</c:v>
                </c:pt>
                <c:pt idx="53">
                  <c:v>19.079999999999998</c:v>
                </c:pt>
                <c:pt idx="54">
                  <c:v>19.440000000000001</c:v>
                </c:pt>
                <c:pt idx="55">
                  <c:v>19.8</c:v>
                </c:pt>
                <c:pt idx="56">
                  <c:v>20.16</c:v>
                </c:pt>
                <c:pt idx="57">
                  <c:v>20.52</c:v>
                </c:pt>
                <c:pt idx="58">
                  <c:v>20.88</c:v>
                </c:pt>
                <c:pt idx="59">
                  <c:v>21.24</c:v>
                </c:pt>
                <c:pt idx="60">
                  <c:v>21.6</c:v>
                </c:pt>
                <c:pt idx="61">
                  <c:v>21.96</c:v>
                </c:pt>
                <c:pt idx="62">
                  <c:v>22.32</c:v>
                </c:pt>
                <c:pt idx="63">
                  <c:v>22.68</c:v>
                </c:pt>
                <c:pt idx="64">
                  <c:v>23.04</c:v>
                </c:pt>
                <c:pt idx="65">
                  <c:v>23.4</c:v>
                </c:pt>
                <c:pt idx="66">
                  <c:v>23.76</c:v>
                </c:pt>
                <c:pt idx="67">
                  <c:v>24.12</c:v>
                </c:pt>
                <c:pt idx="68">
                  <c:v>24.48</c:v>
                </c:pt>
                <c:pt idx="69">
                  <c:v>24.84</c:v>
                </c:pt>
                <c:pt idx="70">
                  <c:v>25.2</c:v>
                </c:pt>
                <c:pt idx="71">
                  <c:v>25.56</c:v>
                </c:pt>
                <c:pt idx="72">
                  <c:v>25.92</c:v>
                </c:pt>
                <c:pt idx="73">
                  <c:v>26.28</c:v>
                </c:pt>
                <c:pt idx="74">
                  <c:v>26.64</c:v>
                </c:pt>
                <c:pt idx="75">
                  <c:v>27</c:v>
                </c:pt>
                <c:pt idx="76">
                  <c:v>27.36</c:v>
                </c:pt>
                <c:pt idx="77">
                  <c:v>27.72</c:v>
                </c:pt>
                <c:pt idx="78">
                  <c:v>28.08</c:v>
                </c:pt>
                <c:pt idx="79">
                  <c:v>28.44</c:v>
                </c:pt>
                <c:pt idx="80">
                  <c:v>28.8</c:v>
                </c:pt>
                <c:pt idx="81">
                  <c:v>29.16</c:v>
                </c:pt>
                <c:pt idx="82">
                  <c:v>29.52</c:v>
                </c:pt>
                <c:pt idx="83">
                  <c:v>29.88</c:v>
                </c:pt>
                <c:pt idx="84">
                  <c:v>30.24</c:v>
                </c:pt>
                <c:pt idx="85">
                  <c:v>30.6</c:v>
                </c:pt>
                <c:pt idx="86">
                  <c:v>30.96</c:v>
                </c:pt>
                <c:pt idx="87">
                  <c:v>31.32</c:v>
                </c:pt>
                <c:pt idx="88">
                  <c:v>31.68</c:v>
                </c:pt>
                <c:pt idx="89">
                  <c:v>32.04</c:v>
                </c:pt>
                <c:pt idx="90">
                  <c:v>32.4</c:v>
                </c:pt>
                <c:pt idx="91">
                  <c:v>32.76</c:v>
                </c:pt>
                <c:pt idx="92">
                  <c:v>33.119999999999997</c:v>
                </c:pt>
                <c:pt idx="93">
                  <c:v>33.479999999999997</c:v>
                </c:pt>
                <c:pt idx="94">
                  <c:v>33.840000000000003</c:v>
                </c:pt>
                <c:pt idx="95">
                  <c:v>34.200000000000003</c:v>
                </c:pt>
                <c:pt idx="96">
                  <c:v>34.56</c:v>
                </c:pt>
                <c:pt idx="97">
                  <c:v>34.92</c:v>
                </c:pt>
                <c:pt idx="98">
                  <c:v>35.28</c:v>
                </c:pt>
                <c:pt idx="99">
                  <c:v>35.64</c:v>
                </c:pt>
                <c:pt idx="100">
                  <c:v>36</c:v>
                </c:pt>
              </c:numCache>
            </c:numRef>
          </c:xVal>
          <c:yVal>
            <c:numRef>
              <c:f>'BQ2575X Design Calculator'!$DC$156:$DC$256</c:f>
              <c:numCache>
                <c:formatCode>0.00</c:formatCode>
                <c:ptCount val="101"/>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pt idx="77">
                  <c:v>-100</c:v>
                </c:pt>
                <c:pt idx="78">
                  <c:v>-100</c:v>
                </c:pt>
                <c:pt idx="79">
                  <c:v>-100</c:v>
                </c:pt>
                <c:pt idx="80">
                  <c:v>-100</c:v>
                </c:pt>
                <c:pt idx="81">
                  <c:v>-100</c:v>
                </c:pt>
                <c:pt idx="82">
                  <c:v>-100</c:v>
                </c:pt>
                <c:pt idx="83">
                  <c:v>-100</c:v>
                </c:pt>
                <c:pt idx="84">
                  <c:v>-100</c:v>
                </c:pt>
                <c:pt idx="85">
                  <c:v>-100</c:v>
                </c:pt>
                <c:pt idx="86">
                  <c:v>-100</c:v>
                </c:pt>
                <c:pt idx="87">
                  <c:v>-100</c:v>
                </c:pt>
                <c:pt idx="88">
                  <c:v>-100</c:v>
                </c:pt>
                <c:pt idx="89">
                  <c:v>-100</c:v>
                </c:pt>
                <c:pt idx="90">
                  <c:v>-100</c:v>
                </c:pt>
                <c:pt idx="91">
                  <c:v>-100</c:v>
                </c:pt>
                <c:pt idx="92">
                  <c:v>-100</c:v>
                </c:pt>
                <c:pt idx="93">
                  <c:v>-100</c:v>
                </c:pt>
                <c:pt idx="94">
                  <c:v>-100</c:v>
                </c:pt>
                <c:pt idx="95">
                  <c:v>-100</c:v>
                </c:pt>
                <c:pt idx="96">
                  <c:v>-100</c:v>
                </c:pt>
                <c:pt idx="97">
                  <c:v>-100</c:v>
                </c:pt>
                <c:pt idx="98">
                  <c:v>-100</c:v>
                </c:pt>
                <c:pt idx="99">
                  <c:v>-100</c:v>
                </c:pt>
                <c:pt idx="100">
                  <c:v>-100</c:v>
                </c:pt>
              </c:numCache>
            </c:numRef>
          </c:yVal>
          <c:smooth val="1"/>
          <c:extLst>
            <c:ext xmlns:c16="http://schemas.microsoft.com/office/drawing/2014/chart" uri="{C3380CC4-5D6E-409C-BE32-E72D297353CC}">
              <c16:uniqueId val="{0000000A-1F98-4669-B27B-9CB36E467256}"/>
            </c:ext>
          </c:extLst>
        </c:ser>
        <c:dLbls>
          <c:showLegendKey val="0"/>
          <c:showVal val="0"/>
          <c:showCatName val="0"/>
          <c:showSerName val="0"/>
          <c:showPercent val="0"/>
          <c:showBubbleSize val="0"/>
        </c:dLbls>
        <c:axId val="1793063311"/>
        <c:axId val="1793062479"/>
      </c:scatterChart>
      <c:valAx>
        <c:axId val="144599995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600" b="1"/>
                  <a:t>I</a:t>
                </a:r>
                <a:r>
                  <a:rPr lang="en-US" sz="1600" b="1" baseline="-25000"/>
                  <a:t>OUT</a:t>
                </a:r>
                <a:r>
                  <a:rPr lang="en-US" sz="1600" b="1" baseline="0"/>
                  <a:t> (A)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0374975"/>
        <c:crosses val="autoZero"/>
        <c:crossBetween val="midCat"/>
      </c:valAx>
      <c:valAx>
        <c:axId val="1070374975"/>
        <c:scaling>
          <c:orientation val="minMax"/>
          <c:max val="100"/>
          <c:min val="7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600" b="1"/>
                  <a:t>Efficiency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5999951"/>
        <c:crosses val="autoZero"/>
        <c:crossBetween val="midCat"/>
      </c:valAx>
      <c:valAx>
        <c:axId val="1793062479"/>
        <c:scaling>
          <c:orientation val="minMax"/>
          <c:min val="0"/>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600" b="1"/>
                  <a:t>Power Loss (W)</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3063311"/>
        <c:crosses val="max"/>
        <c:crossBetween val="midCat"/>
      </c:valAx>
      <c:valAx>
        <c:axId val="1793063311"/>
        <c:scaling>
          <c:orientation val="minMax"/>
        </c:scaling>
        <c:delete val="1"/>
        <c:axPos val="b"/>
        <c:numFmt formatCode="General" sourceLinked="1"/>
        <c:majorTickMark val="out"/>
        <c:minorTickMark val="none"/>
        <c:tickLblPos val="nextTo"/>
        <c:crossAx val="1793062479"/>
        <c:crosses val="autoZero"/>
        <c:crossBetween val="midCat"/>
      </c:valAx>
      <c:spPr>
        <a:noFill/>
        <a:ln>
          <a:noFill/>
        </a:ln>
        <a:effectLst/>
      </c:spPr>
    </c:plotArea>
    <c:legend>
      <c:legendPos val="b"/>
      <c:layout>
        <c:manualLayout>
          <c:xMode val="edge"/>
          <c:yMode val="edge"/>
          <c:x val="2.5061232051875867E-2"/>
          <c:y val="0.8612264774274565"/>
          <c:w val="0.31611523853635937"/>
          <c:h val="0.1332102402359649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57150"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3627370005322768E-3"/>
          <c:y val="4.3137254901960784E-2"/>
          <c:w val="0.96422150028449238"/>
          <c:h val="0.82635911687509633"/>
        </c:manualLayout>
      </c:layout>
      <c:lineChart>
        <c:grouping val="standard"/>
        <c:varyColors val="0"/>
        <c:ser>
          <c:idx val="0"/>
          <c:order val="0"/>
          <c:tx>
            <c:v>Charging Window</c:v>
          </c:tx>
          <c:spPr>
            <a:ln w="28575" cap="rnd">
              <a:solidFill>
                <a:schemeClr val="accent1"/>
              </a:solidFill>
              <a:round/>
            </a:ln>
            <a:effectLst/>
          </c:spPr>
          <c:marker>
            <c:symbol val="none"/>
          </c:marker>
          <c:cat>
            <c:numRef>
              <c:f>'Thermistor Qualification'!$AC$50:$AC$150</c:f>
              <c:numCache>
                <c:formatCode>General</c:formatCode>
                <c:ptCount val="101"/>
                <c:pt idx="0">
                  <c:v>80</c:v>
                </c:pt>
                <c:pt idx="1">
                  <c:v>79</c:v>
                </c:pt>
                <c:pt idx="2">
                  <c:v>78</c:v>
                </c:pt>
                <c:pt idx="3">
                  <c:v>77</c:v>
                </c:pt>
                <c:pt idx="4">
                  <c:v>76</c:v>
                </c:pt>
                <c:pt idx="5">
                  <c:v>75</c:v>
                </c:pt>
                <c:pt idx="6">
                  <c:v>74</c:v>
                </c:pt>
                <c:pt idx="7">
                  <c:v>73</c:v>
                </c:pt>
                <c:pt idx="8">
                  <c:v>72</c:v>
                </c:pt>
                <c:pt idx="9">
                  <c:v>71</c:v>
                </c:pt>
                <c:pt idx="10">
                  <c:v>70</c:v>
                </c:pt>
                <c:pt idx="11">
                  <c:v>69</c:v>
                </c:pt>
                <c:pt idx="12">
                  <c:v>68</c:v>
                </c:pt>
                <c:pt idx="13">
                  <c:v>67</c:v>
                </c:pt>
                <c:pt idx="14">
                  <c:v>66</c:v>
                </c:pt>
                <c:pt idx="15">
                  <c:v>65</c:v>
                </c:pt>
                <c:pt idx="16">
                  <c:v>64</c:v>
                </c:pt>
                <c:pt idx="17">
                  <c:v>63</c:v>
                </c:pt>
                <c:pt idx="18">
                  <c:v>62</c:v>
                </c:pt>
                <c:pt idx="19">
                  <c:v>61</c:v>
                </c:pt>
                <c:pt idx="20">
                  <c:v>60</c:v>
                </c:pt>
                <c:pt idx="21">
                  <c:v>59</c:v>
                </c:pt>
                <c:pt idx="22">
                  <c:v>58</c:v>
                </c:pt>
                <c:pt idx="23">
                  <c:v>57</c:v>
                </c:pt>
                <c:pt idx="24">
                  <c:v>56</c:v>
                </c:pt>
                <c:pt idx="25">
                  <c:v>55</c:v>
                </c:pt>
                <c:pt idx="26">
                  <c:v>54</c:v>
                </c:pt>
                <c:pt idx="27">
                  <c:v>53</c:v>
                </c:pt>
                <c:pt idx="28">
                  <c:v>52</c:v>
                </c:pt>
                <c:pt idx="29">
                  <c:v>51</c:v>
                </c:pt>
                <c:pt idx="30">
                  <c:v>50</c:v>
                </c:pt>
                <c:pt idx="31">
                  <c:v>49</c:v>
                </c:pt>
                <c:pt idx="32">
                  <c:v>48</c:v>
                </c:pt>
                <c:pt idx="33">
                  <c:v>47</c:v>
                </c:pt>
                <c:pt idx="34">
                  <c:v>46</c:v>
                </c:pt>
                <c:pt idx="35">
                  <c:v>45</c:v>
                </c:pt>
                <c:pt idx="36">
                  <c:v>44</c:v>
                </c:pt>
                <c:pt idx="37">
                  <c:v>43</c:v>
                </c:pt>
                <c:pt idx="38">
                  <c:v>42</c:v>
                </c:pt>
                <c:pt idx="39">
                  <c:v>41</c:v>
                </c:pt>
                <c:pt idx="40">
                  <c:v>40</c:v>
                </c:pt>
                <c:pt idx="41">
                  <c:v>39</c:v>
                </c:pt>
                <c:pt idx="42">
                  <c:v>38</c:v>
                </c:pt>
                <c:pt idx="43">
                  <c:v>37</c:v>
                </c:pt>
                <c:pt idx="44">
                  <c:v>36</c:v>
                </c:pt>
                <c:pt idx="45">
                  <c:v>35</c:v>
                </c:pt>
                <c:pt idx="46">
                  <c:v>34</c:v>
                </c:pt>
                <c:pt idx="47">
                  <c:v>33</c:v>
                </c:pt>
                <c:pt idx="48">
                  <c:v>32</c:v>
                </c:pt>
                <c:pt idx="49">
                  <c:v>31</c:v>
                </c:pt>
                <c:pt idx="50">
                  <c:v>30</c:v>
                </c:pt>
                <c:pt idx="51">
                  <c:v>29</c:v>
                </c:pt>
                <c:pt idx="52">
                  <c:v>28</c:v>
                </c:pt>
                <c:pt idx="53">
                  <c:v>27</c:v>
                </c:pt>
                <c:pt idx="54">
                  <c:v>26</c:v>
                </c:pt>
                <c:pt idx="55">
                  <c:v>25</c:v>
                </c:pt>
                <c:pt idx="56">
                  <c:v>24</c:v>
                </c:pt>
                <c:pt idx="57">
                  <c:v>23</c:v>
                </c:pt>
                <c:pt idx="58">
                  <c:v>22</c:v>
                </c:pt>
                <c:pt idx="59">
                  <c:v>21</c:v>
                </c:pt>
                <c:pt idx="60">
                  <c:v>20</c:v>
                </c:pt>
                <c:pt idx="61">
                  <c:v>19</c:v>
                </c:pt>
                <c:pt idx="62">
                  <c:v>18</c:v>
                </c:pt>
                <c:pt idx="63">
                  <c:v>17</c:v>
                </c:pt>
                <c:pt idx="64">
                  <c:v>16</c:v>
                </c:pt>
                <c:pt idx="65">
                  <c:v>15</c:v>
                </c:pt>
                <c:pt idx="66">
                  <c:v>14</c:v>
                </c:pt>
                <c:pt idx="67">
                  <c:v>13</c:v>
                </c:pt>
                <c:pt idx="68">
                  <c:v>12</c:v>
                </c:pt>
                <c:pt idx="69">
                  <c:v>11</c:v>
                </c:pt>
                <c:pt idx="70">
                  <c:v>10</c:v>
                </c:pt>
                <c:pt idx="71">
                  <c:v>9</c:v>
                </c:pt>
                <c:pt idx="72">
                  <c:v>8</c:v>
                </c:pt>
                <c:pt idx="73">
                  <c:v>7</c:v>
                </c:pt>
                <c:pt idx="74">
                  <c:v>6</c:v>
                </c:pt>
                <c:pt idx="75">
                  <c:v>5</c:v>
                </c:pt>
                <c:pt idx="76">
                  <c:v>4</c:v>
                </c:pt>
                <c:pt idx="77">
                  <c:v>3</c:v>
                </c:pt>
                <c:pt idx="78">
                  <c:v>2</c:v>
                </c:pt>
                <c:pt idx="79">
                  <c:v>1</c:v>
                </c:pt>
                <c:pt idx="80">
                  <c:v>0</c:v>
                </c:pt>
                <c:pt idx="81">
                  <c:v>-1</c:v>
                </c:pt>
                <c:pt idx="82">
                  <c:v>-2</c:v>
                </c:pt>
                <c:pt idx="83">
                  <c:v>-3</c:v>
                </c:pt>
                <c:pt idx="84">
                  <c:v>-4</c:v>
                </c:pt>
                <c:pt idx="85">
                  <c:v>-5</c:v>
                </c:pt>
                <c:pt idx="86">
                  <c:v>-6</c:v>
                </c:pt>
                <c:pt idx="87">
                  <c:v>-7</c:v>
                </c:pt>
                <c:pt idx="88">
                  <c:v>-8</c:v>
                </c:pt>
                <c:pt idx="89">
                  <c:v>-9</c:v>
                </c:pt>
                <c:pt idx="90">
                  <c:v>-10</c:v>
                </c:pt>
                <c:pt idx="91">
                  <c:v>-11</c:v>
                </c:pt>
                <c:pt idx="92">
                  <c:v>-12</c:v>
                </c:pt>
                <c:pt idx="93">
                  <c:v>-13</c:v>
                </c:pt>
                <c:pt idx="94">
                  <c:v>-14</c:v>
                </c:pt>
                <c:pt idx="95">
                  <c:v>-15</c:v>
                </c:pt>
                <c:pt idx="96">
                  <c:v>-16</c:v>
                </c:pt>
                <c:pt idx="97">
                  <c:v>-17</c:v>
                </c:pt>
                <c:pt idx="98">
                  <c:v>-18</c:v>
                </c:pt>
                <c:pt idx="99">
                  <c:v>-19</c:v>
                </c:pt>
                <c:pt idx="100">
                  <c:v>-20</c:v>
                </c:pt>
              </c:numCache>
            </c:numRef>
          </c:cat>
          <c:val>
            <c:numRef>
              <c:f>'Thermistor Qualification'!$AM$50:$AM$150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4</c:v>
                </c:pt>
                <c:pt idx="22">
                  <c:v>4</c:v>
                </c:pt>
                <c:pt idx="23">
                  <c:v>4</c:v>
                </c:pt>
                <c:pt idx="24">
                  <c:v>4</c:v>
                </c:pt>
                <c:pt idx="25">
                  <c:v>4</c:v>
                </c:pt>
                <c:pt idx="26">
                  <c:v>4</c:v>
                </c:pt>
                <c:pt idx="27">
                  <c:v>4</c:v>
                </c:pt>
                <c:pt idx="28">
                  <c:v>4</c:v>
                </c:pt>
                <c:pt idx="29">
                  <c:v>4</c:v>
                </c:pt>
                <c:pt idx="30">
                  <c:v>4</c:v>
                </c:pt>
                <c:pt idx="31">
                  <c:v>3</c:v>
                </c:pt>
                <c:pt idx="32">
                  <c:v>3</c:v>
                </c:pt>
                <c:pt idx="33">
                  <c:v>3</c:v>
                </c:pt>
                <c:pt idx="34">
                  <c:v>3</c:v>
                </c:pt>
                <c:pt idx="35">
                  <c:v>3</c:v>
                </c:pt>
                <c:pt idx="36">
                  <c:v>3</c:v>
                </c:pt>
                <c:pt idx="37">
                  <c:v>3</c:v>
                </c:pt>
                <c:pt idx="38">
                  <c:v>3</c:v>
                </c:pt>
                <c:pt idx="39">
                  <c:v>3</c:v>
                </c:pt>
                <c:pt idx="40">
                  <c:v>3</c:v>
                </c:pt>
                <c:pt idx="41">
                  <c:v>3</c:v>
                </c:pt>
                <c:pt idx="42">
                  <c:v>3</c:v>
                </c:pt>
                <c:pt idx="43">
                  <c:v>3</c:v>
                </c:pt>
                <c:pt idx="44">
                  <c:v>3</c:v>
                </c:pt>
                <c:pt idx="45">
                  <c:v>3</c:v>
                </c:pt>
                <c:pt idx="46">
                  <c:v>3</c:v>
                </c:pt>
                <c:pt idx="47">
                  <c:v>3</c:v>
                </c:pt>
                <c:pt idx="48">
                  <c:v>3</c:v>
                </c:pt>
                <c:pt idx="49">
                  <c:v>3</c:v>
                </c:pt>
                <c:pt idx="50">
                  <c:v>3</c:v>
                </c:pt>
                <c:pt idx="51">
                  <c:v>3</c:v>
                </c:pt>
                <c:pt idx="52">
                  <c:v>3</c:v>
                </c:pt>
                <c:pt idx="53">
                  <c:v>3</c:v>
                </c:pt>
                <c:pt idx="54">
                  <c:v>3</c:v>
                </c:pt>
                <c:pt idx="55">
                  <c:v>3</c:v>
                </c:pt>
                <c:pt idx="56">
                  <c:v>3</c:v>
                </c:pt>
                <c:pt idx="57">
                  <c:v>3</c:v>
                </c:pt>
                <c:pt idx="58">
                  <c:v>3</c:v>
                </c:pt>
                <c:pt idx="59">
                  <c:v>3</c:v>
                </c:pt>
                <c:pt idx="60">
                  <c:v>3</c:v>
                </c:pt>
                <c:pt idx="61">
                  <c:v>3</c:v>
                </c:pt>
                <c:pt idx="62">
                  <c:v>3</c:v>
                </c:pt>
                <c:pt idx="63">
                  <c:v>3</c:v>
                </c:pt>
                <c:pt idx="64">
                  <c:v>3</c:v>
                </c:pt>
                <c:pt idx="65">
                  <c:v>3</c:v>
                </c:pt>
                <c:pt idx="66">
                  <c:v>3</c:v>
                </c:pt>
                <c:pt idx="67">
                  <c:v>3</c:v>
                </c:pt>
                <c:pt idx="68">
                  <c:v>3</c:v>
                </c:pt>
                <c:pt idx="69">
                  <c:v>3</c:v>
                </c:pt>
                <c:pt idx="70">
                  <c:v>3</c:v>
                </c:pt>
                <c:pt idx="71">
                  <c:v>3</c:v>
                </c:pt>
                <c:pt idx="72">
                  <c:v>3</c:v>
                </c:pt>
                <c:pt idx="73">
                  <c:v>3</c:v>
                </c:pt>
                <c:pt idx="74">
                  <c:v>3</c:v>
                </c:pt>
                <c:pt idx="75">
                  <c:v>3</c:v>
                </c:pt>
                <c:pt idx="76">
                  <c:v>2</c:v>
                </c:pt>
                <c:pt idx="77">
                  <c:v>2</c:v>
                </c:pt>
                <c:pt idx="78">
                  <c:v>2</c:v>
                </c:pt>
                <c:pt idx="79">
                  <c:v>2</c:v>
                </c:pt>
                <c:pt idx="80">
                  <c:v>2</c:v>
                </c:pt>
                <c:pt idx="81">
                  <c:v>2</c:v>
                </c:pt>
                <c:pt idx="82">
                  <c:v>2</c:v>
                </c:pt>
                <c:pt idx="83">
                  <c:v>2</c:v>
                </c:pt>
                <c:pt idx="84">
                  <c:v>2</c:v>
                </c:pt>
                <c:pt idx="85">
                  <c:v>2</c:v>
                </c:pt>
                <c:pt idx="86">
                  <c:v>2</c:v>
                </c:pt>
                <c:pt idx="87">
                  <c:v>2</c:v>
                </c:pt>
                <c:pt idx="88">
                  <c:v>2</c:v>
                </c:pt>
                <c:pt idx="89">
                  <c:v>2</c:v>
                </c:pt>
                <c:pt idx="90">
                  <c:v>2</c:v>
                </c:pt>
                <c:pt idx="91">
                  <c:v>0</c:v>
                </c:pt>
                <c:pt idx="92">
                  <c:v>0</c:v>
                </c:pt>
                <c:pt idx="93">
                  <c:v>0</c:v>
                </c:pt>
                <c:pt idx="94">
                  <c:v>0</c:v>
                </c:pt>
                <c:pt idx="95">
                  <c:v>0</c:v>
                </c:pt>
                <c:pt idx="96">
                  <c:v>0</c:v>
                </c:pt>
                <c:pt idx="97">
                  <c:v>0</c:v>
                </c:pt>
                <c:pt idx="98">
                  <c:v>0</c:v>
                </c:pt>
                <c:pt idx="99">
                  <c:v>0</c:v>
                </c:pt>
                <c:pt idx="100">
                  <c:v>0</c:v>
                </c:pt>
              </c:numCache>
            </c:numRef>
          </c:val>
          <c:smooth val="0"/>
          <c:extLst>
            <c:ext xmlns:c16="http://schemas.microsoft.com/office/drawing/2014/chart" uri="{C3380CC4-5D6E-409C-BE32-E72D297353CC}">
              <c16:uniqueId val="{00000000-CCFC-42AD-83F9-6989A1DC4DFD}"/>
            </c:ext>
          </c:extLst>
        </c:ser>
        <c:ser>
          <c:idx val="1"/>
          <c:order val="1"/>
          <c:tx>
            <c:v>Hysteresis to recover</c:v>
          </c:tx>
          <c:spPr>
            <a:ln w="28575" cap="rnd">
              <a:solidFill>
                <a:schemeClr val="accent2"/>
              </a:solidFill>
              <a:round/>
            </a:ln>
            <a:effectLst/>
          </c:spPr>
          <c:marker>
            <c:symbol val="none"/>
          </c:marker>
          <c:cat>
            <c:numRef>
              <c:f>'Thermistor Qualification'!$AC$50:$AC$150</c:f>
              <c:numCache>
                <c:formatCode>General</c:formatCode>
                <c:ptCount val="101"/>
                <c:pt idx="0">
                  <c:v>80</c:v>
                </c:pt>
                <c:pt idx="1">
                  <c:v>79</c:v>
                </c:pt>
                <c:pt idx="2">
                  <c:v>78</c:v>
                </c:pt>
                <c:pt idx="3">
                  <c:v>77</c:v>
                </c:pt>
                <c:pt idx="4">
                  <c:v>76</c:v>
                </c:pt>
                <c:pt idx="5">
                  <c:v>75</c:v>
                </c:pt>
                <c:pt idx="6">
                  <c:v>74</c:v>
                </c:pt>
                <c:pt idx="7">
                  <c:v>73</c:v>
                </c:pt>
                <c:pt idx="8">
                  <c:v>72</c:v>
                </c:pt>
                <c:pt idx="9">
                  <c:v>71</c:v>
                </c:pt>
                <c:pt idx="10">
                  <c:v>70</c:v>
                </c:pt>
                <c:pt idx="11">
                  <c:v>69</c:v>
                </c:pt>
                <c:pt idx="12">
                  <c:v>68</c:v>
                </c:pt>
                <c:pt idx="13">
                  <c:v>67</c:v>
                </c:pt>
                <c:pt idx="14">
                  <c:v>66</c:v>
                </c:pt>
                <c:pt idx="15">
                  <c:v>65</c:v>
                </c:pt>
                <c:pt idx="16">
                  <c:v>64</c:v>
                </c:pt>
                <c:pt idx="17">
                  <c:v>63</c:v>
                </c:pt>
                <c:pt idx="18">
                  <c:v>62</c:v>
                </c:pt>
                <c:pt idx="19">
                  <c:v>61</c:v>
                </c:pt>
                <c:pt idx="20">
                  <c:v>60</c:v>
                </c:pt>
                <c:pt idx="21">
                  <c:v>59</c:v>
                </c:pt>
                <c:pt idx="22">
                  <c:v>58</c:v>
                </c:pt>
                <c:pt idx="23">
                  <c:v>57</c:v>
                </c:pt>
                <c:pt idx="24">
                  <c:v>56</c:v>
                </c:pt>
                <c:pt idx="25">
                  <c:v>55</c:v>
                </c:pt>
                <c:pt idx="26">
                  <c:v>54</c:v>
                </c:pt>
                <c:pt idx="27">
                  <c:v>53</c:v>
                </c:pt>
                <c:pt idx="28">
                  <c:v>52</c:v>
                </c:pt>
                <c:pt idx="29">
                  <c:v>51</c:v>
                </c:pt>
                <c:pt idx="30">
                  <c:v>50</c:v>
                </c:pt>
                <c:pt idx="31">
                  <c:v>49</c:v>
                </c:pt>
                <c:pt idx="32">
                  <c:v>48</c:v>
                </c:pt>
                <c:pt idx="33">
                  <c:v>47</c:v>
                </c:pt>
                <c:pt idx="34">
                  <c:v>46</c:v>
                </c:pt>
                <c:pt idx="35">
                  <c:v>45</c:v>
                </c:pt>
                <c:pt idx="36">
                  <c:v>44</c:v>
                </c:pt>
                <c:pt idx="37">
                  <c:v>43</c:v>
                </c:pt>
                <c:pt idx="38">
                  <c:v>42</c:v>
                </c:pt>
                <c:pt idx="39">
                  <c:v>41</c:v>
                </c:pt>
                <c:pt idx="40">
                  <c:v>40</c:v>
                </c:pt>
                <c:pt idx="41">
                  <c:v>39</c:v>
                </c:pt>
                <c:pt idx="42">
                  <c:v>38</c:v>
                </c:pt>
                <c:pt idx="43">
                  <c:v>37</c:v>
                </c:pt>
                <c:pt idx="44">
                  <c:v>36</c:v>
                </c:pt>
                <c:pt idx="45">
                  <c:v>35</c:v>
                </c:pt>
                <c:pt idx="46">
                  <c:v>34</c:v>
                </c:pt>
                <c:pt idx="47">
                  <c:v>33</c:v>
                </c:pt>
                <c:pt idx="48">
                  <c:v>32</c:v>
                </c:pt>
                <c:pt idx="49">
                  <c:v>31</c:v>
                </c:pt>
                <c:pt idx="50">
                  <c:v>30</c:v>
                </c:pt>
                <c:pt idx="51">
                  <c:v>29</c:v>
                </c:pt>
                <c:pt idx="52">
                  <c:v>28</c:v>
                </c:pt>
                <c:pt idx="53">
                  <c:v>27</c:v>
                </c:pt>
                <c:pt idx="54">
                  <c:v>26</c:v>
                </c:pt>
                <c:pt idx="55">
                  <c:v>25</c:v>
                </c:pt>
                <c:pt idx="56">
                  <c:v>24</c:v>
                </c:pt>
                <c:pt idx="57">
                  <c:v>23</c:v>
                </c:pt>
                <c:pt idx="58">
                  <c:v>22</c:v>
                </c:pt>
                <c:pt idx="59">
                  <c:v>21</c:v>
                </c:pt>
                <c:pt idx="60">
                  <c:v>20</c:v>
                </c:pt>
                <c:pt idx="61">
                  <c:v>19</c:v>
                </c:pt>
                <c:pt idx="62">
                  <c:v>18</c:v>
                </c:pt>
                <c:pt idx="63">
                  <c:v>17</c:v>
                </c:pt>
                <c:pt idx="64">
                  <c:v>16</c:v>
                </c:pt>
                <c:pt idx="65">
                  <c:v>15</c:v>
                </c:pt>
                <c:pt idx="66">
                  <c:v>14</c:v>
                </c:pt>
                <c:pt idx="67">
                  <c:v>13</c:v>
                </c:pt>
                <c:pt idx="68">
                  <c:v>12</c:v>
                </c:pt>
                <c:pt idx="69">
                  <c:v>11</c:v>
                </c:pt>
                <c:pt idx="70">
                  <c:v>10</c:v>
                </c:pt>
                <c:pt idx="71">
                  <c:v>9</c:v>
                </c:pt>
                <c:pt idx="72">
                  <c:v>8</c:v>
                </c:pt>
                <c:pt idx="73">
                  <c:v>7</c:v>
                </c:pt>
                <c:pt idx="74">
                  <c:v>6</c:v>
                </c:pt>
                <c:pt idx="75">
                  <c:v>5</c:v>
                </c:pt>
                <c:pt idx="76">
                  <c:v>4</c:v>
                </c:pt>
                <c:pt idx="77">
                  <c:v>3</c:v>
                </c:pt>
                <c:pt idx="78">
                  <c:v>2</c:v>
                </c:pt>
                <c:pt idx="79">
                  <c:v>1</c:v>
                </c:pt>
                <c:pt idx="80">
                  <c:v>0</c:v>
                </c:pt>
                <c:pt idx="81">
                  <c:v>-1</c:v>
                </c:pt>
                <c:pt idx="82">
                  <c:v>-2</c:v>
                </c:pt>
                <c:pt idx="83">
                  <c:v>-3</c:v>
                </c:pt>
                <c:pt idx="84">
                  <c:v>-4</c:v>
                </c:pt>
                <c:pt idx="85">
                  <c:v>-5</c:v>
                </c:pt>
                <c:pt idx="86">
                  <c:v>-6</c:v>
                </c:pt>
                <c:pt idx="87">
                  <c:v>-7</c:v>
                </c:pt>
                <c:pt idx="88">
                  <c:v>-8</c:v>
                </c:pt>
                <c:pt idx="89">
                  <c:v>-9</c:v>
                </c:pt>
                <c:pt idx="90">
                  <c:v>-10</c:v>
                </c:pt>
                <c:pt idx="91">
                  <c:v>-11</c:v>
                </c:pt>
                <c:pt idx="92">
                  <c:v>-12</c:v>
                </c:pt>
                <c:pt idx="93">
                  <c:v>-13</c:v>
                </c:pt>
                <c:pt idx="94">
                  <c:v>-14</c:v>
                </c:pt>
                <c:pt idx="95">
                  <c:v>-15</c:v>
                </c:pt>
                <c:pt idx="96">
                  <c:v>-16</c:v>
                </c:pt>
                <c:pt idx="97">
                  <c:v>-17</c:v>
                </c:pt>
                <c:pt idx="98">
                  <c:v>-18</c:v>
                </c:pt>
                <c:pt idx="99">
                  <c:v>-19</c:v>
                </c:pt>
                <c:pt idx="100">
                  <c:v>-20</c:v>
                </c:pt>
              </c:numCache>
            </c:numRef>
          </c:cat>
          <c:val>
            <c:numRef>
              <c:f>'Thermistor Qualification'!$AN$50:$AN$150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4</c:v>
                </c:pt>
                <c:pt idx="24">
                  <c:v>4</c:v>
                </c:pt>
                <c:pt idx="25">
                  <c:v>4</c:v>
                </c:pt>
                <c:pt idx="26">
                  <c:v>4</c:v>
                </c:pt>
                <c:pt idx="27">
                  <c:v>4</c:v>
                </c:pt>
                <c:pt idx="28">
                  <c:v>4</c:v>
                </c:pt>
                <c:pt idx="29">
                  <c:v>4</c:v>
                </c:pt>
                <c:pt idx="30">
                  <c:v>4</c:v>
                </c:pt>
                <c:pt idx="31">
                  <c:v>4</c:v>
                </c:pt>
                <c:pt idx="32">
                  <c:v>4</c:v>
                </c:pt>
                <c:pt idx="33">
                  <c:v>3</c:v>
                </c:pt>
                <c:pt idx="34">
                  <c:v>3</c:v>
                </c:pt>
                <c:pt idx="35">
                  <c:v>3</c:v>
                </c:pt>
                <c:pt idx="36">
                  <c:v>3</c:v>
                </c:pt>
                <c:pt idx="37">
                  <c:v>3</c:v>
                </c:pt>
                <c:pt idx="38">
                  <c:v>3</c:v>
                </c:pt>
                <c:pt idx="39">
                  <c:v>3</c:v>
                </c:pt>
                <c:pt idx="40">
                  <c:v>3</c:v>
                </c:pt>
                <c:pt idx="41">
                  <c:v>3</c:v>
                </c:pt>
                <c:pt idx="42">
                  <c:v>3</c:v>
                </c:pt>
                <c:pt idx="43">
                  <c:v>3</c:v>
                </c:pt>
                <c:pt idx="44">
                  <c:v>3</c:v>
                </c:pt>
                <c:pt idx="45">
                  <c:v>3</c:v>
                </c:pt>
                <c:pt idx="46">
                  <c:v>3</c:v>
                </c:pt>
                <c:pt idx="47">
                  <c:v>3</c:v>
                </c:pt>
                <c:pt idx="48">
                  <c:v>3</c:v>
                </c:pt>
                <c:pt idx="49">
                  <c:v>3</c:v>
                </c:pt>
                <c:pt idx="50">
                  <c:v>3</c:v>
                </c:pt>
                <c:pt idx="51">
                  <c:v>3</c:v>
                </c:pt>
                <c:pt idx="52">
                  <c:v>3</c:v>
                </c:pt>
                <c:pt idx="53">
                  <c:v>3</c:v>
                </c:pt>
                <c:pt idx="54">
                  <c:v>3</c:v>
                </c:pt>
                <c:pt idx="55">
                  <c:v>3</c:v>
                </c:pt>
                <c:pt idx="56">
                  <c:v>3</c:v>
                </c:pt>
                <c:pt idx="57">
                  <c:v>3</c:v>
                </c:pt>
                <c:pt idx="58">
                  <c:v>3</c:v>
                </c:pt>
                <c:pt idx="59">
                  <c:v>3</c:v>
                </c:pt>
                <c:pt idx="60">
                  <c:v>3</c:v>
                </c:pt>
                <c:pt idx="61">
                  <c:v>3</c:v>
                </c:pt>
                <c:pt idx="62">
                  <c:v>3</c:v>
                </c:pt>
                <c:pt idx="63">
                  <c:v>3</c:v>
                </c:pt>
                <c:pt idx="64">
                  <c:v>3</c:v>
                </c:pt>
                <c:pt idx="65">
                  <c:v>3</c:v>
                </c:pt>
                <c:pt idx="66">
                  <c:v>3</c:v>
                </c:pt>
                <c:pt idx="67">
                  <c:v>3</c:v>
                </c:pt>
                <c:pt idx="68">
                  <c:v>3</c:v>
                </c:pt>
                <c:pt idx="69">
                  <c:v>3</c:v>
                </c:pt>
                <c:pt idx="70">
                  <c:v>3</c:v>
                </c:pt>
                <c:pt idx="71">
                  <c:v>3</c:v>
                </c:pt>
                <c:pt idx="72">
                  <c:v>3</c:v>
                </c:pt>
                <c:pt idx="73">
                  <c:v>3</c:v>
                </c:pt>
                <c:pt idx="74">
                  <c:v>2</c:v>
                </c:pt>
                <c:pt idx="75">
                  <c:v>2</c:v>
                </c:pt>
                <c:pt idx="76">
                  <c:v>2</c:v>
                </c:pt>
                <c:pt idx="77">
                  <c:v>2</c:v>
                </c:pt>
                <c:pt idx="78">
                  <c:v>2</c:v>
                </c:pt>
                <c:pt idx="79">
                  <c:v>2</c:v>
                </c:pt>
                <c:pt idx="80">
                  <c:v>2</c:v>
                </c:pt>
                <c:pt idx="81">
                  <c:v>2</c:v>
                </c:pt>
                <c:pt idx="82">
                  <c:v>2</c:v>
                </c:pt>
                <c:pt idx="83">
                  <c:v>2</c:v>
                </c:pt>
                <c:pt idx="84">
                  <c:v>2</c:v>
                </c:pt>
                <c:pt idx="85">
                  <c:v>2</c:v>
                </c:pt>
                <c:pt idx="86">
                  <c:v>2</c:v>
                </c:pt>
                <c:pt idx="87">
                  <c:v>2</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smooth val="0"/>
          <c:extLst>
            <c:ext xmlns:c16="http://schemas.microsoft.com/office/drawing/2014/chart" uri="{C3380CC4-5D6E-409C-BE32-E72D297353CC}">
              <c16:uniqueId val="{00000001-CCFC-42AD-83F9-6989A1DC4DFD}"/>
            </c:ext>
          </c:extLst>
        </c:ser>
        <c:dLbls>
          <c:showLegendKey val="0"/>
          <c:showVal val="0"/>
          <c:showCatName val="0"/>
          <c:showSerName val="0"/>
          <c:showPercent val="0"/>
          <c:showBubbleSize val="0"/>
        </c:dLbls>
        <c:smooth val="0"/>
        <c:axId val="835643328"/>
        <c:axId val="272592672"/>
      </c:lineChart>
      <c:catAx>
        <c:axId val="835643328"/>
        <c:scaling>
          <c:orientation val="maxMin"/>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NTC Temperature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2592672"/>
        <c:crosses val="autoZero"/>
        <c:auto val="1"/>
        <c:lblAlgn val="ctr"/>
        <c:lblOffset val="100"/>
        <c:tickMarkSkip val="10"/>
        <c:noMultiLvlLbl val="0"/>
      </c:catAx>
      <c:valAx>
        <c:axId val="272592672"/>
        <c:scaling>
          <c:orientation val="minMax"/>
        </c:scaling>
        <c:delete val="1"/>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35643328"/>
        <c:crosses val="autoZero"/>
        <c:crossBetween val="between"/>
      </c:valAx>
      <c:spPr>
        <a:noFill/>
        <a:ln>
          <a:noFill/>
        </a:ln>
        <a:effectLst/>
      </c:spPr>
    </c:plotArea>
    <c:legend>
      <c:legendPos val="b"/>
      <c:layout>
        <c:manualLayout>
          <c:xMode val="edge"/>
          <c:yMode val="edge"/>
          <c:x val="0.37073178789714217"/>
          <c:y val="0.58088188976377952"/>
          <c:w val="0.28184644751573884"/>
          <c:h val="0.114710954356185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1.xml"/><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104775</xdr:colOff>
      <xdr:row>0</xdr:row>
      <xdr:rowOff>76200</xdr:rowOff>
    </xdr:from>
    <xdr:to>
      <xdr:col>4</xdr:col>
      <xdr:colOff>177800</xdr:colOff>
      <xdr:row>0</xdr:row>
      <xdr:rowOff>551047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775" y="76200"/>
          <a:ext cx="3140075" cy="474847"/>
        </a:xfrm>
        <a:prstGeom prst="rect">
          <a:avLst/>
        </a:prstGeom>
      </xdr:spPr>
    </xdr:pic>
    <xdr:clientData/>
  </xdr:twoCellAnchor>
  <xdr:twoCellAnchor>
    <xdr:from>
      <xdr:col>5</xdr:col>
      <xdr:colOff>85725</xdr:colOff>
      <xdr:row>6</xdr:row>
      <xdr:rowOff>9525</xdr:rowOff>
    </xdr:from>
    <xdr:to>
      <xdr:col>5</xdr:col>
      <xdr:colOff>200025</xdr:colOff>
      <xdr:row>7</xdr:row>
      <xdr:rowOff>9525</xdr:rowOff>
    </xdr:to>
    <xdr:sp macro="" textlink="">
      <xdr:nvSpPr>
        <xdr:cNvPr id="1070" name="Spinner 46" hidden="1">
          <a:extLst>
            <a:ext uri="{63B3BB69-23CF-44E3-9099-C40C66FF867C}">
              <a14:compatExt xmlns:a14="http://schemas.microsoft.com/office/drawing/2010/main" spid="_x0000_s1070"/>
            </a:ext>
            <a:ext uri="{FF2B5EF4-FFF2-40B4-BE49-F238E27FC236}">
              <a16:creationId xmlns:a16="http://schemas.microsoft.com/office/drawing/2014/main" id="{00000000-0008-0000-0000-00002E040000}"/>
            </a:ext>
          </a:extLst>
        </xdr:cNvPr>
        <xdr:cNvSpPr/>
      </xdr:nvSpPr>
      <xdr:spPr bwMode="auto">
        <a:xfrm>
          <a:off x="0" y="0"/>
          <a:ext cx="0" cy="0"/>
        </a:xfrm>
        <a:prstGeom prst="rect">
          <a:avLst/>
        </a:prstGeom>
        <a:noFill/>
        <a:ln w="9525">
          <a:miter lim="800000"/>
          <a:headEnd/>
          <a:tailEnd/>
        </a:ln>
      </xdr:spPr>
    </xdr:sp>
    <xdr:clientData/>
  </xdr:twoCellAnchor>
  <xdr:twoCellAnchor>
    <xdr:from>
      <xdr:col>5</xdr:col>
      <xdr:colOff>85725</xdr:colOff>
      <xdr:row>6</xdr:row>
      <xdr:rowOff>9525</xdr:rowOff>
    </xdr:from>
    <xdr:to>
      <xdr:col>5</xdr:col>
      <xdr:colOff>200025</xdr:colOff>
      <xdr:row>7</xdr:row>
      <xdr:rowOff>9525</xdr:rowOff>
    </xdr:to>
    <xdr:sp macro="" textlink="">
      <xdr:nvSpPr>
        <xdr:cNvPr id="1072" name="Spinner 48" hidden="1">
          <a:extLst>
            <a:ext uri="{63B3BB69-23CF-44E3-9099-C40C66FF867C}">
              <a14:compatExt xmlns:a14="http://schemas.microsoft.com/office/drawing/2010/main" spid="_x0000_s1072"/>
            </a:ext>
            <a:ext uri="{FF2B5EF4-FFF2-40B4-BE49-F238E27FC236}">
              <a16:creationId xmlns:a16="http://schemas.microsoft.com/office/drawing/2014/main" id="{00000000-0008-0000-0000-000030040000}"/>
            </a:ext>
          </a:extLst>
        </xdr:cNvPr>
        <xdr:cNvSpPr/>
      </xdr:nvSpPr>
      <xdr:spPr bwMode="auto">
        <a:xfrm>
          <a:off x="0" y="0"/>
          <a:ext cx="0" cy="0"/>
        </a:xfrm>
        <a:prstGeom prst="rect">
          <a:avLst/>
        </a:prstGeom>
        <a:noFill/>
        <a:ln w="9525">
          <a:miter lim="800000"/>
          <a:headEnd/>
          <a:tailEnd/>
        </a:ln>
      </xdr:spPr>
    </xdr:sp>
    <xdr:clientData/>
  </xdr:twoCellAnchor>
  <xdr:twoCellAnchor>
    <xdr:from>
      <xdr:col>0</xdr:col>
      <xdr:colOff>0</xdr:colOff>
      <xdr:row>161</xdr:row>
      <xdr:rowOff>291</xdr:rowOff>
    </xdr:from>
    <xdr:to>
      <xdr:col>18</xdr:col>
      <xdr:colOff>2491221</xdr:colOff>
      <xdr:row>194</xdr:row>
      <xdr:rowOff>21072</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174505</xdr:colOff>
      <xdr:row>4</xdr:row>
      <xdr:rowOff>28575</xdr:rowOff>
    </xdr:from>
    <xdr:to>
      <xdr:col>18</xdr:col>
      <xdr:colOff>4768850</xdr:colOff>
      <xdr:row>34</xdr:row>
      <xdr:rowOff>96527</xdr:rowOff>
    </xdr:to>
    <xdr:grpSp>
      <xdr:nvGrpSpPr>
        <xdr:cNvPr id="54" name="Group 53">
          <a:extLst>
            <a:ext uri="{FF2B5EF4-FFF2-40B4-BE49-F238E27FC236}">
              <a16:creationId xmlns:a16="http://schemas.microsoft.com/office/drawing/2014/main" id="{00000000-0008-0000-0000-000036000000}"/>
            </a:ext>
          </a:extLst>
        </xdr:cNvPr>
        <xdr:cNvGrpSpPr/>
      </xdr:nvGrpSpPr>
      <xdr:grpSpPr>
        <a:xfrm>
          <a:off x="8404105" y="1228725"/>
          <a:ext cx="8251945" cy="5944877"/>
          <a:chOff x="8248530" y="1228725"/>
          <a:chExt cx="8401170" cy="5948052"/>
        </a:xfrm>
      </xdr:grpSpPr>
      <xdr:grpSp>
        <xdr:nvGrpSpPr>
          <xdr:cNvPr id="53" name="Group 52">
            <a:extLst>
              <a:ext uri="{FF2B5EF4-FFF2-40B4-BE49-F238E27FC236}">
                <a16:creationId xmlns:a16="http://schemas.microsoft.com/office/drawing/2014/main" id="{00000000-0008-0000-0000-000035000000}"/>
              </a:ext>
            </a:extLst>
          </xdr:cNvPr>
          <xdr:cNvGrpSpPr/>
        </xdr:nvGrpSpPr>
        <xdr:grpSpPr>
          <a:xfrm>
            <a:off x="8248530" y="1228725"/>
            <a:ext cx="8401170" cy="5948052"/>
            <a:chOff x="8258055" y="1219200"/>
            <a:chExt cx="8401170" cy="5948052"/>
          </a:xfrm>
        </xdr:grpSpPr>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258055" y="1276350"/>
              <a:ext cx="8401170" cy="5890902"/>
            </a:xfrm>
            <a:prstGeom prst="rect">
              <a:avLst/>
            </a:prstGeom>
            <a:ln w="76200">
              <a:solidFill>
                <a:schemeClr val="tx1"/>
              </a:solidFill>
            </a:ln>
          </xdr:spPr>
        </xdr:pic>
        <xdr:sp macro="" textlink="">
          <xdr:nvSpPr>
            <xdr:cNvPr id="6" name="TextBox 5">
              <a:extLst>
                <a:ext uri="{FF2B5EF4-FFF2-40B4-BE49-F238E27FC236}">
                  <a16:creationId xmlns:a16="http://schemas.microsoft.com/office/drawing/2014/main" id="{00000000-0008-0000-0000-000006000000}"/>
                </a:ext>
              </a:extLst>
            </xdr:cNvPr>
            <xdr:cNvSpPr txBox="1"/>
          </xdr:nvSpPr>
          <xdr:spPr>
            <a:xfrm>
              <a:off x="9172575" y="1219200"/>
              <a:ext cx="67069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1"/>
                <a:t>R</a:t>
              </a:r>
              <a:r>
                <a:rPr lang="en-US" sz="1100" b="1" baseline="-25000"/>
                <a:t>AC_SNS</a:t>
              </a:r>
              <a:r>
                <a:rPr lang="en-US" sz="1100" b="1" baseline="0"/>
                <a:t> =</a:t>
              </a:r>
              <a:endParaRPr lang="en-US" sz="1100" b="1"/>
            </a:p>
          </xdr:txBody>
        </xdr:sp>
        <xdr:sp macro="" textlink="$G$40">
          <xdr:nvSpPr>
            <xdr:cNvPr id="8" name="TextBox 7">
              <a:extLst>
                <a:ext uri="{FF2B5EF4-FFF2-40B4-BE49-F238E27FC236}">
                  <a16:creationId xmlns:a16="http://schemas.microsoft.com/office/drawing/2014/main" id="{00000000-0008-0000-0000-000008000000}"/>
                </a:ext>
              </a:extLst>
            </xdr:cNvPr>
            <xdr:cNvSpPr txBox="1"/>
          </xdr:nvSpPr>
          <xdr:spPr>
            <a:xfrm>
              <a:off x="9696450" y="1247775"/>
              <a:ext cx="5408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CF3E6F1-3688-4E34-B485-0702C0EDC3AB}" type="TxLink">
                <a:rPr lang="en-US" sz="1100" b="1" i="0" u="none" strike="noStrike">
                  <a:solidFill>
                    <a:srgbClr val="000000"/>
                  </a:solidFill>
                  <a:latin typeface="Arial"/>
                  <a:cs typeface="Arial"/>
                </a:rPr>
                <a:pPr/>
                <a:t>2 mΩ</a:t>
              </a:fld>
              <a:endParaRPr lang="en-US" sz="1100" b="1"/>
            </a:p>
          </xdr:txBody>
        </xdr:sp>
        <xdr:sp macro="" textlink="">
          <xdr:nvSpPr>
            <xdr:cNvPr id="15" name="TextBox 14">
              <a:extLst>
                <a:ext uri="{FF2B5EF4-FFF2-40B4-BE49-F238E27FC236}">
                  <a16:creationId xmlns:a16="http://schemas.microsoft.com/office/drawing/2014/main" id="{00000000-0008-0000-0000-00000F000000}"/>
                </a:ext>
              </a:extLst>
            </xdr:cNvPr>
            <xdr:cNvSpPr txBox="1"/>
          </xdr:nvSpPr>
          <xdr:spPr>
            <a:xfrm>
              <a:off x="8753475" y="4867275"/>
              <a:ext cx="4953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1"/>
                <a:t>R</a:t>
              </a:r>
              <a:r>
                <a:rPr lang="en-US" sz="1100" b="1" baseline="-25000"/>
                <a:t>AC3</a:t>
              </a:r>
              <a:r>
                <a:rPr lang="en-US" sz="1100" b="1" baseline="0"/>
                <a:t> =</a:t>
              </a:r>
              <a:endParaRPr lang="en-US" sz="1100" b="1"/>
            </a:p>
          </xdr:txBody>
        </xdr:sp>
        <xdr:sp macro="" textlink="">
          <xdr:nvSpPr>
            <xdr:cNvPr id="16" name="TextBox 15">
              <a:extLst>
                <a:ext uri="{FF2B5EF4-FFF2-40B4-BE49-F238E27FC236}">
                  <a16:creationId xmlns:a16="http://schemas.microsoft.com/office/drawing/2014/main" id="{00000000-0008-0000-0000-000010000000}"/>
                </a:ext>
              </a:extLst>
            </xdr:cNvPr>
            <xdr:cNvSpPr txBox="1"/>
          </xdr:nvSpPr>
          <xdr:spPr>
            <a:xfrm>
              <a:off x="8743950" y="4591050"/>
              <a:ext cx="4953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1"/>
                <a:t>R</a:t>
              </a:r>
              <a:r>
                <a:rPr lang="en-US" sz="1100" b="1" baseline="-25000"/>
                <a:t>AC3</a:t>
              </a:r>
              <a:r>
                <a:rPr lang="en-US" sz="1100" b="1" baseline="0"/>
                <a:t> =</a:t>
              </a:r>
              <a:endParaRPr lang="en-US" sz="1100" b="1"/>
            </a:p>
          </xdr:txBody>
        </xdr:sp>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8743950" y="4333875"/>
              <a:ext cx="4953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1"/>
                <a:t>R</a:t>
              </a:r>
              <a:r>
                <a:rPr lang="en-US" sz="1100" b="1" baseline="-25000"/>
                <a:t>AC3</a:t>
              </a:r>
              <a:r>
                <a:rPr lang="en-US" sz="1100" b="1" baseline="0"/>
                <a:t> =</a:t>
              </a:r>
              <a:endParaRPr lang="en-US" sz="1100" b="1"/>
            </a:p>
          </xdr:txBody>
        </xdr:sp>
        <xdr:sp macro="" textlink="$G$65">
          <xdr:nvSpPr>
            <xdr:cNvPr id="18" name="TextBox 17">
              <a:extLst>
                <a:ext uri="{FF2B5EF4-FFF2-40B4-BE49-F238E27FC236}">
                  <a16:creationId xmlns:a16="http://schemas.microsoft.com/office/drawing/2014/main" id="{00000000-0008-0000-0000-000012000000}"/>
                </a:ext>
              </a:extLst>
            </xdr:cNvPr>
            <xdr:cNvSpPr txBox="1"/>
          </xdr:nvSpPr>
          <xdr:spPr>
            <a:xfrm>
              <a:off x="9344025" y="4867275"/>
              <a:ext cx="5408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r"/>
              <a:fld id="{917F3405-F5E8-4B3F-807A-F158406E9CE5}" type="TxLink">
                <a:rPr lang="en-US" sz="1100" b="1" i="0" u="none" strike="noStrike">
                  <a:solidFill>
                    <a:srgbClr val="000000"/>
                  </a:solidFill>
                  <a:latin typeface="+mn-lt"/>
                  <a:cs typeface="Arial"/>
                </a:rPr>
                <a:pPr algn="r"/>
                <a:t>26.1 kΩ</a:t>
              </a:fld>
              <a:endParaRPr lang="en-US" sz="1100" b="1">
                <a:latin typeface="+mn-lt"/>
              </a:endParaRPr>
            </a:p>
          </xdr:txBody>
        </xdr:sp>
        <xdr:sp macro="" textlink="$G$64">
          <xdr:nvSpPr>
            <xdr:cNvPr id="19" name="TextBox 18">
              <a:extLst>
                <a:ext uri="{FF2B5EF4-FFF2-40B4-BE49-F238E27FC236}">
                  <a16:creationId xmlns:a16="http://schemas.microsoft.com/office/drawing/2014/main" id="{00000000-0008-0000-0000-000013000000}"/>
                </a:ext>
              </a:extLst>
            </xdr:cNvPr>
            <xdr:cNvSpPr txBox="1"/>
          </xdr:nvSpPr>
          <xdr:spPr>
            <a:xfrm>
              <a:off x="9324855" y="4600575"/>
              <a:ext cx="5408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r"/>
              <a:fld id="{1CE8BCE2-DE50-4155-835E-064A9767CE46}" type="TxLink">
                <a:rPr lang="en-US" sz="1100" b="1" i="0" u="none" strike="noStrike">
                  <a:solidFill>
                    <a:srgbClr val="000000"/>
                  </a:solidFill>
                  <a:latin typeface="+mn-lt"/>
                  <a:cs typeface="Arial"/>
                </a:rPr>
                <a:pPr algn="r"/>
                <a:t>22.1 kΩ</a:t>
              </a:fld>
              <a:endParaRPr lang="en-US" sz="1100" b="1">
                <a:latin typeface="+mn-lt"/>
              </a:endParaRPr>
            </a:p>
          </xdr:txBody>
        </xdr:sp>
        <xdr:sp macro="" textlink="$G$63">
          <xdr:nvSpPr>
            <xdr:cNvPr id="20" name="TextBox 19">
              <a:extLst>
                <a:ext uri="{FF2B5EF4-FFF2-40B4-BE49-F238E27FC236}">
                  <a16:creationId xmlns:a16="http://schemas.microsoft.com/office/drawing/2014/main" id="{00000000-0008-0000-0000-000014000000}"/>
                </a:ext>
              </a:extLst>
            </xdr:cNvPr>
            <xdr:cNvSpPr txBox="1"/>
          </xdr:nvSpPr>
          <xdr:spPr>
            <a:xfrm>
              <a:off x="9172575" y="4314825"/>
              <a:ext cx="69313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r"/>
              <a:fld id="{96636FEE-02A7-4ABB-B4F2-167F72B9E9A3}" type="TxLink">
                <a:rPr lang="en-US" sz="1100" b="1" i="0" u="none" strike="noStrike">
                  <a:solidFill>
                    <a:srgbClr val="000000"/>
                  </a:solidFill>
                  <a:latin typeface="+mn-lt"/>
                  <a:cs typeface="Arial"/>
                </a:rPr>
                <a:pPr algn="r"/>
                <a:t>1000 kΩ</a:t>
              </a:fld>
              <a:endParaRPr lang="en-US" sz="1100" b="1">
                <a:latin typeface="+mn-lt"/>
              </a:endParaRPr>
            </a:p>
          </xdr:txBody>
        </xdr:sp>
        <xdr:cxnSp macro="">
          <xdr:nvCxnSpPr>
            <xdr:cNvPr id="11" name="Straight Arrow Connector 10">
              <a:extLst>
                <a:ext uri="{FF2B5EF4-FFF2-40B4-BE49-F238E27FC236}">
                  <a16:creationId xmlns:a16="http://schemas.microsoft.com/office/drawing/2014/main" id="{00000000-0008-0000-0000-00000B000000}"/>
                </a:ext>
              </a:extLst>
            </xdr:cNvPr>
            <xdr:cNvCxnSpPr/>
          </xdr:nvCxnSpPr>
          <xdr:spPr>
            <a:xfrm flipH="1">
              <a:off x="8696325" y="5095875"/>
              <a:ext cx="161925" cy="1428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00000000-0008-0000-0000-000016000000}"/>
                </a:ext>
              </a:extLst>
            </xdr:cNvPr>
            <xdr:cNvCxnSpPr/>
          </xdr:nvCxnSpPr>
          <xdr:spPr>
            <a:xfrm flipH="1">
              <a:off x="8715375" y="4819650"/>
              <a:ext cx="161925" cy="1428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3" name="Straight Arrow Connector 22">
              <a:extLst>
                <a:ext uri="{FF2B5EF4-FFF2-40B4-BE49-F238E27FC236}">
                  <a16:creationId xmlns:a16="http://schemas.microsoft.com/office/drawing/2014/main" id="{00000000-0008-0000-0000-000017000000}"/>
                </a:ext>
              </a:extLst>
            </xdr:cNvPr>
            <xdr:cNvCxnSpPr/>
          </xdr:nvCxnSpPr>
          <xdr:spPr>
            <a:xfrm flipH="1">
              <a:off x="8724900" y="4572000"/>
              <a:ext cx="161925" cy="1428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5" name="TextBox 24">
              <a:extLst>
                <a:ext uri="{FF2B5EF4-FFF2-40B4-BE49-F238E27FC236}">
                  <a16:creationId xmlns:a16="http://schemas.microsoft.com/office/drawing/2014/main" id="{00000000-0008-0000-0000-000019000000}"/>
                </a:ext>
              </a:extLst>
            </xdr:cNvPr>
            <xdr:cNvSpPr txBox="1"/>
          </xdr:nvSpPr>
          <xdr:spPr>
            <a:xfrm>
              <a:off x="15401925" y="3876675"/>
              <a:ext cx="67069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1"/>
                <a:t>R</a:t>
              </a:r>
              <a:r>
                <a:rPr lang="en-US" sz="1100" b="1" baseline="-25000"/>
                <a:t>BAT_SNS</a:t>
              </a:r>
              <a:r>
                <a:rPr lang="en-US" sz="1100" b="1" baseline="0"/>
                <a:t> =</a:t>
              </a:r>
              <a:endParaRPr lang="en-US" sz="1100" b="1"/>
            </a:p>
          </xdr:txBody>
        </xdr:sp>
        <xdr:sp macro="" textlink="$G$49">
          <xdr:nvSpPr>
            <xdr:cNvPr id="26" name="TextBox 25">
              <a:extLst>
                <a:ext uri="{FF2B5EF4-FFF2-40B4-BE49-F238E27FC236}">
                  <a16:creationId xmlns:a16="http://schemas.microsoft.com/office/drawing/2014/main" id="{00000000-0008-0000-0000-00001A000000}"/>
                </a:ext>
              </a:extLst>
            </xdr:cNvPr>
            <xdr:cNvSpPr txBox="1"/>
          </xdr:nvSpPr>
          <xdr:spPr>
            <a:xfrm>
              <a:off x="16021050" y="3867150"/>
              <a:ext cx="5408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C84414F7-E7A2-4650-B9FC-43CE054A015A}" type="TxLink">
                <a:rPr lang="en-US" sz="1100" b="1" i="0" u="none" strike="noStrike">
                  <a:solidFill>
                    <a:srgbClr val="000000"/>
                  </a:solidFill>
                  <a:latin typeface="+mn-lt"/>
                  <a:cs typeface="Arial"/>
                </a:rPr>
                <a:pPr/>
                <a:t>5 mΩ</a:t>
              </a:fld>
              <a:endParaRPr lang="en-US" sz="1100" b="1">
                <a:latin typeface="+mn-lt"/>
              </a:endParaRPr>
            </a:p>
          </xdr:txBody>
        </xdr:sp>
        <xdr:sp macro="" textlink="">
          <xdr:nvSpPr>
            <xdr:cNvPr id="27" name="TextBox 26">
              <a:extLst>
                <a:ext uri="{FF2B5EF4-FFF2-40B4-BE49-F238E27FC236}">
                  <a16:creationId xmlns:a16="http://schemas.microsoft.com/office/drawing/2014/main" id="{00000000-0008-0000-0000-00001B000000}"/>
                </a:ext>
              </a:extLst>
            </xdr:cNvPr>
            <xdr:cNvSpPr txBox="1"/>
          </xdr:nvSpPr>
          <xdr:spPr>
            <a:xfrm>
              <a:off x="14125575" y="4305300"/>
              <a:ext cx="67069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1"/>
                <a:t>R</a:t>
              </a:r>
              <a:r>
                <a:rPr lang="en-US" sz="1100" b="1" baseline="-25000"/>
                <a:t>FB_TOP</a:t>
              </a:r>
              <a:r>
                <a:rPr lang="en-US" sz="1100" b="1" baseline="0"/>
                <a:t> =</a:t>
              </a:r>
              <a:endParaRPr lang="en-US" sz="1100" b="1"/>
            </a:p>
          </xdr:txBody>
        </xdr:sp>
        <xdr:sp macro="" textlink="$G$74">
          <xdr:nvSpPr>
            <xdr:cNvPr id="28" name="TextBox 27">
              <a:extLst>
                <a:ext uri="{FF2B5EF4-FFF2-40B4-BE49-F238E27FC236}">
                  <a16:creationId xmlns:a16="http://schemas.microsoft.com/office/drawing/2014/main" id="{00000000-0008-0000-0000-00001C000000}"/>
                </a:ext>
              </a:extLst>
            </xdr:cNvPr>
            <xdr:cNvSpPr txBox="1"/>
          </xdr:nvSpPr>
          <xdr:spPr>
            <a:xfrm>
              <a:off x="14687550" y="4324350"/>
              <a:ext cx="5408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F185AE89-5ADD-4E60-867D-8F7479155DA6}" type="TxLink">
                <a:rPr lang="en-US" sz="1100" b="1" i="0" u="none" strike="noStrike">
                  <a:solidFill>
                    <a:srgbClr val="000000"/>
                  </a:solidFill>
                  <a:latin typeface="Calibri"/>
                  <a:cs typeface="Calibri"/>
                </a:rPr>
                <a:pPr/>
                <a:t>249 kΩ</a:t>
              </a:fld>
              <a:endParaRPr lang="en-US" sz="1100" b="1">
                <a:latin typeface="+mn-lt"/>
              </a:endParaRPr>
            </a:p>
          </xdr:txBody>
        </xdr:sp>
        <xdr:sp macro="" textlink="">
          <xdr:nvSpPr>
            <xdr:cNvPr id="29" name="TextBox 28">
              <a:extLst>
                <a:ext uri="{FF2B5EF4-FFF2-40B4-BE49-F238E27FC236}">
                  <a16:creationId xmlns:a16="http://schemas.microsoft.com/office/drawing/2014/main" id="{00000000-0008-0000-0000-00001D000000}"/>
                </a:ext>
              </a:extLst>
            </xdr:cNvPr>
            <xdr:cNvSpPr txBox="1"/>
          </xdr:nvSpPr>
          <xdr:spPr>
            <a:xfrm>
              <a:off x="14735175" y="4714875"/>
              <a:ext cx="67069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1"/>
                <a:t>R</a:t>
              </a:r>
              <a:r>
                <a:rPr lang="en-US" sz="1100" b="1" baseline="-25000"/>
                <a:t>FB_TOP</a:t>
              </a:r>
              <a:r>
                <a:rPr lang="en-US" sz="1100" b="1" baseline="0"/>
                <a:t> =</a:t>
              </a:r>
              <a:endParaRPr lang="en-US" sz="1100" b="1"/>
            </a:p>
          </xdr:txBody>
        </xdr:sp>
        <xdr:sp macro="" textlink="$G$75">
          <xdr:nvSpPr>
            <xdr:cNvPr id="30" name="TextBox 29">
              <a:extLst>
                <a:ext uri="{FF2B5EF4-FFF2-40B4-BE49-F238E27FC236}">
                  <a16:creationId xmlns:a16="http://schemas.microsoft.com/office/drawing/2014/main" id="{00000000-0008-0000-0000-00001E000000}"/>
                </a:ext>
              </a:extLst>
            </xdr:cNvPr>
            <xdr:cNvSpPr txBox="1"/>
          </xdr:nvSpPr>
          <xdr:spPr>
            <a:xfrm>
              <a:off x="15306674" y="4714875"/>
              <a:ext cx="7143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D347F31C-DB99-4BD5-AD40-4D254829EFDB}" type="TxLink">
                <a:rPr lang="en-US" sz="1100" b="1" i="0" u="none" strike="noStrike">
                  <a:solidFill>
                    <a:srgbClr val="000000"/>
                  </a:solidFill>
                  <a:latin typeface="Calibri"/>
                  <a:cs typeface="Calibri"/>
                </a:rPr>
                <a:pPr/>
                <a:t>9.20 kΩ</a:t>
              </a:fld>
              <a:endParaRPr lang="en-US" sz="1100" b="1">
                <a:latin typeface="+mn-lt"/>
              </a:endParaRPr>
            </a:p>
          </xdr:txBody>
        </xdr:sp>
        <xdr:cxnSp macro="">
          <xdr:nvCxnSpPr>
            <xdr:cNvPr id="31" name="Straight Arrow Connector 30">
              <a:extLst>
                <a:ext uri="{FF2B5EF4-FFF2-40B4-BE49-F238E27FC236}">
                  <a16:creationId xmlns:a16="http://schemas.microsoft.com/office/drawing/2014/main" id="{00000000-0008-0000-0000-00001F000000}"/>
                </a:ext>
              </a:extLst>
            </xdr:cNvPr>
            <xdr:cNvCxnSpPr/>
          </xdr:nvCxnSpPr>
          <xdr:spPr>
            <a:xfrm flipH="1">
              <a:off x="14439900" y="4943475"/>
              <a:ext cx="371475" cy="23812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4" name="Straight Arrow Connector 33">
              <a:extLst>
                <a:ext uri="{FF2B5EF4-FFF2-40B4-BE49-F238E27FC236}">
                  <a16:creationId xmlns:a16="http://schemas.microsoft.com/office/drawing/2014/main" id="{00000000-0008-0000-0000-000022000000}"/>
                </a:ext>
              </a:extLst>
            </xdr:cNvPr>
            <xdr:cNvCxnSpPr/>
          </xdr:nvCxnSpPr>
          <xdr:spPr>
            <a:xfrm>
              <a:off x="14249400" y="4562475"/>
              <a:ext cx="76200" cy="26670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8" name="TextBox 37">
              <a:extLst>
                <a:ext uri="{FF2B5EF4-FFF2-40B4-BE49-F238E27FC236}">
                  <a16:creationId xmlns:a16="http://schemas.microsoft.com/office/drawing/2014/main" id="{00000000-0008-0000-0000-000026000000}"/>
                </a:ext>
              </a:extLst>
            </xdr:cNvPr>
            <xdr:cNvSpPr txBox="1"/>
          </xdr:nvSpPr>
          <xdr:spPr>
            <a:xfrm>
              <a:off x="13268325" y="6076950"/>
              <a:ext cx="67069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1"/>
                <a:t>R</a:t>
              </a:r>
              <a:r>
                <a:rPr lang="en-US" sz="1100" b="1" baseline="-25000"/>
                <a:t>FSW</a:t>
              </a:r>
              <a:r>
                <a:rPr lang="en-US" sz="1100" b="1" baseline="0"/>
                <a:t> =</a:t>
              </a:r>
              <a:endParaRPr lang="en-US" sz="1100" b="1"/>
            </a:p>
          </xdr:txBody>
        </xdr:sp>
        <xdr:sp macro="" textlink="$G$15">
          <xdr:nvSpPr>
            <xdr:cNvPr id="39" name="TextBox 38">
              <a:extLst>
                <a:ext uri="{FF2B5EF4-FFF2-40B4-BE49-F238E27FC236}">
                  <a16:creationId xmlns:a16="http://schemas.microsoft.com/office/drawing/2014/main" id="{00000000-0008-0000-0000-000027000000}"/>
                </a:ext>
              </a:extLst>
            </xdr:cNvPr>
            <xdr:cNvSpPr txBox="1"/>
          </xdr:nvSpPr>
          <xdr:spPr>
            <a:xfrm>
              <a:off x="13677900" y="6096000"/>
              <a:ext cx="52387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B84AE15-13FB-4C3F-AA76-75D7FF64573E}" type="TxLink">
                <a:rPr lang="en-US" sz="1100" b="1" i="0" u="none" strike="noStrike">
                  <a:solidFill>
                    <a:srgbClr val="000000"/>
                  </a:solidFill>
                  <a:latin typeface="Calibri"/>
                  <a:cs typeface="Calibri"/>
                </a:rPr>
                <a:pPr/>
                <a:t>200 kΩ</a:t>
              </a:fld>
              <a:endParaRPr lang="en-US" sz="1100" b="1">
                <a:latin typeface="+mn-lt"/>
              </a:endParaRPr>
            </a:p>
          </xdr:txBody>
        </xdr:sp>
        <xdr:sp macro="" textlink="">
          <xdr:nvSpPr>
            <xdr:cNvPr id="40" name="TextBox 39">
              <a:extLst>
                <a:ext uri="{FF2B5EF4-FFF2-40B4-BE49-F238E27FC236}">
                  <a16:creationId xmlns:a16="http://schemas.microsoft.com/office/drawing/2014/main" id="{00000000-0008-0000-0000-000028000000}"/>
                </a:ext>
              </a:extLst>
            </xdr:cNvPr>
            <xdr:cNvSpPr txBox="1"/>
          </xdr:nvSpPr>
          <xdr:spPr>
            <a:xfrm>
              <a:off x="13430250" y="5943600"/>
              <a:ext cx="5238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1"/>
                <a:t>R</a:t>
              </a:r>
              <a:r>
                <a:rPr lang="en-US" sz="1100" b="1" baseline="-25000"/>
                <a:t>IOUT</a:t>
              </a:r>
              <a:r>
                <a:rPr lang="en-US" sz="1100" b="1" baseline="0"/>
                <a:t> =</a:t>
              </a:r>
              <a:endParaRPr lang="en-US" sz="1100" b="1"/>
            </a:p>
          </xdr:txBody>
        </xdr:sp>
        <xdr:sp macro="" textlink="$G$54">
          <xdr:nvSpPr>
            <xdr:cNvPr id="41" name="TextBox 40">
              <a:extLst>
                <a:ext uri="{FF2B5EF4-FFF2-40B4-BE49-F238E27FC236}">
                  <a16:creationId xmlns:a16="http://schemas.microsoft.com/office/drawing/2014/main" id="{00000000-0008-0000-0000-000029000000}"/>
                </a:ext>
              </a:extLst>
            </xdr:cNvPr>
            <xdr:cNvSpPr txBox="1"/>
          </xdr:nvSpPr>
          <xdr:spPr>
            <a:xfrm>
              <a:off x="13877925" y="5953125"/>
              <a:ext cx="52387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26A0E02C-7C3A-4BFC-ACF8-A0C65265CCAC}" type="TxLink">
                <a:rPr lang="en-US" sz="1100" b="1" i="0" u="none" strike="noStrike">
                  <a:solidFill>
                    <a:srgbClr val="000000"/>
                  </a:solidFill>
                  <a:latin typeface="Calibri"/>
                  <a:cs typeface="Calibri"/>
                </a:rPr>
                <a:pPr algn="l"/>
                <a:t>0 kΩ</a:t>
              </a:fld>
              <a:endParaRPr lang="en-US" sz="1100" b="1">
                <a:latin typeface="+mn-lt"/>
              </a:endParaRPr>
            </a:p>
          </xdr:txBody>
        </xdr:sp>
        <xdr:sp macro="" textlink="">
          <xdr:nvSpPr>
            <xdr:cNvPr id="42" name="TextBox 41">
              <a:extLst>
                <a:ext uri="{FF2B5EF4-FFF2-40B4-BE49-F238E27FC236}">
                  <a16:creationId xmlns:a16="http://schemas.microsoft.com/office/drawing/2014/main" id="{00000000-0008-0000-0000-00002A000000}"/>
                </a:ext>
              </a:extLst>
            </xdr:cNvPr>
            <xdr:cNvSpPr txBox="1"/>
          </xdr:nvSpPr>
          <xdr:spPr>
            <a:xfrm>
              <a:off x="13601701" y="5800725"/>
              <a:ext cx="4381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1"/>
                <a:t>R</a:t>
              </a:r>
              <a:r>
                <a:rPr lang="en-US" sz="1100" b="1" baseline="-25000"/>
                <a:t>IIN</a:t>
              </a:r>
              <a:r>
                <a:rPr lang="en-US" sz="1100" b="1" baseline="0"/>
                <a:t> =</a:t>
              </a:r>
              <a:endParaRPr lang="en-US" sz="1100" b="1"/>
            </a:p>
          </xdr:txBody>
        </xdr:sp>
        <xdr:sp macro="" textlink="$G$45">
          <xdr:nvSpPr>
            <xdr:cNvPr id="43" name="TextBox 42">
              <a:extLst>
                <a:ext uri="{FF2B5EF4-FFF2-40B4-BE49-F238E27FC236}">
                  <a16:creationId xmlns:a16="http://schemas.microsoft.com/office/drawing/2014/main" id="{00000000-0008-0000-0000-00002B000000}"/>
                </a:ext>
              </a:extLst>
            </xdr:cNvPr>
            <xdr:cNvSpPr txBox="1"/>
          </xdr:nvSpPr>
          <xdr:spPr>
            <a:xfrm>
              <a:off x="13992225" y="5810250"/>
              <a:ext cx="52387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09D79F53-3E6A-4BF3-BE3B-42A3FC35D375}" type="TxLink">
                <a:rPr lang="en-US" sz="1100" b="1" i="0" u="none" strike="noStrike">
                  <a:solidFill>
                    <a:srgbClr val="000000"/>
                  </a:solidFill>
                  <a:latin typeface="Calibri"/>
                  <a:cs typeface="Calibri"/>
                </a:rPr>
                <a:pPr algn="l"/>
                <a:t>0 kΩ</a:t>
              </a:fld>
              <a:endParaRPr lang="en-US" sz="1100" b="1">
                <a:latin typeface="+mn-lt"/>
              </a:endParaRPr>
            </a:p>
          </xdr:txBody>
        </xdr:sp>
        <xdr:sp macro="" textlink="">
          <xdr:nvSpPr>
            <xdr:cNvPr id="44" name="TextBox 43">
              <a:extLst>
                <a:ext uri="{FF2B5EF4-FFF2-40B4-BE49-F238E27FC236}">
                  <a16:creationId xmlns:a16="http://schemas.microsoft.com/office/drawing/2014/main" id="{00000000-0008-0000-0000-00002C000000}"/>
                </a:ext>
              </a:extLst>
            </xdr:cNvPr>
            <xdr:cNvSpPr txBox="1"/>
          </xdr:nvSpPr>
          <xdr:spPr>
            <a:xfrm>
              <a:off x="13515975" y="5553075"/>
              <a:ext cx="5905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1"/>
                <a:t>R</a:t>
              </a:r>
              <a:r>
                <a:rPr lang="en-US" sz="1100" b="1" baseline="-25000"/>
                <a:t>MODE</a:t>
              </a:r>
              <a:r>
                <a:rPr lang="en-US" sz="1100" b="1" baseline="0"/>
                <a:t> =</a:t>
              </a:r>
              <a:endParaRPr lang="en-US" sz="1100" b="1"/>
            </a:p>
          </xdr:txBody>
        </xdr:sp>
        <xdr:sp macro="" textlink="$G$92">
          <xdr:nvSpPr>
            <xdr:cNvPr id="45" name="TextBox 44">
              <a:extLst>
                <a:ext uri="{FF2B5EF4-FFF2-40B4-BE49-F238E27FC236}">
                  <a16:creationId xmlns:a16="http://schemas.microsoft.com/office/drawing/2014/main" id="{00000000-0008-0000-0000-00002D000000}"/>
                </a:ext>
              </a:extLst>
            </xdr:cNvPr>
            <xdr:cNvSpPr txBox="1"/>
          </xdr:nvSpPr>
          <xdr:spPr>
            <a:xfrm>
              <a:off x="14011275" y="5572125"/>
              <a:ext cx="52387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84C00216-ACA4-4DF2-A075-F88956F9BCF0}" type="TxLink">
                <a:rPr lang="en-US" sz="1100" b="1" i="0" u="none" strike="noStrike">
                  <a:solidFill>
                    <a:srgbClr val="000000"/>
                  </a:solidFill>
                  <a:latin typeface="Calibri"/>
                  <a:cs typeface="Calibri"/>
                </a:rPr>
                <a:pPr algn="l"/>
                <a:t>0 kΩ</a:t>
              </a:fld>
              <a:endParaRPr lang="en-US" sz="1100" b="1">
                <a:latin typeface="+mn-lt"/>
              </a:endParaRPr>
            </a:p>
          </xdr:txBody>
        </xdr:sp>
        <xdr:sp macro="" textlink="">
          <xdr:nvSpPr>
            <xdr:cNvPr id="46" name="TextBox 45">
              <a:extLst>
                <a:ext uri="{FF2B5EF4-FFF2-40B4-BE49-F238E27FC236}">
                  <a16:creationId xmlns:a16="http://schemas.microsoft.com/office/drawing/2014/main" id="{00000000-0008-0000-0000-00002E000000}"/>
                </a:ext>
              </a:extLst>
            </xdr:cNvPr>
            <xdr:cNvSpPr txBox="1"/>
          </xdr:nvSpPr>
          <xdr:spPr>
            <a:xfrm>
              <a:off x="13782675" y="5391150"/>
              <a:ext cx="4191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1"/>
                <a:t>R</a:t>
              </a:r>
              <a:r>
                <a:rPr lang="en-US" sz="1100" b="1" baseline="-25000"/>
                <a:t>T1</a:t>
              </a:r>
              <a:r>
                <a:rPr lang="en-US" sz="1100" b="1" baseline="0"/>
                <a:t> =</a:t>
              </a:r>
              <a:endParaRPr lang="en-US" sz="1100" b="1"/>
            </a:p>
          </xdr:txBody>
        </xdr:sp>
        <xdr:sp macro="" textlink="$G$84">
          <xdr:nvSpPr>
            <xdr:cNvPr id="47" name="TextBox 46">
              <a:extLst>
                <a:ext uri="{FF2B5EF4-FFF2-40B4-BE49-F238E27FC236}">
                  <a16:creationId xmlns:a16="http://schemas.microsoft.com/office/drawing/2014/main" id="{00000000-0008-0000-0000-00002F000000}"/>
                </a:ext>
              </a:extLst>
            </xdr:cNvPr>
            <xdr:cNvSpPr txBox="1"/>
          </xdr:nvSpPr>
          <xdr:spPr>
            <a:xfrm>
              <a:off x="14144625" y="5391150"/>
              <a:ext cx="6096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61789C82-58D7-42AA-BC5C-A2FA648AFB8F}" type="TxLink">
                <a:rPr lang="en-US" sz="1100" b="1" i="0" u="none" strike="noStrike">
                  <a:solidFill>
                    <a:srgbClr val="000000"/>
                  </a:solidFill>
                  <a:latin typeface="Calibri"/>
                  <a:cs typeface="Calibri"/>
                </a:rPr>
                <a:pPr algn="l"/>
                <a:t>5.48 kΩ</a:t>
              </a:fld>
              <a:endParaRPr lang="en-US" sz="1100" b="1">
                <a:latin typeface="+mn-lt"/>
              </a:endParaRPr>
            </a:p>
          </xdr:txBody>
        </xdr:sp>
        <xdr:cxnSp macro="">
          <xdr:nvCxnSpPr>
            <xdr:cNvPr id="48" name="Straight Arrow Connector 47">
              <a:extLst>
                <a:ext uri="{FF2B5EF4-FFF2-40B4-BE49-F238E27FC236}">
                  <a16:creationId xmlns:a16="http://schemas.microsoft.com/office/drawing/2014/main" id="{00000000-0008-0000-0000-000030000000}"/>
                </a:ext>
              </a:extLst>
            </xdr:cNvPr>
            <xdr:cNvCxnSpPr/>
          </xdr:nvCxnSpPr>
          <xdr:spPr>
            <a:xfrm flipV="1">
              <a:off x="14154150" y="5314950"/>
              <a:ext cx="542925" cy="161926"/>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5" name="TextBox 54">
              <a:extLst>
                <a:ext uri="{FF2B5EF4-FFF2-40B4-BE49-F238E27FC236}">
                  <a16:creationId xmlns:a16="http://schemas.microsoft.com/office/drawing/2014/main" id="{00000000-0008-0000-0000-000037000000}"/>
                </a:ext>
              </a:extLst>
            </xdr:cNvPr>
            <xdr:cNvSpPr txBox="1"/>
          </xdr:nvSpPr>
          <xdr:spPr>
            <a:xfrm>
              <a:off x="14744700" y="6334125"/>
              <a:ext cx="4191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1"/>
                <a:t>R</a:t>
              </a:r>
              <a:r>
                <a:rPr lang="en-US" sz="1100" b="1" baseline="-25000"/>
                <a:t>T1</a:t>
              </a:r>
              <a:r>
                <a:rPr lang="en-US" sz="1100" b="1" baseline="0"/>
                <a:t> =</a:t>
              </a:r>
              <a:endParaRPr lang="en-US" sz="1100" b="1"/>
            </a:p>
          </xdr:txBody>
        </xdr:sp>
        <xdr:sp macro="" textlink="$G$85">
          <xdr:nvSpPr>
            <xdr:cNvPr id="56" name="TextBox 55">
              <a:extLst>
                <a:ext uri="{FF2B5EF4-FFF2-40B4-BE49-F238E27FC236}">
                  <a16:creationId xmlns:a16="http://schemas.microsoft.com/office/drawing/2014/main" id="{00000000-0008-0000-0000-000038000000}"/>
                </a:ext>
              </a:extLst>
            </xdr:cNvPr>
            <xdr:cNvSpPr txBox="1"/>
          </xdr:nvSpPr>
          <xdr:spPr>
            <a:xfrm>
              <a:off x="15059025" y="6334125"/>
              <a:ext cx="6096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7DDB80C3-35BE-4DB8-8667-42B05F3CE423}" type="TxLink">
                <a:rPr lang="en-US" sz="1100" b="1" i="0" u="none" strike="noStrike">
                  <a:solidFill>
                    <a:srgbClr val="000000"/>
                  </a:solidFill>
                  <a:latin typeface="Calibri"/>
                  <a:cs typeface="Calibri"/>
                </a:rPr>
                <a:pPr algn="l"/>
                <a:t>57.42 kΩ</a:t>
              </a:fld>
              <a:endParaRPr lang="en-US" sz="1100" b="1">
                <a:latin typeface="+mn-lt"/>
              </a:endParaRPr>
            </a:p>
          </xdr:txBody>
        </xdr:sp>
        <xdr:sp macro="" textlink="">
          <xdr:nvSpPr>
            <xdr:cNvPr id="57" name="TextBox 56">
              <a:extLst>
                <a:ext uri="{FF2B5EF4-FFF2-40B4-BE49-F238E27FC236}">
                  <a16:creationId xmlns:a16="http://schemas.microsoft.com/office/drawing/2014/main" id="{00000000-0008-0000-0000-000039000000}"/>
                </a:ext>
              </a:extLst>
            </xdr:cNvPr>
            <xdr:cNvSpPr txBox="1"/>
          </xdr:nvSpPr>
          <xdr:spPr>
            <a:xfrm>
              <a:off x="11277600" y="2533650"/>
              <a:ext cx="31432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1" baseline="0"/>
                <a:t>L =</a:t>
              </a:r>
              <a:endParaRPr lang="en-US" sz="1100" b="1"/>
            </a:p>
          </xdr:txBody>
        </xdr:sp>
        <xdr:sp macro="" textlink="$G$26">
          <xdr:nvSpPr>
            <xdr:cNvPr id="58" name="TextBox 57">
              <a:extLst>
                <a:ext uri="{FF2B5EF4-FFF2-40B4-BE49-F238E27FC236}">
                  <a16:creationId xmlns:a16="http://schemas.microsoft.com/office/drawing/2014/main" id="{00000000-0008-0000-0000-00003A000000}"/>
                </a:ext>
              </a:extLst>
            </xdr:cNvPr>
            <xdr:cNvSpPr txBox="1"/>
          </xdr:nvSpPr>
          <xdr:spPr>
            <a:xfrm>
              <a:off x="11515725" y="2533650"/>
              <a:ext cx="5408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FDDAD063-C5FC-48CD-B44D-AAF512675CB8}" type="TxLink">
                <a:rPr lang="en-US" sz="1100" b="1" i="0" u="none" strike="noStrike">
                  <a:solidFill>
                    <a:srgbClr val="000000"/>
                  </a:solidFill>
                  <a:latin typeface="Calibri"/>
                  <a:cs typeface="Calibri"/>
                </a:rPr>
                <a:pPr/>
                <a:t>10 µH</a:t>
              </a:fld>
              <a:endParaRPr lang="en-US" sz="1100" b="1"/>
            </a:p>
          </xdr:txBody>
        </xdr:sp>
      </xdr:grpSp>
      <xdr:sp macro="" textlink="">
        <xdr:nvSpPr>
          <xdr:cNvPr id="60" name="TextBox 59">
            <a:extLst>
              <a:ext uri="{FF2B5EF4-FFF2-40B4-BE49-F238E27FC236}">
                <a16:creationId xmlns:a16="http://schemas.microsoft.com/office/drawing/2014/main" id="{00000000-0008-0000-0000-00003C000000}"/>
              </a:ext>
            </a:extLst>
          </xdr:cNvPr>
          <xdr:cNvSpPr txBox="1"/>
        </xdr:nvSpPr>
        <xdr:spPr>
          <a:xfrm>
            <a:off x="10848855" y="1543050"/>
            <a:ext cx="67069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1"/>
              <a:t>R</a:t>
            </a:r>
            <a:r>
              <a:rPr lang="en-US" sz="1100" b="1" baseline="-25000"/>
              <a:t>CIN</a:t>
            </a:r>
            <a:r>
              <a:rPr lang="en-US" sz="1100" b="1" baseline="0"/>
              <a:t> =</a:t>
            </a:r>
            <a:endParaRPr lang="en-US" sz="1100" b="1"/>
          </a:p>
        </xdr:txBody>
      </xdr:sp>
      <xdr:sp macro="" textlink="$G$100">
        <xdr:nvSpPr>
          <xdr:cNvPr id="61" name="TextBox 60">
            <a:extLst>
              <a:ext uri="{FF2B5EF4-FFF2-40B4-BE49-F238E27FC236}">
                <a16:creationId xmlns:a16="http://schemas.microsoft.com/office/drawing/2014/main" id="{00000000-0008-0000-0000-00003D000000}"/>
              </a:ext>
            </a:extLst>
          </xdr:cNvPr>
          <xdr:cNvSpPr txBox="1"/>
        </xdr:nvSpPr>
        <xdr:spPr>
          <a:xfrm>
            <a:off x="11277480" y="1552575"/>
            <a:ext cx="5408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98AF030-41BB-484F-802C-A31F87601CD0}" type="TxLink">
              <a:rPr lang="en-US" sz="1100" b="1" i="0" u="none" strike="noStrike">
                <a:solidFill>
                  <a:srgbClr val="000000"/>
                </a:solidFill>
                <a:latin typeface="Calibri"/>
                <a:cs typeface="Calibri"/>
              </a:rPr>
              <a:pPr/>
              <a:t>330 µF</a:t>
            </a:fld>
            <a:endParaRPr lang="en-US" sz="1100" b="1"/>
          </a:p>
        </xdr:txBody>
      </xdr:sp>
      <xdr:sp macro="" textlink="">
        <xdr:nvSpPr>
          <xdr:cNvPr id="62" name="TextBox 61">
            <a:extLst>
              <a:ext uri="{FF2B5EF4-FFF2-40B4-BE49-F238E27FC236}">
                <a16:creationId xmlns:a16="http://schemas.microsoft.com/office/drawing/2014/main" id="{00000000-0008-0000-0000-00003E000000}"/>
              </a:ext>
            </a:extLst>
          </xdr:cNvPr>
          <xdr:cNvSpPr txBox="1"/>
        </xdr:nvSpPr>
        <xdr:spPr>
          <a:xfrm>
            <a:off x="13420605" y="2400300"/>
            <a:ext cx="67069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1"/>
              <a:t>R</a:t>
            </a:r>
            <a:r>
              <a:rPr lang="en-US" sz="1100" b="1" baseline="-25000"/>
              <a:t>COUT</a:t>
            </a:r>
            <a:r>
              <a:rPr lang="en-US" sz="1100" b="1" baseline="0"/>
              <a:t> =</a:t>
            </a:r>
            <a:endParaRPr lang="en-US" sz="1100" b="1"/>
          </a:p>
        </xdr:txBody>
      </xdr:sp>
      <xdr:sp macro="" textlink="$G$106">
        <xdr:nvSpPr>
          <xdr:cNvPr id="63" name="TextBox 62">
            <a:extLst>
              <a:ext uri="{FF2B5EF4-FFF2-40B4-BE49-F238E27FC236}">
                <a16:creationId xmlns:a16="http://schemas.microsoft.com/office/drawing/2014/main" id="{00000000-0008-0000-0000-00003F000000}"/>
              </a:ext>
            </a:extLst>
          </xdr:cNvPr>
          <xdr:cNvSpPr txBox="1"/>
        </xdr:nvSpPr>
        <xdr:spPr>
          <a:xfrm>
            <a:off x="13887330" y="2390775"/>
            <a:ext cx="5408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C9CEF21-9A47-4978-8694-AB011E2242BD}" type="TxLink">
              <a:rPr lang="en-US" sz="1100" b="1" i="0" u="none" strike="noStrike">
                <a:solidFill>
                  <a:srgbClr val="000000"/>
                </a:solidFill>
                <a:latin typeface="Calibri"/>
                <a:cs typeface="Calibri"/>
              </a:rPr>
              <a:pPr/>
              <a:t>330 µF</a:t>
            </a:fld>
            <a:endParaRPr lang="en-US" sz="1100" b="1"/>
          </a:p>
        </xdr:txBody>
      </xdr:sp>
    </xdr:grpSp>
    <xdr:clientData/>
  </xdr:twoCellAnchor>
  <xdr:twoCellAnchor>
    <xdr:from>
      <xdr:col>13</xdr:col>
      <xdr:colOff>549275</xdr:colOff>
      <xdr:row>34</xdr:row>
      <xdr:rowOff>158750</xdr:rowOff>
    </xdr:from>
    <xdr:to>
      <xdr:col>18</xdr:col>
      <xdr:colOff>4826000</xdr:colOff>
      <xdr:row>87</xdr:row>
      <xdr:rowOff>95250</xdr:rowOff>
    </xdr:to>
    <xdr:sp macro="" textlink="">
      <xdr:nvSpPr>
        <xdr:cNvPr id="50" name="TextBox 49">
          <a:extLst>
            <a:ext uri="{FF2B5EF4-FFF2-40B4-BE49-F238E27FC236}">
              <a16:creationId xmlns:a16="http://schemas.microsoft.com/office/drawing/2014/main" id="{00000000-0008-0000-0000-000032000000}"/>
            </a:ext>
          </a:extLst>
        </xdr:cNvPr>
        <xdr:cNvSpPr txBox="1"/>
      </xdr:nvSpPr>
      <xdr:spPr>
        <a:xfrm>
          <a:off x="9388475" y="7235825"/>
          <a:ext cx="7324725" cy="10318750"/>
        </a:xfrm>
        <a:prstGeom prst="rect">
          <a:avLst/>
        </a:prstGeom>
        <a:solidFill>
          <a:schemeClr val="accent4">
            <a:lumMod val="40000"/>
            <a:lumOff val="60000"/>
          </a:schemeClr>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How to use BQ25756</a:t>
          </a:r>
          <a:r>
            <a:rPr lang="en-US" sz="1100" b="1" baseline="0"/>
            <a:t> Design Tool</a:t>
          </a:r>
        </a:p>
        <a:p>
          <a:pPr algn="ctr"/>
          <a:endParaRPr lang="en-US" sz="1100" b="1" baseline="0"/>
        </a:p>
        <a:p>
          <a:pPr algn="l"/>
          <a:r>
            <a:rPr lang="en-US" sz="1100" b="1" baseline="0"/>
            <a:t>General</a:t>
          </a:r>
        </a:p>
        <a:p>
          <a:pPr algn="l"/>
          <a:r>
            <a:rPr lang="en-US" sz="1100" b="0" baseline="0">
              <a:solidFill>
                <a:schemeClr val="dk1"/>
              </a:solidFill>
              <a:effectLst/>
              <a:latin typeface="+mn-lt"/>
              <a:ea typeface="+mn-ea"/>
              <a:cs typeface="+mn-cs"/>
            </a:rPr>
            <a:t>    -  If warning message pops up about there being cicular references, just click </a:t>
          </a:r>
          <a:r>
            <a:rPr lang="en-US" sz="1100" b="1" baseline="0">
              <a:solidFill>
                <a:schemeClr val="dk1"/>
              </a:solidFill>
              <a:effectLst/>
              <a:latin typeface="+mn-lt"/>
              <a:ea typeface="+mn-ea"/>
              <a:cs typeface="+mn-cs"/>
            </a:rPr>
            <a:t>OK</a:t>
          </a:r>
          <a:r>
            <a:rPr lang="en-US" sz="1100" b="0" baseline="0">
              <a:solidFill>
                <a:schemeClr val="dk1"/>
              </a:solidFill>
              <a:effectLst/>
              <a:latin typeface="+mn-lt"/>
              <a:ea typeface="+mn-ea"/>
              <a:cs typeface="+mn-cs"/>
            </a:rPr>
            <a:t>. </a:t>
          </a:r>
          <a:endParaRPr lang="en-US" sz="1100" b="1" baseline="0"/>
        </a:p>
        <a:p>
          <a:pPr algn="l"/>
          <a:endParaRPr lang="en-US" sz="1100" b="0" baseline="0"/>
        </a:p>
        <a:p>
          <a:pPr algn="l"/>
          <a:r>
            <a:rPr lang="en-US" sz="1100" b="0" baseline="0"/>
            <a:t>    -  </a:t>
          </a:r>
          <a:r>
            <a:rPr lang="en-US" sz="1100" b="1" baseline="0"/>
            <a:t>Yellow cells </a:t>
          </a:r>
          <a:r>
            <a:rPr lang="en-US" sz="1100" b="0" baseline="0"/>
            <a:t>are where the user inputs their design requirements/choices. </a:t>
          </a:r>
        </a:p>
        <a:p>
          <a:pPr algn="l"/>
          <a:endParaRPr lang="en-US" sz="1100" b="0" baseline="0"/>
        </a:p>
        <a:p>
          <a:pPr marL="0" marR="0" lvl="0" indent="0" algn="l"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  Cells with </a:t>
          </a:r>
          <a:r>
            <a:rPr lang="en-US" sz="1100" b="1" baseline="0">
              <a:solidFill>
                <a:schemeClr val="dk1"/>
              </a:solidFill>
              <a:effectLst/>
              <a:latin typeface="+mn-lt"/>
              <a:ea typeface="+mn-ea"/>
              <a:cs typeface="+mn-cs"/>
            </a:rPr>
            <a:t>red text </a:t>
          </a:r>
          <a:r>
            <a:rPr lang="en-US" sz="1100" b="0" baseline="0">
              <a:solidFill>
                <a:schemeClr val="dk1"/>
              </a:solidFill>
              <a:effectLst/>
              <a:latin typeface="+mn-lt"/>
              <a:ea typeface="+mn-ea"/>
              <a:cs typeface="+mn-cs"/>
            </a:rPr>
            <a:t>indicate potential issues with the user's inputs. If a cell's text is flagged red, there will be a note to the</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left of the cell explain why the cell is flagged red. </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 There are notes throughout the whole tool, if the user has any questions about the tool, the user should look at the note  </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for the cell that they are looking at. There may also be addition useful information in nearby cell notes. </a:t>
          </a:r>
        </a:p>
        <a:p>
          <a:pPr marL="0" marR="0" lvl="0" indent="0" algn="l"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  Sections follow a </a:t>
          </a:r>
          <a:r>
            <a:rPr lang="en-US" sz="1100" b="1" baseline="0">
              <a:solidFill>
                <a:schemeClr val="dk1"/>
              </a:solidFill>
              <a:effectLst/>
              <a:latin typeface="+mn-lt"/>
              <a:ea typeface="+mn-ea"/>
              <a:cs typeface="+mn-cs"/>
            </a:rPr>
            <a:t>Desired</a:t>
          </a:r>
          <a:r>
            <a:rPr lang="en-US" sz="1100" b="0" baseline="0">
              <a:solidFill>
                <a:schemeClr val="dk1"/>
              </a:solidFill>
              <a:effectLst/>
              <a:latin typeface="+mn-lt"/>
              <a:ea typeface="+mn-ea"/>
              <a:cs typeface="+mn-cs"/>
            </a:rPr>
            <a:t>, </a:t>
          </a:r>
          <a:r>
            <a:rPr lang="en-US" sz="1100" b="1" baseline="0">
              <a:solidFill>
                <a:schemeClr val="dk1"/>
              </a:solidFill>
              <a:effectLst/>
              <a:latin typeface="+mn-lt"/>
              <a:ea typeface="+mn-ea"/>
              <a:cs typeface="+mn-cs"/>
            </a:rPr>
            <a:t>Recommended</a:t>
          </a:r>
          <a:r>
            <a:rPr lang="en-US" sz="1100" b="0" baseline="0">
              <a:solidFill>
                <a:schemeClr val="dk1"/>
              </a:solidFill>
              <a:effectLst/>
              <a:latin typeface="+mn-lt"/>
              <a:ea typeface="+mn-ea"/>
              <a:cs typeface="+mn-cs"/>
            </a:rPr>
            <a:t>, </a:t>
          </a:r>
          <a:r>
            <a:rPr lang="en-US" sz="1100" b="1" baseline="0">
              <a:solidFill>
                <a:schemeClr val="dk1"/>
              </a:solidFill>
              <a:effectLst/>
              <a:latin typeface="+mn-lt"/>
              <a:ea typeface="+mn-ea"/>
              <a:cs typeface="+mn-cs"/>
            </a:rPr>
            <a:t>Selected</a:t>
          </a:r>
          <a:r>
            <a:rPr lang="en-US" sz="1100" b="0" baseline="0">
              <a:solidFill>
                <a:schemeClr val="dk1"/>
              </a:solidFill>
              <a:effectLst/>
              <a:latin typeface="+mn-lt"/>
              <a:ea typeface="+mn-ea"/>
              <a:cs typeface="+mn-cs"/>
            </a:rPr>
            <a:t>, and </a:t>
          </a:r>
          <a:r>
            <a:rPr lang="en-US" sz="1100" b="1" baseline="0">
              <a:solidFill>
                <a:schemeClr val="dk1"/>
              </a:solidFill>
              <a:effectLst/>
              <a:latin typeface="+mn-lt"/>
              <a:ea typeface="+mn-ea"/>
              <a:cs typeface="+mn-cs"/>
            </a:rPr>
            <a:t>Recognized</a:t>
          </a:r>
          <a:r>
            <a:rPr lang="en-US" sz="1100" b="0" baseline="0">
              <a:solidFill>
                <a:schemeClr val="dk1"/>
              </a:solidFill>
              <a:effectLst/>
              <a:latin typeface="+mn-lt"/>
              <a:ea typeface="+mn-ea"/>
              <a:cs typeface="+mn-cs"/>
            </a:rPr>
            <a:t> format. </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 Cells with </a:t>
          </a:r>
          <a:r>
            <a:rPr lang="en-US" sz="1100" b="1" baseline="0">
              <a:solidFill>
                <a:schemeClr val="dk1"/>
              </a:solidFill>
              <a:effectLst/>
              <a:latin typeface="+mn-lt"/>
              <a:ea typeface="+mn-ea"/>
              <a:cs typeface="+mn-cs"/>
            </a:rPr>
            <a:t>Desired</a:t>
          </a:r>
          <a:r>
            <a:rPr lang="en-US" sz="1100" b="0" baseline="0">
              <a:solidFill>
                <a:schemeClr val="dk1"/>
              </a:solidFill>
              <a:effectLst/>
              <a:latin typeface="+mn-lt"/>
              <a:ea typeface="+mn-ea"/>
              <a:cs typeface="+mn-cs"/>
            </a:rPr>
            <a:t> in their name are user input cells where the user inputs what they Desire for their design.</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 Cells with </a:t>
          </a:r>
          <a:r>
            <a:rPr lang="en-US" sz="1100" b="1" baseline="0">
              <a:solidFill>
                <a:schemeClr val="dk1"/>
              </a:solidFill>
              <a:effectLst/>
              <a:latin typeface="+mn-lt"/>
              <a:ea typeface="+mn-ea"/>
              <a:cs typeface="+mn-cs"/>
            </a:rPr>
            <a:t>Recommended</a:t>
          </a:r>
          <a:r>
            <a:rPr lang="en-US" sz="1100" b="0" baseline="0">
              <a:solidFill>
                <a:schemeClr val="dk1"/>
              </a:solidFill>
              <a:effectLst/>
              <a:latin typeface="+mn-lt"/>
              <a:ea typeface="+mn-ea"/>
              <a:cs typeface="+mn-cs"/>
            </a:rPr>
            <a:t> in their name are what the tool </a:t>
          </a:r>
          <a:r>
            <a:rPr lang="en-US" sz="1100" b="1" baseline="0">
              <a:solidFill>
                <a:schemeClr val="dk1"/>
              </a:solidFill>
              <a:effectLst/>
              <a:latin typeface="+mn-lt"/>
              <a:ea typeface="+mn-ea"/>
              <a:cs typeface="+mn-cs"/>
            </a:rPr>
            <a:t>Recommends</a:t>
          </a:r>
          <a:r>
            <a:rPr lang="en-US" sz="1100" b="0" baseline="0">
              <a:solidFill>
                <a:schemeClr val="dk1"/>
              </a:solidFill>
              <a:effectLst/>
              <a:latin typeface="+mn-lt"/>
              <a:ea typeface="+mn-ea"/>
              <a:cs typeface="+mn-cs"/>
            </a:rPr>
            <a:t> to get the </a:t>
          </a:r>
          <a:r>
            <a:rPr lang="en-US" sz="1100" b="1" baseline="0">
              <a:solidFill>
                <a:schemeClr val="dk1"/>
              </a:solidFill>
              <a:effectLst/>
              <a:latin typeface="+mn-lt"/>
              <a:ea typeface="+mn-ea"/>
              <a:cs typeface="+mn-cs"/>
            </a:rPr>
            <a:t>Desired</a:t>
          </a:r>
          <a:r>
            <a:rPr lang="en-US" sz="1100" b="0" baseline="0">
              <a:solidFill>
                <a:schemeClr val="dk1"/>
              </a:solidFill>
              <a:effectLst/>
              <a:latin typeface="+mn-lt"/>
              <a:ea typeface="+mn-ea"/>
              <a:cs typeface="+mn-cs"/>
            </a:rPr>
            <a:t> input or is a general</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recommendation based off user's previously entered data.</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 Cells with </a:t>
          </a:r>
          <a:r>
            <a:rPr lang="en-US" sz="1100" b="1" baseline="0">
              <a:solidFill>
                <a:schemeClr val="dk1"/>
              </a:solidFill>
              <a:effectLst/>
              <a:latin typeface="+mn-lt"/>
              <a:ea typeface="+mn-ea"/>
              <a:cs typeface="+mn-cs"/>
            </a:rPr>
            <a:t>Selected</a:t>
          </a:r>
          <a:r>
            <a:rPr lang="en-US" sz="1100" b="0" baseline="0">
              <a:solidFill>
                <a:schemeClr val="dk1"/>
              </a:solidFill>
              <a:effectLst/>
              <a:latin typeface="+mn-lt"/>
              <a:ea typeface="+mn-ea"/>
              <a:cs typeface="+mn-cs"/>
            </a:rPr>
            <a:t> in their name are user input cells where the user inputs the actual component/parameter that they</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will use in their design. </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 Cells with </a:t>
          </a:r>
          <a:r>
            <a:rPr lang="en-US" sz="1100" b="1" baseline="0">
              <a:solidFill>
                <a:schemeClr val="dk1"/>
              </a:solidFill>
              <a:effectLst/>
              <a:latin typeface="+mn-lt"/>
              <a:ea typeface="+mn-ea"/>
              <a:cs typeface="+mn-cs"/>
            </a:rPr>
            <a:t>Recognized</a:t>
          </a:r>
          <a:r>
            <a:rPr lang="en-US" sz="1100" b="0" baseline="0">
              <a:solidFill>
                <a:schemeClr val="dk1"/>
              </a:solidFill>
              <a:effectLst/>
              <a:latin typeface="+mn-lt"/>
              <a:ea typeface="+mn-ea"/>
              <a:cs typeface="+mn-cs"/>
            </a:rPr>
            <a:t> in their name are what BQ2575X will </a:t>
          </a:r>
          <a:r>
            <a:rPr lang="en-US" sz="1100" b="1" baseline="0">
              <a:solidFill>
                <a:schemeClr val="dk1"/>
              </a:solidFill>
              <a:effectLst/>
              <a:latin typeface="+mn-lt"/>
              <a:ea typeface="+mn-ea"/>
              <a:cs typeface="+mn-cs"/>
            </a:rPr>
            <a:t>Recognize</a:t>
          </a:r>
          <a:r>
            <a:rPr lang="en-US" sz="1100" b="0" baseline="0">
              <a:solidFill>
                <a:schemeClr val="dk1"/>
              </a:solidFill>
              <a:effectLst/>
              <a:latin typeface="+mn-lt"/>
              <a:ea typeface="+mn-ea"/>
              <a:cs typeface="+mn-cs"/>
            </a:rPr>
            <a:t> based off what is entered in the </a:t>
          </a:r>
          <a:r>
            <a:rPr lang="en-US" sz="1100" b="1" baseline="0">
              <a:solidFill>
                <a:schemeClr val="dk1"/>
              </a:solidFill>
              <a:effectLst/>
              <a:latin typeface="+mn-lt"/>
              <a:ea typeface="+mn-ea"/>
              <a:cs typeface="+mn-cs"/>
            </a:rPr>
            <a:t>Selected</a:t>
          </a:r>
          <a:r>
            <a:rPr lang="en-US" sz="1100" b="0" baseline="0">
              <a:solidFill>
                <a:schemeClr val="dk1"/>
              </a:solidFill>
              <a:effectLst/>
              <a:latin typeface="+mn-lt"/>
              <a:ea typeface="+mn-ea"/>
              <a:cs typeface="+mn-cs"/>
            </a:rPr>
            <a:t> cells. </a:t>
          </a:r>
          <a:endParaRPr lang="en-US">
            <a:effectLst/>
          </a:endParaRPr>
        </a:p>
        <a:p>
          <a:pPr algn="l"/>
          <a:endParaRPr lang="en-US" sz="1100" b="0" baseline="0"/>
        </a:p>
        <a:p>
          <a:pPr marL="0" marR="0" lvl="0" indent="0" algn="l"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  It is recommended that the user completes each section in order because many sections will use the user's input from </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the previous sections to provide recommendations for that section.</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Step 7: Thermistor Qualification</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 This step provides the Recommended Ideal RT1 &amp; RT2 resistances, however, the resistance provided may not be a </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standard resistance. Furthermore, this step does not allow the user to "</a:t>
          </a:r>
          <a:r>
            <a:rPr lang="en-US" sz="1100" b="1" baseline="0">
              <a:solidFill>
                <a:schemeClr val="dk1"/>
              </a:solidFill>
              <a:effectLst/>
              <a:latin typeface="+mn-lt"/>
              <a:ea typeface="+mn-ea"/>
              <a:cs typeface="+mn-cs"/>
            </a:rPr>
            <a:t>Select</a:t>
          </a:r>
          <a:r>
            <a:rPr lang="en-US" sz="1100" b="0" baseline="0">
              <a:solidFill>
                <a:schemeClr val="dk1"/>
              </a:solidFill>
              <a:effectLst/>
              <a:latin typeface="+mn-lt"/>
              <a:ea typeface="+mn-ea"/>
              <a:cs typeface="+mn-cs"/>
            </a:rPr>
            <a:t>" and check that their "</a:t>
          </a:r>
          <a:r>
            <a:rPr lang="en-US" sz="1100" b="1" baseline="0">
              <a:solidFill>
                <a:schemeClr val="dk1"/>
              </a:solidFill>
              <a:effectLst/>
              <a:latin typeface="+mn-lt"/>
              <a:ea typeface="+mn-ea"/>
              <a:cs typeface="+mn-cs"/>
            </a:rPr>
            <a:t>Recognized</a:t>
          </a:r>
          <a:r>
            <a:rPr lang="en-US" sz="1100" b="0" baseline="0">
              <a:solidFill>
                <a:schemeClr val="dk1"/>
              </a:solidFill>
              <a:effectLst/>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Temperature Thresholds match their "</a:t>
          </a:r>
          <a:r>
            <a:rPr lang="en-US" sz="1100" b="1" baseline="0">
              <a:solidFill>
                <a:schemeClr val="dk1"/>
              </a:solidFill>
              <a:effectLst/>
              <a:latin typeface="+mn-lt"/>
              <a:ea typeface="+mn-ea"/>
              <a:cs typeface="+mn-cs"/>
            </a:rPr>
            <a:t>Desired</a:t>
          </a:r>
          <a:r>
            <a:rPr lang="en-US" sz="1100" b="0" baseline="0">
              <a:solidFill>
                <a:schemeClr val="dk1"/>
              </a:solidFill>
              <a:effectLst/>
              <a:latin typeface="+mn-lt"/>
              <a:ea typeface="+mn-ea"/>
              <a:cs typeface="+mn-cs"/>
            </a:rPr>
            <a:t>" Temperature Thresholds. For a more in-depth look into the Thermistor </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Qualification, please look at the Thermistor Qualification tab. </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baseline="0">
            <a:solidFill>
              <a:schemeClr val="dk1"/>
            </a:solidFill>
            <a:effectLst/>
            <a:latin typeface="+mn-lt"/>
            <a:ea typeface="+mn-ea"/>
            <a:cs typeface="+mn-cs"/>
          </a:endParaRPr>
        </a:p>
        <a:p>
          <a:pPr algn="l"/>
          <a:r>
            <a:rPr lang="en-US" sz="1100" b="1" baseline="0">
              <a:effectLst/>
            </a:rPr>
            <a:t>Efficiency / Power Loss Analyzer</a:t>
          </a:r>
        </a:p>
        <a:p>
          <a:pPr algn="l"/>
          <a:r>
            <a:rPr lang="en-US" sz="1100" b="1" baseline="0">
              <a:effectLst/>
            </a:rPr>
            <a:t>     </a:t>
          </a:r>
          <a:r>
            <a:rPr lang="en-US" sz="1100" b="0" baseline="0">
              <a:effectLst/>
            </a:rPr>
            <a:t>- </a:t>
          </a:r>
          <a:r>
            <a:rPr lang="en-US" sz="1100" b="1" baseline="0">
              <a:effectLst/>
            </a:rPr>
            <a:t>NOTE: This tool is NOT an accurate representation of the actual efficiency that will be seen in real tests. The efficiency</a:t>
          </a:r>
        </a:p>
        <a:p>
          <a:pPr algn="l"/>
          <a:r>
            <a:rPr lang="en-US" sz="1100" b="1" baseline="0">
              <a:effectLst/>
            </a:rPr>
            <a:t>       plots are only for relative efficiency comparison of different components/design requirements. </a:t>
          </a:r>
        </a:p>
        <a:p>
          <a:pPr algn="l"/>
          <a:endParaRPr lang="en-US" sz="1100" b="1" baseline="0">
            <a:effectLst/>
          </a:endParaRPr>
        </a:p>
        <a:p>
          <a:pPr algn="l"/>
          <a:r>
            <a:rPr lang="en-US" sz="1100" b="1" baseline="0">
              <a:effectLst/>
            </a:rPr>
            <a:t>     </a:t>
          </a:r>
          <a:r>
            <a:rPr lang="en-US" sz="1100" b="0" baseline="0">
              <a:effectLst/>
            </a:rPr>
            <a:t>- This tool takes the user's inputs from the previous sections and plots the estimated efficiency and power loss curves. </a:t>
          </a:r>
        </a:p>
        <a:p>
          <a:pPr algn="l"/>
          <a:endParaRPr lang="en-US" sz="1100" b="0" baseline="0">
            <a:effectLst/>
          </a:endParaRPr>
        </a:p>
        <a:p>
          <a:pPr algn="l"/>
          <a:r>
            <a:rPr lang="en-US" sz="1100" b="0" baseline="0">
              <a:effectLst/>
            </a:rPr>
            <a:t>     - By default, the tool will plot the efficiency curves using the </a:t>
          </a:r>
          <a:r>
            <a:rPr lang="en-US" sz="1100" b="1" baseline="0">
              <a:effectLst/>
            </a:rPr>
            <a:t>TI Recommended MOSFETs</a:t>
          </a:r>
          <a:r>
            <a:rPr lang="en-US" sz="1100" b="0" baseline="0">
              <a:effectLst/>
            </a:rPr>
            <a:t>. But, if the user would like to see</a:t>
          </a:r>
        </a:p>
        <a:p>
          <a:pPr algn="l"/>
          <a:r>
            <a:rPr lang="en-US" sz="1100" b="0" baseline="0">
              <a:effectLst/>
            </a:rPr>
            <a:t>       how other MOSFETs might compare to the </a:t>
          </a:r>
          <a:r>
            <a:rPr lang="en-US" sz="1100" b="1" baseline="0">
              <a:effectLst/>
            </a:rPr>
            <a:t>TI Recommended MOSFETs</a:t>
          </a:r>
          <a:r>
            <a:rPr lang="en-US" sz="1100" b="0" baseline="0">
              <a:effectLst/>
            </a:rPr>
            <a:t>, they can enter in the MOSFET's parameters in </a:t>
          </a:r>
        </a:p>
        <a:p>
          <a:pPr algn="l"/>
          <a:r>
            <a:rPr lang="en-US" sz="1100" b="0" baseline="0">
              <a:effectLst/>
            </a:rPr>
            <a:t>       the </a:t>
          </a:r>
          <a:r>
            <a:rPr lang="en-US" sz="1100" b="1" baseline="0">
              <a:effectLst/>
            </a:rPr>
            <a:t>Custom Power MOSFETs </a:t>
          </a:r>
          <a:r>
            <a:rPr lang="en-US" sz="1100" b="0" baseline="0">
              <a:effectLst/>
            </a:rPr>
            <a:t>section then select </a:t>
          </a:r>
          <a:r>
            <a:rPr lang="en-US" sz="1100" b="1" baseline="0">
              <a:effectLst/>
            </a:rPr>
            <a:t>Compare</a:t>
          </a:r>
          <a:r>
            <a:rPr lang="en-US" sz="1100" b="0" baseline="0">
              <a:effectLst/>
            </a:rPr>
            <a:t> for the </a:t>
          </a:r>
          <a:r>
            <a:rPr lang="en-US" sz="1100" b="1" baseline="0">
              <a:effectLst/>
            </a:rPr>
            <a:t>MOSFET Selection </a:t>
          </a:r>
          <a:r>
            <a:rPr lang="en-US" sz="1100" b="0" baseline="0">
              <a:effectLst/>
            </a:rPr>
            <a:t>in </a:t>
          </a:r>
          <a:r>
            <a:rPr lang="en-US" sz="1100" b="1" baseline="0">
              <a:effectLst/>
            </a:rPr>
            <a:t>Step 12: Efficiency Calculation</a:t>
          </a:r>
        </a:p>
        <a:p>
          <a:pPr algn="l"/>
          <a:r>
            <a:rPr lang="en-US" sz="1100" b="1" baseline="0">
              <a:effectLst/>
            </a:rPr>
            <a:t>       Configuration</a:t>
          </a:r>
          <a:r>
            <a:rPr lang="en-US" sz="1100" b="0" baseline="0">
              <a:effectLst/>
            </a:rPr>
            <a:t>. This will plot the efficiency and power loss curves using the TI Recommended MOSFET and the user's </a:t>
          </a:r>
        </a:p>
        <a:p>
          <a:pPr algn="l"/>
          <a:r>
            <a:rPr lang="en-US" sz="1100" b="0" baseline="0">
              <a:effectLst/>
            </a:rPr>
            <a:t>       Custom MOSFET. </a:t>
          </a:r>
        </a:p>
        <a:p>
          <a:pPr algn="l"/>
          <a:endParaRPr lang="en-US" sz="1100" b="0" baseline="0">
            <a:effectLst/>
          </a:endParaRPr>
        </a:p>
        <a:p>
          <a:pPr algn="l"/>
          <a:r>
            <a:rPr lang="en-US" sz="1100" b="0" baseline="0">
              <a:effectLst/>
            </a:rPr>
            <a:t>     - The user can chose to plot only the efficiency and power loss curves using TI Recommended MOSFET or only the Custom</a:t>
          </a:r>
        </a:p>
        <a:p>
          <a:pPr algn="l"/>
          <a:r>
            <a:rPr lang="en-US" sz="1100" b="0" baseline="0">
              <a:effectLst/>
            </a:rPr>
            <a:t>       MOSFET by selecting TI Recommendation or Custom for the MOSFET Selection respectively in Step 12. </a:t>
          </a:r>
        </a:p>
        <a:p>
          <a:pPr algn="l"/>
          <a:endParaRPr lang="en-US" sz="1100" b="0" baseline="0">
            <a:effectLst/>
          </a:endParaRPr>
        </a:p>
        <a:p>
          <a:pPr algn="l"/>
          <a:r>
            <a:rPr lang="en-US" sz="1100" b="0" baseline="0">
              <a:effectLst/>
            </a:rPr>
            <a:t>     - BQ25756 allows the user to use their own gate drive voltage. To plot the efficiency curves using a custom gate drive </a:t>
          </a:r>
        </a:p>
        <a:p>
          <a:pPr algn="l"/>
          <a:r>
            <a:rPr lang="en-US" sz="1100" b="0" baseline="0">
              <a:effectLst/>
            </a:rPr>
            <a:t>       voltage, the user will need to enter their </a:t>
          </a:r>
          <a:r>
            <a:rPr lang="en-US" sz="1100" b="1" baseline="0">
              <a:effectLst/>
            </a:rPr>
            <a:t>Custom Gate Drive Voltage</a:t>
          </a:r>
          <a:r>
            <a:rPr lang="en-US" sz="1100" b="0" baseline="0">
              <a:effectLst/>
            </a:rPr>
            <a:t> in </a:t>
          </a:r>
          <a:r>
            <a:rPr lang="en-US" sz="1100" b="1" baseline="0">
              <a:effectLst/>
            </a:rPr>
            <a:t>Step 11</a:t>
          </a:r>
          <a:r>
            <a:rPr lang="en-US" sz="1100" b="0" baseline="0">
              <a:effectLst/>
            </a:rPr>
            <a:t>, then enter the </a:t>
          </a:r>
          <a:r>
            <a:rPr lang="en-US" sz="1100" b="1" baseline="0">
              <a:effectLst/>
            </a:rPr>
            <a:t>On-State Resistance </a:t>
          </a:r>
          <a:r>
            <a:rPr lang="en-US" sz="1100" b="0" baseline="0">
              <a:effectLst/>
            </a:rPr>
            <a:t>and </a:t>
          </a:r>
        </a:p>
        <a:p>
          <a:pPr algn="l"/>
          <a:r>
            <a:rPr lang="en-US" sz="1100" b="0" baseline="0">
              <a:effectLst/>
            </a:rPr>
            <a:t>       </a:t>
          </a:r>
          <a:r>
            <a:rPr lang="en-US" sz="1100" b="1" baseline="0">
              <a:effectLst/>
            </a:rPr>
            <a:t>Gate Charge </a:t>
          </a:r>
          <a:r>
            <a:rPr lang="en-US" sz="1100" b="0" baseline="0">
              <a:effectLst/>
            </a:rPr>
            <a:t>for the </a:t>
          </a:r>
          <a:r>
            <a:rPr lang="en-US" sz="1100" b="1" baseline="0">
              <a:effectLst/>
            </a:rPr>
            <a:t>Custom MOSFET </a:t>
          </a:r>
          <a:r>
            <a:rPr lang="en-US" sz="1100" b="0" baseline="0">
              <a:effectLst/>
            </a:rPr>
            <a:t>that they will be using. The user will then need to select their </a:t>
          </a:r>
          <a:r>
            <a:rPr lang="en-US" sz="1100" b="1" baseline="0">
              <a:effectLst/>
            </a:rPr>
            <a:t>Custom Gate Drive </a:t>
          </a:r>
        </a:p>
        <a:p>
          <a:pPr algn="l"/>
          <a:r>
            <a:rPr lang="en-US" sz="1100" b="1" baseline="0">
              <a:effectLst/>
            </a:rPr>
            <a:t>       Voltage </a:t>
          </a:r>
          <a:r>
            <a:rPr lang="en-US" sz="1100" b="0" baseline="0">
              <a:effectLst/>
            </a:rPr>
            <a:t>in </a:t>
          </a:r>
          <a:r>
            <a:rPr lang="en-US" sz="1100" b="1" baseline="0">
              <a:effectLst/>
            </a:rPr>
            <a:t>Step 12</a:t>
          </a:r>
          <a:r>
            <a:rPr lang="en-US" sz="1100" b="0" baseline="0">
              <a:effectLst/>
            </a:rPr>
            <a:t>. </a:t>
          </a:r>
        </a:p>
        <a:p>
          <a:pPr algn="l"/>
          <a:r>
            <a:rPr lang="en-US" sz="1100" b="0" baseline="0">
              <a:effectLst/>
            </a:rPr>
            <a:t>             - </a:t>
          </a:r>
          <a:r>
            <a:rPr lang="en-US" sz="1100" b="1" baseline="0">
              <a:effectLst/>
            </a:rPr>
            <a:t>NOTE</a:t>
          </a:r>
          <a:r>
            <a:rPr lang="en-US" sz="1100" b="0" baseline="0">
              <a:effectLst/>
            </a:rPr>
            <a:t>: Most MOSFET datasheets only provide the </a:t>
          </a:r>
          <a:r>
            <a:rPr lang="en-US" sz="1100" b="1" baseline="0">
              <a:effectLst/>
            </a:rPr>
            <a:t>On-State Resistance </a:t>
          </a:r>
          <a:r>
            <a:rPr lang="en-US" sz="1100" b="0" baseline="0">
              <a:effectLst/>
            </a:rPr>
            <a:t>and </a:t>
          </a:r>
          <a:r>
            <a:rPr lang="en-US" sz="1100" b="1" baseline="0">
              <a:effectLst/>
            </a:rPr>
            <a:t>Gate Charge </a:t>
          </a:r>
          <a:r>
            <a:rPr lang="en-US" sz="1100" b="0" baseline="0">
              <a:effectLst/>
            </a:rPr>
            <a:t>parameters for a Gate Drive</a:t>
          </a:r>
        </a:p>
        <a:p>
          <a:pPr algn="l"/>
          <a:r>
            <a:rPr lang="en-US" sz="1100" b="0" baseline="0">
              <a:effectLst/>
            </a:rPr>
            <a:t>               Voltage of 4.5 V and 10 V. If the user decides to use their own custom gate drive voltage, they will need to get the </a:t>
          </a:r>
        </a:p>
        <a:p>
          <a:pPr algn="l"/>
          <a:r>
            <a:rPr lang="en-US" sz="1100" b="0" baseline="0">
              <a:effectLst/>
            </a:rPr>
            <a:t>               </a:t>
          </a:r>
          <a:r>
            <a:rPr lang="en-US" sz="1100" b="1" baseline="0">
              <a:effectLst/>
            </a:rPr>
            <a:t>On-State Resistance </a:t>
          </a:r>
          <a:r>
            <a:rPr lang="en-US" sz="1100" b="0" baseline="0">
              <a:effectLst/>
            </a:rPr>
            <a:t>and </a:t>
          </a:r>
          <a:r>
            <a:rPr lang="en-US" sz="1100" b="1" baseline="0">
              <a:effectLst/>
            </a:rPr>
            <a:t>Gate Charge </a:t>
          </a:r>
          <a:r>
            <a:rPr lang="en-US" sz="1100" b="0" baseline="0">
              <a:effectLst/>
            </a:rPr>
            <a:t>parameters for that given gate drive voltage from the manufacturer or by </a:t>
          </a:r>
        </a:p>
        <a:p>
          <a:pPr algn="l"/>
          <a:r>
            <a:rPr lang="en-US" sz="1100" b="0" baseline="0">
              <a:effectLst/>
            </a:rPr>
            <a:t>               measuring those parameters themselves. Furthermore, since all of the different gate drive voltages for TI </a:t>
          </a:r>
        </a:p>
        <a:p>
          <a:pPr algn="l"/>
          <a:r>
            <a:rPr lang="en-US" sz="1100" b="0" baseline="0">
              <a:effectLst/>
            </a:rPr>
            <a:t>               recommended MOSFETs are not available, the tool </a:t>
          </a:r>
          <a:r>
            <a:rPr lang="en-US" sz="1100" b="1" baseline="0">
              <a:effectLst/>
            </a:rPr>
            <a:t>can not </a:t>
          </a:r>
          <a:r>
            <a:rPr lang="en-US" sz="1100" b="0" baseline="0">
              <a:effectLst/>
            </a:rPr>
            <a:t>plot the efficiency and power loss curves with the user's </a:t>
          </a:r>
        </a:p>
        <a:p>
          <a:pPr algn="l"/>
          <a:r>
            <a:rPr lang="en-US" sz="1100" b="0" baseline="0">
              <a:effectLst/>
            </a:rPr>
            <a:t>               custom gate drive voltage. </a:t>
          </a:r>
        </a:p>
        <a:p>
          <a:pPr algn="l"/>
          <a:endParaRPr lang="en-US" sz="1100" b="0" baseline="0">
            <a:effectLst/>
          </a:endParaRPr>
        </a:p>
        <a:p>
          <a:pPr algn="l"/>
          <a:r>
            <a:rPr lang="en-US" sz="1100" b="0" baseline="0">
              <a:effectLst/>
            </a:rPr>
            <a:t>      - The Efficiency and Power Loss Tool also allows the user to save the current efficiency and power loss curves. To save the</a:t>
          </a:r>
        </a:p>
        <a:p>
          <a:pPr algn="l"/>
          <a:r>
            <a:rPr lang="en-US" sz="1100" b="0" baseline="0">
              <a:effectLst/>
            </a:rPr>
            <a:t>        current efficiency and power loss curves, the user will need to select </a:t>
          </a:r>
          <a:r>
            <a:rPr lang="en-US" sz="1100" b="1" baseline="0">
              <a:effectLst/>
            </a:rPr>
            <a:t>Save</a:t>
          </a:r>
          <a:r>
            <a:rPr lang="en-US" sz="1100" b="0" baseline="0">
              <a:effectLst/>
            </a:rPr>
            <a:t> for the </a:t>
          </a:r>
          <a:r>
            <a:rPr lang="en-US" sz="1100" b="1" baseline="0">
              <a:effectLst/>
            </a:rPr>
            <a:t>Save Button</a:t>
          </a:r>
          <a:r>
            <a:rPr lang="en-US" sz="1100" b="0" baseline="0">
              <a:effectLst/>
            </a:rPr>
            <a:t> in </a:t>
          </a:r>
          <a:r>
            <a:rPr lang="en-US" sz="1100" b="1" baseline="0">
              <a:effectLst/>
            </a:rPr>
            <a:t>Step 12</a:t>
          </a:r>
          <a:r>
            <a:rPr lang="en-US" sz="1100" b="0" baseline="0">
              <a:effectLst/>
            </a:rPr>
            <a:t>. To clear the</a:t>
          </a:r>
        </a:p>
        <a:p>
          <a:pPr algn="l"/>
          <a:r>
            <a:rPr lang="en-US" sz="1100" b="0" baseline="0">
              <a:effectLst/>
            </a:rPr>
            <a:t>        saved curves, the user will need to select </a:t>
          </a:r>
          <a:r>
            <a:rPr lang="en-US" sz="1100" b="1" baseline="0">
              <a:effectLst/>
            </a:rPr>
            <a:t>Clear Save </a:t>
          </a:r>
          <a:r>
            <a:rPr lang="en-US" sz="1100" b="0" baseline="0">
              <a:effectLst/>
            </a:rPr>
            <a:t>for the </a:t>
          </a:r>
          <a:r>
            <a:rPr lang="en-US" sz="1100" b="1" baseline="0">
              <a:effectLst/>
            </a:rPr>
            <a:t>Save Button </a:t>
          </a:r>
          <a:r>
            <a:rPr lang="en-US" sz="1100" b="0" baseline="0">
              <a:effectLst/>
            </a:rPr>
            <a:t>in </a:t>
          </a:r>
          <a:r>
            <a:rPr lang="en-US" sz="1100" b="1" baseline="0">
              <a:effectLst/>
            </a:rPr>
            <a:t>Step 12</a:t>
          </a:r>
          <a:r>
            <a:rPr lang="en-US" sz="1100" b="0" baseline="0">
              <a:effectLst/>
            </a:rPr>
            <a:t>.</a:t>
          </a:r>
        </a:p>
        <a:p>
          <a:pPr algn="l"/>
          <a:endParaRPr lang="en-US" sz="1100" b="1" baseline="0"/>
        </a:p>
        <a:p>
          <a:pPr algn="l"/>
          <a:endParaRPr lang="en-US" sz="1100" b="0" baseline="0"/>
        </a:p>
      </xdr:txBody>
    </xdr:sp>
    <xdr:clientData/>
  </xdr:twoCellAnchor>
</xdr:wsDr>
</file>

<file path=xl/drawings/drawing2.xml><?xml version="1.0" encoding="utf-8"?>
<c:userShapes xmlns:c="http://schemas.openxmlformats.org/drawingml/2006/chart">
  <cdr:relSizeAnchor xmlns:cdr="http://schemas.openxmlformats.org/drawingml/2006/chartDrawing">
    <cdr:from>
      <cdr:x>0.76471</cdr:x>
      <cdr:y>0.87095</cdr:y>
    </cdr:from>
    <cdr:to>
      <cdr:x>0.88971</cdr:x>
      <cdr:y>0.98357</cdr:y>
    </cdr:to>
    <cdr:sp macro="" textlink="">
      <cdr:nvSpPr>
        <cdr:cNvPr id="2" name="TextBox 1">
          <a:extLst xmlns:a="http://schemas.openxmlformats.org/drawingml/2006/main">
            <a:ext uri="{FF2B5EF4-FFF2-40B4-BE49-F238E27FC236}">
              <a16:creationId xmlns:a16="http://schemas.microsoft.com/office/drawing/2014/main" id="{C7F7798F-4161-4536-853C-D2CDC63BD99F}"/>
            </a:ext>
          </a:extLst>
        </cdr:cNvPr>
        <cdr:cNvSpPr txBox="1"/>
      </cdr:nvSpPr>
      <cdr:spPr>
        <a:xfrm xmlns:a="http://schemas.openxmlformats.org/drawingml/2006/main">
          <a:off x="11435689" y="5453075"/>
          <a:ext cx="1869282" cy="705125"/>
        </a:xfrm>
        <a:prstGeom xmlns:a="http://schemas.openxmlformats.org/drawingml/2006/main" prst="rect">
          <a:avLst/>
        </a:prstGeom>
      </cdr:spPr>
      <cdr:txBody>
        <a:bodyPr xmlns:a="http://schemas.openxmlformats.org/drawingml/2006/main" vertOverflow="clip" wrap="none" rtlCol="0" anchor="ctr"/>
        <a:lstStyle xmlns:a="http://schemas.openxmlformats.org/drawingml/2006/main"/>
        <a:p xmlns:a="http://schemas.openxmlformats.org/drawingml/2006/main">
          <a:pPr algn="ctr"/>
          <a:r>
            <a:rPr lang="en-US" sz="2400" b="1"/>
            <a:t>V</a:t>
          </a:r>
          <a:r>
            <a:rPr lang="en-US" sz="2400" b="1" baseline="-25000"/>
            <a:t>AC</a:t>
          </a:r>
          <a:r>
            <a:rPr lang="en-US" sz="2400" b="1" baseline="0"/>
            <a:t> = V</a:t>
          </a:r>
          <a:r>
            <a:rPr lang="en-US" sz="2400" b="1" baseline="-25000"/>
            <a:t>AC(nom)</a:t>
          </a:r>
          <a:r>
            <a:rPr lang="en-US" sz="2400" b="1" baseline="0"/>
            <a:t> =</a:t>
          </a:r>
          <a:endParaRPr lang="en-US" sz="2400" b="1"/>
        </a:p>
      </cdr:txBody>
    </cdr:sp>
  </cdr:relSizeAnchor>
  <cdr:relSizeAnchor xmlns:cdr="http://schemas.openxmlformats.org/drawingml/2006/chartDrawing">
    <cdr:from>
      <cdr:x>0.8949</cdr:x>
      <cdr:y>0.88742</cdr:y>
    </cdr:from>
    <cdr:to>
      <cdr:x>0.96561</cdr:x>
      <cdr:y>0.95436</cdr:y>
    </cdr:to>
    <cdr:sp macro="" textlink="'BQ2575X Design Calculator'!$G$7">
      <cdr:nvSpPr>
        <cdr:cNvPr id="3" name="TextBox 2">
          <a:extLst xmlns:a="http://schemas.openxmlformats.org/drawingml/2006/main">
            <a:ext uri="{FF2B5EF4-FFF2-40B4-BE49-F238E27FC236}">
              <a16:creationId xmlns:a16="http://schemas.microsoft.com/office/drawing/2014/main" id="{23D9576B-CFD2-4D4B-AB96-4E47386D1E4A}"/>
            </a:ext>
          </a:extLst>
        </cdr:cNvPr>
        <cdr:cNvSpPr txBox="1"/>
      </cdr:nvSpPr>
      <cdr:spPr>
        <a:xfrm xmlns:a="http://schemas.openxmlformats.org/drawingml/2006/main">
          <a:off x="13382625" y="5556249"/>
          <a:ext cx="1057275" cy="4191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B28EF4E2-F2E1-4FEE-ADCA-1B68D6411913}" type="TxLink">
            <a:rPr lang="en-US" sz="2400" b="1" i="0" u="none" strike="noStrike">
              <a:solidFill>
                <a:srgbClr val="000000"/>
              </a:solidFill>
              <a:latin typeface="Calibri"/>
              <a:cs typeface="Calibri"/>
            </a:rPr>
            <a:pPr/>
            <a:t>36.8 V</a:t>
          </a:fld>
          <a:endParaRPr lang="en-US" sz="2400"/>
        </a:p>
      </cdr:txBody>
    </cdr:sp>
  </cdr:relSizeAnchor>
  <cdr:relSizeAnchor xmlns:cdr="http://schemas.openxmlformats.org/drawingml/2006/chartDrawing">
    <cdr:from>
      <cdr:x>0.56773</cdr:x>
      <cdr:y>0.8646</cdr:y>
    </cdr:from>
    <cdr:to>
      <cdr:x>0.63439</cdr:x>
      <cdr:y>0.97722</cdr:y>
    </cdr:to>
    <cdr:sp macro="" textlink="">
      <cdr:nvSpPr>
        <cdr:cNvPr id="4" name="TextBox 1">
          <a:extLst xmlns:a="http://schemas.openxmlformats.org/drawingml/2006/main">
            <a:ext uri="{FF2B5EF4-FFF2-40B4-BE49-F238E27FC236}">
              <a16:creationId xmlns:a16="http://schemas.microsoft.com/office/drawing/2014/main" id="{78252E3F-7D60-4A16-B6D0-853A95C8CF5A}"/>
            </a:ext>
          </a:extLst>
        </cdr:cNvPr>
        <cdr:cNvSpPr txBox="1"/>
      </cdr:nvSpPr>
      <cdr:spPr>
        <a:xfrm xmlns:a="http://schemas.openxmlformats.org/drawingml/2006/main">
          <a:off x="8489950" y="5410601"/>
          <a:ext cx="996950" cy="704767"/>
        </a:xfrm>
        <a:prstGeom xmlns:a="http://schemas.openxmlformats.org/drawingml/2006/main" prst="rect">
          <a:avLst/>
        </a:prstGeom>
      </cdr:spPr>
      <cdr:txBody>
        <a:bodyPr xmlns:a="http://schemas.openxmlformats.org/drawingml/2006/main" wrap="non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400" b="1"/>
            <a:t>V</a:t>
          </a:r>
          <a:r>
            <a:rPr lang="en-US" sz="2400" b="1" baseline="-25000"/>
            <a:t>BAT</a:t>
          </a:r>
          <a:r>
            <a:rPr lang="en-US" sz="2400" b="1" baseline="0"/>
            <a:t> = </a:t>
          </a:r>
          <a:endParaRPr lang="en-US" sz="2400" b="1"/>
        </a:p>
      </cdr:txBody>
    </cdr:sp>
  </cdr:relSizeAnchor>
  <cdr:relSizeAnchor xmlns:cdr="http://schemas.openxmlformats.org/drawingml/2006/chartDrawing">
    <cdr:from>
      <cdr:x>0.62887</cdr:x>
      <cdr:y>0.88483</cdr:y>
    </cdr:from>
    <cdr:to>
      <cdr:x>0.69958</cdr:x>
      <cdr:y>0.95177</cdr:y>
    </cdr:to>
    <cdr:sp macro="" textlink="'BQ2575X Design Calculator'!$G$9">
      <cdr:nvSpPr>
        <cdr:cNvPr id="5" name="TextBox 1">
          <a:extLst xmlns:a="http://schemas.openxmlformats.org/drawingml/2006/main">
            <a:ext uri="{FF2B5EF4-FFF2-40B4-BE49-F238E27FC236}">
              <a16:creationId xmlns:a16="http://schemas.microsoft.com/office/drawing/2014/main" id="{5E1B8F9C-B587-425A-AFAD-36AB1E114134}"/>
            </a:ext>
          </a:extLst>
        </cdr:cNvPr>
        <cdr:cNvSpPr txBox="1"/>
      </cdr:nvSpPr>
      <cdr:spPr>
        <a:xfrm xmlns:a="http://schemas.openxmlformats.org/drawingml/2006/main">
          <a:off x="9404350" y="5537200"/>
          <a:ext cx="1057275" cy="41888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2662674C-BD07-4FC7-88AD-FD80DB75F7C5}" type="TxLink">
            <a:rPr lang="en-US" sz="2400" b="1" i="0" u="none" strike="noStrike">
              <a:solidFill>
                <a:srgbClr val="000000"/>
              </a:solidFill>
              <a:latin typeface="Calibri"/>
              <a:cs typeface="Calibri"/>
            </a:rPr>
            <a:pPr/>
            <a:t>36 V</a:t>
          </a:fld>
          <a:endParaRPr lang="en-US" sz="4800"/>
        </a:p>
      </cdr:txBody>
    </cdr:sp>
  </cdr:relSizeAnchor>
</c:userShapes>
</file>

<file path=xl/drawings/drawing3.xml><?xml version="1.0" encoding="utf-8"?>
<xdr:wsDr xmlns:xdr="http://schemas.openxmlformats.org/drawingml/2006/spreadsheetDrawing" xmlns:a="http://schemas.openxmlformats.org/drawingml/2006/main">
  <xdr:twoCellAnchor editAs="oneCell">
    <xdr:from>
      <xdr:col>0</xdr:col>
      <xdr:colOff>85725</xdr:colOff>
      <xdr:row>0</xdr:row>
      <xdr:rowOff>57150</xdr:rowOff>
    </xdr:from>
    <xdr:to>
      <xdr:col>3</xdr:col>
      <xdr:colOff>206375</xdr:colOff>
      <xdr:row>0</xdr:row>
      <xdr:rowOff>531997</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725" y="57150"/>
          <a:ext cx="3140075" cy="474847"/>
        </a:xfrm>
        <a:prstGeom prst="rect">
          <a:avLst/>
        </a:prstGeom>
      </xdr:spPr>
    </xdr:pic>
    <xdr:clientData/>
  </xdr:twoCellAnchor>
  <xdr:twoCellAnchor>
    <xdr:from>
      <xdr:col>9</xdr:col>
      <xdr:colOff>488015</xdr:colOff>
      <xdr:row>4</xdr:row>
      <xdr:rowOff>187512</xdr:rowOff>
    </xdr:from>
    <xdr:to>
      <xdr:col>18</xdr:col>
      <xdr:colOff>446741</xdr:colOff>
      <xdr:row>45</xdr:row>
      <xdr:rowOff>127935</xdr:rowOff>
    </xdr:to>
    <xdr:graphicFrame macro="">
      <xdr:nvGraphicFramePr>
        <xdr:cNvPr id="9" name="Chart 8">
          <a:extLst>
            <a:ext uri="{FF2B5EF4-FFF2-40B4-BE49-F238E27FC236}">
              <a16:creationId xmlns:a16="http://schemas.microsoft.com/office/drawing/2014/main" id="{00000000-0008-0000-01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438150</xdr:colOff>
      <xdr:row>46</xdr:row>
      <xdr:rowOff>152400</xdr:rowOff>
    </xdr:from>
    <xdr:to>
      <xdr:col>24</xdr:col>
      <xdr:colOff>273050</xdr:colOff>
      <xdr:row>73</xdr:row>
      <xdr:rowOff>187325</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9144000" y="4724400"/>
          <a:ext cx="7397750" cy="5178425"/>
        </a:xfrm>
        <a:prstGeom prst="rect">
          <a:avLst/>
        </a:prstGeom>
        <a:solidFill>
          <a:schemeClr val="accent4">
            <a:lumMod val="40000"/>
            <a:lumOff val="60000"/>
          </a:schemeClr>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How to use Thermistor</a:t>
          </a:r>
          <a:r>
            <a:rPr lang="en-US" sz="1100" b="1" baseline="0"/>
            <a:t> Qualification tool</a:t>
          </a:r>
        </a:p>
        <a:p>
          <a:pPr algn="ctr"/>
          <a:endParaRPr lang="en-US" sz="1100" b="1" baseline="0"/>
        </a:p>
        <a:p>
          <a:pPr algn="l"/>
          <a:r>
            <a:rPr lang="en-US" sz="1100" b="0" baseline="0"/>
            <a:t>1. Enter </a:t>
          </a:r>
          <a:r>
            <a:rPr lang="en-US" sz="1100" b="1" baseline="0"/>
            <a:t>Selected Temperature Thresholds </a:t>
          </a:r>
          <a:r>
            <a:rPr lang="en-US" sz="1100" b="0" baseline="0"/>
            <a:t>in the </a:t>
          </a:r>
          <a:r>
            <a:rPr lang="en-US" sz="1100" b="1" baseline="0"/>
            <a:t>Thermistor Qualification </a:t>
          </a:r>
          <a:r>
            <a:rPr lang="en-US" sz="1100" b="0" baseline="0"/>
            <a:t>Section.</a:t>
          </a:r>
        </a:p>
        <a:p>
          <a:pPr algn="l"/>
          <a:endParaRPr lang="en-US" sz="1100" b="0" baseline="0"/>
        </a:p>
        <a:p>
          <a:pPr algn="l"/>
          <a:r>
            <a:rPr lang="en-US" sz="1100" b="0" baseline="0"/>
            <a:t>2. Enter </a:t>
          </a:r>
          <a:r>
            <a:rPr lang="en-US" sz="1100" b="1" baseline="0"/>
            <a:t>Thermistor Resistance Profile </a:t>
          </a:r>
          <a:r>
            <a:rPr lang="en-US" sz="1100" b="0" baseline="0"/>
            <a:t>data.</a:t>
          </a:r>
        </a:p>
        <a:p>
          <a:pPr algn="l"/>
          <a:r>
            <a:rPr lang="en-US" sz="1100" b="0" baseline="0"/>
            <a:t>     - The </a:t>
          </a:r>
          <a:r>
            <a:rPr lang="en-US" sz="1100" b="1" baseline="0"/>
            <a:t>whole</a:t>
          </a:r>
          <a:r>
            <a:rPr lang="en-US" sz="1100" b="0" baseline="0"/>
            <a:t> table needs to be filled in or the tool </a:t>
          </a:r>
          <a:r>
            <a:rPr lang="en-US" sz="1100" b="1" baseline="0"/>
            <a:t>will not </a:t>
          </a:r>
          <a:r>
            <a:rPr lang="en-US" sz="1100" b="0" baseline="0"/>
            <a:t>be able to do it's calculations.</a:t>
          </a:r>
        </a:p>
        <a:p>
          <a:pPr algn="l"/>
          <a:r>
            <a:rPr lang="en-US" sz="1100" b="0" baseline="0"/>
            <a:t> </a:t>
          </a:r>
        </a:p>
        <a:p>
          <a:pPr algn="l"/>
          <a:r>
            <a:rPr lang="en-US" sz="1100" b="0" baseline="0"/>
            <a:t>     - If the thermistor datasheet does not have all the Min, Typ, and Max data to fill in the whole table, we recommend</a:t>
          </a:r>
        </a:p>
        <a:p>
          <a:pPr algn="l"/>
          <a:r>
            <a:rPr lang="en-US" sz="1100" b="0" baseline="0"/>
            <a:t>       contacting the manufacturer for this data. </a:t>
          </a:r>
        </a:p>
        <a:p>
          <a:pPr algn="l"/>
          <a:endParaRPr lang="en-US" sz="1100" b="0" baseline="0"/>
        </a:p>
        <a:p>
          <a:pPr algn="l"/>
          <a:r>
            <a:rPr lang="en-US" sz="1100" b="0" baseline="0"/>
            <a:t>     - The </a:t>
          </a:r>
          <a:r>
            <a:rPr lang="en-US" sz="1100" b="1" baseline="0"/>
            <a:t>Tolerance</a:t>
          </a:r>
          <a:r>
            <a:rPr lang="en-US" sz="1100" b="0" baseline="0"/>
            <a:t> column is </a:t>
          </a:r>
          <a:r>
            <a:rPr lang="en-US" sz="1100" b="1" baseline="0"/>
            <a:t>not</a:t>
          </a:r>
          <a:r>
            <a:rPr lang="en-US" sz="1100" b="0" baseline="0"/>
            <a:t> necessary for the Thermistor Qualification tool's calculations, but it can be useful for entering</a:t>
          </a:r>
        </a:p>
        <a:p>
          <a:pPr algn="l"/>
          <a:r>
            <a:rPr lang="en-US" sz="1100" b="0" baseline="0"/>
            <a:t>        in the </a:t>
          </a:r>
          <a:r>
            <a:rPr lang="en-US" sz="1100" b="1" baseline="0"/>
            <a:t>Min</a:t>
          </a:r>
          <a:r>
            <a:rPr lang="en-US" sz="1100" b="0" baseline="0"/>
            <a:t>, </a:t>
          </a:r>
          <a:r>
            <a:rPr lang="en-US" sz="1100" b="1" baseline="0"/>
            <a:t>Typ</a:t>
          </a:r>
          <a:r>
            <a:rPr lang="en-US" sz="1100" b="0" baseline="0"/>
            <a:t>, and </a:t>
          </a:r>
          <a:r>
            <a:rPr lang="en-US" sz="1100" b="1" baseline="0"/>
            <a:t>Max</a:t>
          </a:r>
          <a:r>
            <a:rPr lang="en-US" sz="1100" b="0" baseline="0"/>
            <a:t> data. Some datasheets provide the typical resistance and tolerance for over the temperature</a:t>
          </a:r>
        </a:p>
        <a:p>
          <a:pPr algn="l"/>
          <a:r>
            <a:rPr lang="en-US" sz="1100" b="0" baseline="0"/>
            <a:t>        range and if this is your case, you can enter the data in the </a:t>
          </a:r>
          <a:r>
            <a:rPr lang="en-US" sz="1100" b="1" baseline="0"/>
            <a:t>Tolerance</a:t>
          </a:r>
          <a:r>
            <a:rPr lang="en-US" sz="1100" b="0" baseline="0"/>
            <a:t> and </a:t>
          </a:r>
          <a:r>
            <a:rPr lang="en-US" sz="1100" b="1" baseline="0"/>
            <a:t>Typ</a:t>
          </a:r>
          <a:r>
            <a:rPr lang="en-US" sz="1100" b="0" baseline="0"/>
            <a:t> columns, then use equations to calculation</a:t>
          </a:r>
        </a:p>
        <a:p>
          <a:pPr algn="l"/>
          <a:r>
            <a:rPr lang="en-US" sz="1100" b="0" baseline="0"/>
            <a:t>        the </a:t>
          </a:r>
          <a:r>
            <a:rPr lang="en-US" sz="1100" b="1" baseline="0"/>
            <a:t>Min</a:t>
          </a:r>
          <a:r>
            <a:rPr lang="en-US" sz="1100" b="0" baseline="0"/>
            <a:t> and </a:t>
          </a:r>
          <a:r>
            <a:rPr lang="en-US" sz="1100" b="1" baseline="0"/>
            <a:t>Max</a:t>
          </a:r>
          <a:r>
            <a:rPr lang="en-US" sz="1100" b="0" baseline="0"/>
            <a:t> columns. </a:t>
          </a:r>
        </a:p>
        <a:p>
          <a:pPr algn="l"/>
          <a:endParaRPr lang="en-US" sz="1100" b="0" baseline="0"/>
        </a:p>
        <a:p>
          <a:pPr algn="l"/>
          <a:r>
            <a:rPr lang="en-US" sz="1100" b="0" baseline="0"/>
            <a:t>     - Some datasheets provide plots of their tolerances vs temperature rather than give the actual data and some datasheets do</a:t>
          </a:r>
        </a:p>
        <a:p>
          <a:pPr algn="l"/>
          <a:r>
            <a:rPr lang="en-US" sz="1100" b="0" baseline="0"/>
            <a:t>       not provide the resistance data with a temperature resolution of 1 °C. In these cases, the user may choose to estimate the</a:t>
          </a:r>
        </a:p>
        <a:p>
          <a:pPr algn="l"/>
          <a:r>
            <a:rPr lang="en-US" sz="1100" b="0" baseline="0"/>
            <a:t>       tolerances/resistances by using their own custom equations to fill in this data. </a:t>
          </a:r>
          <a:r>
            <a:rPr lang="en-US" sz="1100" b="1" baseline="0"/>
            <a:t>However, if the user chooses to do this, the</a:t>
          </a:r>
        </a:p>
        <a:p>
          <a:pPr algn="l"/>
          <a:r>
            <a:rPr lang="en-US" sz="1100" b="1" baseline="0"/>
            <a:t>       user should note that the calculations will only be as accurate as the data entered in the Min, Typ, and Max columns. </a:t>
          </a:r>
        </a:p>
        <a:p>
          <a:pPr algn="l"/>
          <a:endParaRPr lang="en-US" sz="1100" b="1" baseline="0"/>
        </a:p>
        <a:p>
          <a:pPr algn="l"/>
          <a:r>
            <a:rPr lang="en-US" sz="1100" b="0" baseline="0"/>
            <a:t>3. After the </a:t>
          </a:r>
          <a:r>
            <a:rPr lang="en-US" sz="1100" b="1" baseline="0"/>
            <a:t>Selected Temperature Thresholds </a:t>
          </a:r>
          <a:r>
            <a:rPr lang="en-US" sz="1100" b="0" baseline="0"/>
            <a:t>and </a:t>
          </a:r>
          <a:r>
            <a:rPr lang="en-US" sz="1100" b="1" baseline="0"/>
            <a:t>Thermistor Resistance Profile </a:t>
          </a:r>
          <a:r>
            <a:rPr lang="en-US" sz="1100" b="0" baseline="0"/>
            <a:t>data is entered, the tool will provide a</a:t>
          </a:r>
        </a:p>
        <a:p>
          <a:pPr algn="l"/>
          <a:r>
            <a:rPr lang="en-US" sz="1100" b="0" baseline="0"/>
            <a:t>    Recommended RT1 and RT2 resistance. These resistances are selected from a list of Standard 0.1% Resistances. </a:t>
          </a:r>
        </a:p>
        <a:p>
          <a:pPr algn="l"/>
          <a:endParaRPr lang="en-US" sz="1100" b="0" baseline="0"/>
        </a:p>
        <a:p>
          <a:pPr algn="l"/>
          <a:r>
            <a:rPr lang="en-US" sz="1100" b="0" baseline="0"/>
            <a:t>4. The tool will then calculate the </a:t>
          </a:r>
          <a:r>
            <a:rPr lang="en-US" sz="1100" b="1" baseline="0"/>
            <a:t>Min</a:t>
          </a:r>
          <a:r>
            <a:rPr lang="en-US" sz="1100" b="0" baseline="0"/>
            <a:t>, </a:t>
          </a:r>
          <a:r>
            <a:rPr lang="en-US" sz="1100" b="1" baseline="0"/>
            <a:t>Typ</a:t>
          </a:r>
          <a:r>
            <a:rPr lang="en-US" sz="1100" b="0" baseline="0"/>
            <a:t>, and </a:t>
          </a:r>
          <a:r>
            <a:rPr lang="en-US" sz="1100" b="1" baseline="0"/>
            <a:t>Max</a:t>
          </a:r>
          <a:r>
            <a:rPr lang="en-US" sz="1100" b="0" baseline="0"/>
            <a:t> </a:t>
          </a:r>
          <a:r>
            <a:rPr lang="en-US" sz="1100" b="1" baseline="0"/>
            <a:t>Temperature Thresholds </a:t>
          </a:r>
          <a:r>
            <a:rPr lang="en-US" sz="1100" b="0" baseline="0"/>
            <a:t>for </a:t>
          </a:r>
          <a:r>
            <a:rPr lang="en-US" sz="1100" b="1" baseline="0"/>
            <a:t>Entering</a:t>
          </a:r>
          <a:r>
            <a:rPr lang="en-US" sz="1100" b="0" baseline="0"/>
            <a:t> and </a:t>
          </a:r>
          <a:r>
            <a:rPr lang="en-US" sz="1100" b="1" baseline="0"/>
            <a:t>Exiting</a:t>
          </a:r>
          <a:r>
            <a:rPr lang="en-US" sz="1100" b="0" baseline="0"/>
            <a:t> the </a:t>
          </a:r>
          <a:r>
            <a:rPr lang="en-US" sz="1100" b="1" baseline="0"/>
            <a:t>Cold</a:t>
          </a:r>
          <a:r>
            <a:rPr lang="en-US" sz="1100" b="0" baseline="0"/>
            <a:t>, </a:t>
          </a:r>
          <a:r>
            <a:rPr lang="en-US" sz="1100" b="1" baseline="0"/>
            <a:t>Cool</a:t>
          </a:r>
          <a:r>
            <a:rPr lang="en-US" sz="1100" b="0" baseline="0"/>
            <a:t>, </a:t>
          </a:r>
          <a:r>
            <a:rPr lang="en-US" sz="1100" b="1" baseline="0"/>
            <a:t>Warm</a:t>
          </a:r>
        </a:p>
        <a:p>
          <a:pPr algn="l"/>
          <a:r>
            <a:rPr lang="en-US" sz="1100" b="1" baseline="0"/>
            <a:t>   </a:t>
          </a:r>
          <a:r>
            <a:rPr lang="en-US" sz="1100" b="0" baseline="0"/>
            <a:t> and </a:t>
          </a:r>
          <a:r>
            <a:rPr lang="en-US" sz="1100" b="1" baseline="0"/>
            <a:t>Hot</a:t>
          </a:r>
          <a:r>
            <a:rPr lang="en-US" sz="1100" b="0" baseline="0"/>
            <a:t> regions. These thresholds will be shown in the table on the top right and a Graphic showing these thresholds will be</a:t>
          </a:r>
        </a:p>
        <a:p>
          <a:pPr algn="l"/>
          <a:r>
            <a:rPr lang="en-US" sz="1100" b="0" baseline="0"/>
            <a:t>    produced.</a:t>
          </a:r>
        </a:p>
      </xdr:txBody>
    </xdr:sp>
    <xdr:clientData/>
  </xdr:twoCellAnchor>
</xdr:wsDr>
</file>

<file path=xl/drawings/drawing4.xml><?xml version="1.0" encoding="utf-8"?>
<c:userShapes xmlns:c="http://schemas.openxmlformats.org/drawingml/2006/chart">
  <cdr:relSizeAnchor xmlns:cdr="http://schemas.openxmlformats.org/drawingml/2006/chartDrawing">
    <cdr:from>
      <cdr:x>0.04545</cdr:x>
      <cdr:y>0.74118</cdr:y>
    </cdr:from>
    <cdr:to>
      <cdr:x>0.18706</cdr:x>
      <cdr:y>0.84118</cdr:y>
    </cdr:to>
    <cdr:sp macro="" textlink="">
      <cdr:nvSpPr>
        <cdr:cNvPr id="2" name="TextBox 1">
          <a:extLst xmlns:a="http://schemas.openxmlformats.org/drawingml/2006/main">
            <a:ext uri="{FF2B5EF4-FFF2-40B4-BE49-F238E27FC236}">
              <a16:creationId xmlns:a16="http://schemas.microsoft.com/office/drawing/2014/main" id="{2FA1E656-8D15-439C-A71E-D1A4F3CDBC02}"/>
            </a:ext>
          </a:extLst>
        </cdr:cNvPr>
        <cdr:cNvSpPr txBox="1"/>
      </cdr:nvSpPr>
      <cdr:spPr>
        <a:xfrm xmlns:a="http://schemas.openxmlformats.org/drawingml/2006/main">
          <a:off x="247650" y="2400300"/>
          <a:ext cx="771525" cy="3238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none" rtlCol="0" anchor="ctr"/>
        <a:lstStyle xmlns:a="http://schemas.openxmlformats.org/drawingml/2006/main"/>
        <a:p xmlns:a="http://schemas.openxmlformats.org/drawingml/2006/main">
          <a:pPr algn="ctr"/>
          <a:r>
            <a:rPr lang="en-US" sz="1100"/>
            <a:t>COLD</a:t>
          </a:r>
        </a:p>
      </cdr:txBody>
    </cdr:sp>
  </cdr:relSizeAnchor>
  <cdr:relSizeAnchor xmlns:cdr="http://schemas.openxmlformats.org/drawingml/2006/chartDrawing">
    <cdr:from>
      <cdr:x>0.09848</cdr:x>
      <cdr:y>0.35098</cdr:y>
    </cdr:from>
    <cdr:to>
      <cdr:x>0.24009</cdr:x>
      <cdr:y>0.45098</cdr:y>
    </cdr:to>
    <cdr:sp macro="" textlink="">
      <cdr:nvSpPr>
        <cdr:cNvPr id="3" name="TextBox 1">
          <a:extLst xmlns:a="http://schemas.openxmlformats.org/drawingml/2006/main">
            <a:ext uri="{FF2B5EF4-FFF2-40B4-BE49-F238E27FC236}">
              <a16:creationId xmlns:a16="http://schemas.microsoft.com/office/drawing/2014/main" id="{89B4546F-E461-4092-B8BF-0DD2E353E99A}"/>
            </a:ext>
          </a:extLst>
        </cdr:cNvPr>
        <cdr:cNvSpPr txBox="1"/>
      </cdr:nvSpPr>
      <cdr:spPr>
        <a:xfrm xmlns:a="http://schemas.openxmlformats.org/drawingml/2006/main">
          <a:off x="536575" y="1136650"/>
          <a:ext cx="771525" cy="3238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non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100"/>
            <a:t>COOL</a:t>
          </a:r>
        </a:p>
      </cdr:txBody>
    </cdr:sp>
  </cdr:relSizeAnchor>
  <cdr:relSizeAnchor xmlns:cdr="http://schemas.openxmlformats.org/drawingml/2006/chartDrawing">
    <cdr:from>
      <cdr:x>0.67716</cdr:x>
      <cdr:y>0.01569</cdr:y>
    </cdr:from>
    <cdr:to>
      <cdr:x>0.81876</cdr:x>
      <cdr:y>0.11569</cdr:y>
    </cdr:to>
    <cdr:sp macro="" textlink="">
      <cdr:nvSpPr>
        <cdr:cNvPr id="4" name="TextBox 1">
          <a:extLst xmlns:a="http://schemas.openxmlformats.org/drawingml/2006/main">
            <a:ext uri="{FF2B5EF4-FFF2-40B4-BE49-F238E27FC236}">
              <a16:creationId xmlns:a16="http://schemas.microsoft.com/office/drawing/2014/main" id="{89B4546F-E461-4092-B8BF-0DD2E353E99A}"/>
            </a:ext>
          </a:extLst>
        </cdr:cNvPr>
        <cdr:cNvSpPr txBox="1"/>
      </cdr:nvSpPr>
      <cdr:spPr>
        <a:xfrm xmlns:a="http://schemas.openxmlformats.org/drawingml/2006/main">
          <a:off x="3689350" y="50800"/>
          <a:ext cx="771525" cy="3238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non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100"/>
            <a:t>WARM</a:t>
          </a:r>
        </a:p>
      </cdr:txBody>
    </cdr:sp>
  </cdr:relSizeAnchor>
  <cdr:relSizeAnchor xmlns:cdr="http://schemas.openxmlformats.org/drawingml/2006/chartDrawing">
    <cdr:from>
      <cdr:x>0.82925</cdr:x>
      <cdr:y>0.73627</cdr:y>
    </cdr:from>
    <cdr:to>
      <cdr:x>0.97086</cdr:x>
      <cdr:y>0.83627</cdr:y>
    </cdr:to>
    <cdr:sp macro="" textlink="">
      <cdr:nvSpPr>
        <cdr:cNvPr id="5" name="TextBox 1">
          <a:extLst xmlns:a="http://schemas.openxmlformats.org/drawingml/2006/main">
            <a:ext uri="{FF2B5EF4-FFF2-40B4-BE49-F238E27FC236}">
              <a16:creationId xmlns:a16="http://schemas.microsoft.com/office/drawing/2014/main" id="{7762F759-F277-4C71-B775-1AF64F3888AC}"/>
            </a:ext>
          </a:extLst>
        </cdr:cNvPr>
        <cdr:cNvSpPr txBox="1"/>
      </cdr:nvSpPr>
      <cdr:spPr>
        <a:xfrm xmlns:a="http://schemas.openxmlformats.org/drawingml/2006/main">
          <a:off x="4518025" y="2384425"/>
          <a:ext cx="771525" cy="3238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non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100"/>
            <a:t>HOT</a:t>
          </a:r>
        </a:p>
      </cdr:txBody>
    </cdr:sp>
  </cdr:relSizeAnchor>
  <cdr:relSizeAnchor xmlns:cdr="http://schemas.openxmlformats.org/drawingml/2006/chartDrawing">
    <cdr:from>
      <cdr:x>0.4359</cdr:x>
      <cdr:y>0.16863</cdr:y>
    </cdr:from>
    <cdr:to>
      <cdr:x>0.57751</cdr:x>
      <cdr:y>0.26863</cdr:y>
    </cdr:to>
    <cdr:sp macro="" textlink="">
      <cdr:nvSpPr>
        <cdr:cNvPr id="6" name="TextBox 1">
          <a:extLst xmlns:a="http://schemas.openxmlformats.org/drawingml/2006/main">
            <a:ext uri="{FF2B5EF4-FFF2-40B4-BE49-F238E27FC236}">
              <a16:creationId xmlns:a16="http://schemas.microsoft.com/office/drawing/2014/main" id="{BF9370D1-EFF7-4CA1-8649-ED9C5831572D}"/>
            </a:ext>
          </a:extLst>
        </cdr:cNvPr>
        <cdr:cNvSpPr txBox="1"/>
      </cdr:nvSpPr>
      <cdr:spPr>
        <a:xfrm xmlns:a="http://schemas.openxmlformats.org/drawingml/2006/main">
          <a:off x="2374900" y="546100"/>
          <a:ext cx="771525" cy="3238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non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100"/>
            <a:t>NORMAL</a:t>
          </a:r>
        </a:p>
      </cdr:txBody>
    </cdr:sp>
  </cdr:relSizeAnchor>
</c:userShapes>
</file>

<file path=xl/drawings/drawing5.xml><?xml version="1.0" encoding="utf-8"?>
<xdr:wsDr xmlns:xdr="http://schemas.openxmlformats.org/drawingml/2006/spreadsheetDrawing" xmlns:a="http://schemas.openxmlformats.org/drawingml/2006/main">
  <xdr:twoCellAnchor editAs="oneCell">
    <xdr:from>
      <xdr:col>13</xdr:col>
      <xdr:colOff>152400</xdr:colOff>
      <xdr:row>18</xdr:row>
      <xdr:rowOff>76200</xdr:rowOff>
    </xdr:from>
    <xdr:to>
      <xdr:col>25</xdr:col>
      <xdr:colOff>284819</xdr:colOff>
      <xdr:row>54</xdr:row>
      <xdr:rowOff>151533</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8810625" y="3505200"/>
          <a:ext cx="7447619" cy="693333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0504716/TI%20Drive/Projects/Applications/Draco%20Tool/LM5176%20Buck-Boost%20Quickstart%20Tool%20r1.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Converter"/>
      <sheetName val="BOM &amp; Schematic"/>
      <sheetName val="EVMs"/>
      <sheetName val="Variable Management"/>
      <sheetName val="Schematic Management"/>
      <sheetName val="Efficiency Plot Management"/>
      <sheetName val="Efficiency vs VIN Calculations"/>
      <sheetName val="Efficiency vs Load Calculations"/>
      <sheetName val="Stability Calculations"/>
      <sheetName val="Standard Value Calculator"/>
      <sheetName val="Snubber"/>
      <sheetName val="Parallel Output Caps"/>
    </sheetNames>
    <sheetDataSet>
      <sheetData sheetId="0"/>
      <sheetData sheetId="1"/>
      <sheetData sheetId="2"/>
      <sheetData sheetId="3">
        <row r="10">
          <cell r="O10">
            <v>1</v>
          </cell>
        </row>
      </sheetData>
      <sheetData sheetId="4"/>
      <sheetData sheetId="5"/>
      <sheetData sheetId="6"/>
      <sheetData sheetId="7"/>
      <sheetData sheetId="8"/>
      <sheetData sheetId="9"/>
      <sheetData sheetId="10"/>
      <sheetData sheetId="1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F817463-F970-431D-A097-DF96909308C2}" name="Table7" displayName="Table7" ref="AF155:DE256" headerRowDxfId="271" dataDxfId="270" totalsRowDxfId="269">
  <autoFilter ref="AF155:DE256" xr:uid="{C192B9E3-F927-4813-A03D-A55B86C2F96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2" hiddenButton="1"/>
    <filterColumn colId="53" hiddenButton="1"/>
    <filterColumn colId="54" hiddenButton="1"/>
    <filterColumn colId="55" hiddenButton="1"/>
    <filterColumn colId="62" hiddenButton="1"/>
    <filterColumn colId="63" hiddenButton="1"/>
    <filterColumn colId="64" hiddenButton="1"/>
    <filterColumn colId="66" hiddenButton="1"/>
    <filterColumn colId="67" hiddenButton="1"/>
    <filterColumn colId="77" hiddenButton="1"/>
  </autoFilter>
  <tableColumns count="78">
    <tableColumn id="1" xr3:uid="{2810ECE5-1CBC-4B22-9AF7-6D75E2F6E0D6}" name="Index" totalsRowLabel="Total" dataDxfId="268" totalsRowDxfId="267"/>
    <tableColumn id="2" xr3:uid="{156E57E3-42AD-4309-909E-5E01A99A7765}" name="IOUT (A)" dataDxfId="266" totalsRowDxfId="265"/>
    <tableColumn id="3" xr3:uid="{CBC11E32-1628-4DAD-823A-1B2BFDB1E323}" name="POUT (W)" dataDxfId="264" totalsRowDxfId="263">
      <calculatedColumnFormula>AG156*VACnom</calculatedColumnFormula>
    </tableColumn>
    <tableColumn id="4" xr3:uid="{FDA26805-2A15-4A21-9B06-83626B9C6C96}" name="Duty Cycle" dataDxfId="262" totalsRowDxfId="261">
      <calculatedColumnFormula>IF(VACnom&lt;Vbat, (Vbat-VACnom)/Vbat, Vbat/VACnom)</calculatedColumnFormula>
    </tableColumn>
    <tableColumn id="5" xr3:uid="{93641C8E-EF2E-4ABB-B633-A1A462D765F6}" name="I_L" dataDxfId="260" totalsRowDxfId="259">
      <calculatedColumnFormula>IF(VACnom&lt;Vbat, AG156/(1-AI156), AG156*AI156)</calculatedColumnFormula>
    </tableColumn>
    <tableColumn id="6" xr3:uid="{6DD7AA58-527D-471A-8CFA-F1E9F31BDFF9}" name="I_L pkpk" dataDxfId="258" totalsRowDxfId="257">
      <calculatedColumnFormula>Ipkpk_VACnom</calculatedColumnFormula>
    </tableColumn>
    <tableColumn id="7" xr3:uid="{AE0BA51D-B443-4012-9837-AD1A5DB7C996}" name="I_L RMS" dataDxfId="256" totalsRowDxfId="255">
      <calculatedColumnFormula>SQRT(AJ156^2+AK156^2/12)</calculatedColumnFormula>
    </tableColumn>
    <tableColumn id="69" xr3:uid="{C14C63E3-35A5-4492-8075-DDD7FB25CE78}" name="Column2" dataDxfId="254" totalsRowDxfId="253"/>
    <tableColumn id="37" xr3:uid="{091676C3-E3D2-4679-824B-F9094D4562A4}" name="Ivalley (A)" dataDxfId="252" totalsRowDxfId="251">
      <calculatedColumnFormula>MAX(0,Table7[[#This Row],[I_L]]-0.5*Table7[[#This Row],[I_L pkpk]])</calculatedColumnFormula>
    </tableColumn>
    <tableColumn id="38" xr3:uid="{549C56F2-3975-49FC-95DA-EB079E64D1A1}" name="Ipeak (A)" dataDxfId="250" totalsRowDxfId="249">
      <calculatedColumnFormula>Table7[[#This Row],[I_L]]+0.5*Table7[[#This Row],[I_L pkpk]]</calculatedColumnFormula>
    </tableColumn>
    <tableColumn id="41" xr3:uid="{0D4C77C2-A024-4261-8E50-8D7B36F187D8}" name="Ion (A)" dataDxfId="248" totalsRowDxfId="247">
      <calculatedColumnFormula>IF(VACnom&gt;Vbat, (VGS_S-(TI_MOSFET_S_VTH_H_BU+Table7[[#This Row],[I_L]]/TI_MOSFET_S_gFS_H_BU))/3.4, (VGS_S-(TI_MOSFET_S_VTH_L_BO+Table7[[#This Row],[I_L]]/TI_MOSFET_S_gFS_L_BO))/3.4 )</calculatedColumnFormula>
    </tableColumn>
    <tableColumn id="42" xr3:uid="{F37F6088-D1F6-4713-B745-F81C041B38E0}" name="Ioff (A)" dataDxfId="246" totalsRowDxfId="245">
      <calculatedColumnFormula>IF(VACnom&gt;Vbat, ((TI_MOSFET_S_VTH_H_BU+Table7[[#This Row],[I_L]]/TI_MOSFET_S_gFS_H_BU))/1, ((TI_MOSFET_S_VTH_L_BO+Table7[[#This Row],[I_L]]/TI_MOSFET_S_gFS_L_BO))/1 )</calculatedColumnFormula>
    </tableColumn>
    <tableColumn id="39" xr3:uid="{8D09D970-3845-4BC1-A312-F1BF51B1EDDD}" name="ton (ns)" dataDxfId="244" totalsRowDxfId="243">
      <calculatedColumnFormula>IF(VACnom&gt;Vbat, (TI_MOSFET_S_QGD_H_BU+TI_MOSFET_S_QGS_H_BU)*10^-9/Table7[[#This Row],[Ion (A)]], (TI_MOSFET_S_QGD_L_BO+TI_MOSFET_S_QGS_L_BO)*10^-9/Table7[[#This Row],[Ion (A)]])/10^-9</calculatedColumnFormula>
    </tableColumn>
    <tableColumn id="40" xr3:uid="{EBB92F8B-38ED-48B8-AF75-9038B4D1EE6B}" name="toff (ns)" dataDxfId="242" totalsRowDxfId="241">
      <calculatedColumnFormula>IF(VACnom&gt;Vbat, (TI_MOSFET_S_QGD_H_BU+TI_MOSFET_S_QGS_H_BU)*10^-9/Table7[[#This Row],[Ioff (A)]], (TI_MOSFET_S_QGD_L_BO+TI_MOSFET_S_QGS_L_BO)*10^-9/Table7[[#This Row],[Ioff (A)]])/10^-9</calculatedColumnFormula>
    </tableColumn>
    <tableColumn id="36" xr3:uid="{F7C931CF-DB91-4222-9EC1-B64FBCCE6AB6}" name="PIV (mW)" dataDxfId="240" totalsRowDxfId="239">
      <calculatedColumnFormula xml:space="preserve"> 0.5*VACnom*Table7[[#This Row],[Ivalley (A)]]*Table7[[#This Row],[ton (ns)]]*10^-9*Fsw*10^3+0.5*VACnom*Table7[[#This Row],[Ipeak (A)]]*Table7[[#This Row],[toff (ns)]]*10^-9*Fsw*10^3/10^-3</calculatedColumnFormula>
    </tableColumn>
    <tableColumn id="43" xr3:uid="{D88C7A42-EF6F-49D6-A0DC-8950CF1BB3B3}" name="Pqoss (mW)" dataDxfId="238" totalsRowDxfId="237">
      <calculatedColumnFormula>IF(VACnom&gt;Vbat, 0.5*VACnom*TI_MOSFET_S_QOSS_H_BU*10^-9*Fsw*10^3,0.5*VACnom*TI_MOSFET_S_QOSS_L_BO*10^-9*Fsw*10^3)/10^-3</calculatedColumnFormula>
    </tableColumn>
    <tableColumn id="44" xr3:uid="{8BBF3810-B322-4AE1-AA76-6BE84F11F176}" name="Pgate_top (mW)" dataDxfId="236" totalsRowDxfId="235">
      <calculatedColumnFormula>IF(VACnom&gt;Vbat, VACnom*TI_MOSFET_S_QG_H_BU*10^-9*Fsw*10^3,VACnom*TI_MOSFET_S_QG_H_BO*10^-9*Fsw*10^3)/10^-3</calculatedColumnFormula>
    </tableColumn>
    <tableColumn id="48" xr3:uid="{8B3A03B8-2D65-43A0-9734-F6532B5A41A6}" name="PRR (mW)" dataDxfId="234" totalsRowDxfId="233">
      <calculatedColumnFormula>IF(VACnom&gt;Vbat, VACnom*TI_MOSFET_S_QRR_L_BU*10^-9*Fsw*10^3, VACnom*TI_MOSFET_S_QRR_H_BO*10^-9*Fsw*10^3)/10^-3</calculatedColumnFormula>
    </tableColumn>
    <tableColumn id="49" xr3:uid="{35BAE4DE-B3DE-48FE-A45E-0AD92CC23C11}" name="Pdead (mW)" dataDxfId="232" totalsRowDxfId="231">
      <calculatedColumnFormula>IF(VACnom&gt;Vbat, TI_MOSFET_S_VSD_L_BU*Table7[[#This Row],[Ivalley (A)]]*Fsw*10^3*40*10^-9+TI_MOSFET_S_VSD_L_BU*Table7[[#This Row],[Ipeak (A)]]*Fsw*10^3*30*10^-9, TI_MOSFET_S_VSD_H_BO*Table7[[#This Row],[Ivalley (A)]]*Fsw*10^3*40*10^-9+TI_MOSFET_S_VSD_H_BO*Table7[[#This Row],[Ipeak (A)]]*Fsw*10^3*30*10^-9)/10^-3</calculatedColumnFormula>
    </tableColumn>
    <tableColumn id="51" xr3:uid="{04DAAF9E-46B0-4EE7-8EDB-0EDC15487DE8}" name="Pgate_bottom (mW)" dataDxfId="230" totalsRowDxfId="229">
      <calculatedColumnFormula>IF(VACnom&gt;Vbat, VACnom*TI_MOSFET_S_QG_L_BU*10^-9*Fsw*10^3, VACnom*TI_MOSFET_S_QG_L_BO*10^-9*Fsw*10^3)/10^-3</calculatedColumnFormula>
    </tableColumn>
    <tableColumn id="34" xr3:uid="{DAA77BC0-C411-42CF-9207-F9F858327E03}" name="Pcon_top (mW)" dataDxfId="228" totalsRowDxfId="227">
      <calculatedColumnFormula>IF(VACnom&lt;Vbat, Table7[[#This Row],[Duty Cycle]]*Table7[[#This Row],[I_L RMS]]^2*TI_MOSFET_S_RDSON_H_BU*10^-3, (1-Table7[[#This Row],[Duty Cycle]])*Table7[[#This Row],[I_L RMS]]^2*TI_MOSFET_S_RDSON_H_BO*10^-3)/10^-3</calculatedColumnFormula>
    </tableColumn>
    <tableColumn id="35" xr3:uid="{6DCA6390-E7A0-4DD5-B7C0-DC6AA33A0E61}" name="Psw_top (mW)" dataDxfId="226" totalsRowDxfId="225">
      <calculatedColumnFormula>IF(VACnom&gt;Vbat, Table7[[#This Row],[PIV (mW)]]+Table7[[#This Row],[Pqoss (mW)]]+Table7[[#This Row],[Pgate_top (mW)]], Table7[[#This Row],[PRR (mW)]]+Table7[[#This Row],[Pdead (mW)]]+Table7[[#This Row],[Pgate_top (mW)]])</calculatedColumnFormula>
    </tableColumn>
    <tableColumn id="45" xr3:uid="{3B88D89D-47F7-436A-AFA8-8D92E69AAA39}" name="Ptop (mW)" dataDxfId="224" totalsRowDxfId="223">
      <calculatedColumnFormula>Table7[[#This Row],[Pcon_top (mW)]]+Table7[[#This Row],[Psw_top (mW)]]</calculatedColumnFormula>
    </tableColumn>
    <tableColumn id="46" xr3:uid="{FF0EA0D2-8184-4E88-8587-985B2145B9F4}" name="Pcon_bottom (mW)" dataDxfId="222" totalsRowDxfId="221">
      <calculatedColumnFormula>IF(VACnom&gt;Vbat, (1-Table7[[#This Row],[Duty Cycle]])*Table7[[#This Row],[I_L RMS]]^2*TI_MOSFET_S_RDSON_L_BU*10^-3, Table7[[#This Row],[Duty Cycle]]*Table7[[#This Row],[I_L RMS]]^2*TI_MOSFET_S_RDSON_L_BO*10^-3)/10^-3</calculatedColumnFormula>
    </tableColumn>
    <tableColumn id="47" xr3:uid="{728A07DA-E165-4DB5-8AF9-EC8B4BE19EC2}" name="Psw_bottom (mW)" dataDxfId="220" totalsRowDxfId="219">
      <calculatedColumnFormula>IF(VACnom&gt;Vbat, Table7[[#This Row],[PRR (mW)]]+Table7[[#This Row],[Pdead (mW)]]+Table7[[#This Row],[Pgate_bottom (mW)]], Table7[[#This Row],[PIV (mW)]]+Table7[[#This Row],[Pqoss (mW)]]+Table7[[#This Row],[Pgate_bottom (mW)]])</calculatedColumnFormula>
    </tableColumn>
    <tableColumn id="52" xr3:uid="{24EE1756-4CB7-4A02-ACCE-0B52B4621B3B}" name="Pbottom (mW)" dataDxfId="218" totalsRowDxfId="217">
      <calculatedColumnFormula>Table7[[#This Row],[Pcon_bottom (mW)]]+Table7[[#This Row],[Psw_bottom (mW)]]</calculatedColumnFormula>
    </tableColumn>
    <tableColumn id="71" xr3:uid="{6085F2DF-A06A-4059-A69E-8ED341D1A77C}" name="Total TI (mW)" dataDxfId="216" totalsRowDxfId="215">
      <calculatedColumnFormula>Table7[[#This Row],[Pbottom (mW)]]+Table7[[#This Row],[Ptop (mW)]]</calculatedColumnFormula>
    </tableColumn>
    <tableColumn id="68" xr3:uid="{7FD1E84E-99FE-486B-8D90-9AD9A81A4769}" name="Column1" dataDxfId="214" totalsRowDxfId="213">
      <calculatedColumnFormula>"Break"</calculatedColumnFormula>
    </tableColumn>
    <tableColumn id="67" xr3:uid="{7647C5E7-C4F3-45C7-B580-D6D1F1E0BD30}" name="Ivalley (A) C" dataDxfId="212" totalsRowDxfId="211">
      <calculatedColumnFormula>MAX(0,Table7[[#This Row],[I_L]]-0.5*Table7[[#This Row],[I_L pkpk]])</calculatedColumnFormula>
    </tableColumn>
    <tableColumn id="66" xr3:uid="{15C7CB6C-6970-4CF9-957B-0DAA88C860FE}" name="Ipeak (A) C" dataDxfId="210" totalsRowDxfId="209">
      <calculatedColumnFormula>Table7[[#This Row],[I_L]]+0.5*Table7[[#This Row],[I_L pkpk]]</calculatedColumnFormula>
    </tableColumn>
    <tableColumn id="65" xr3:uid="{66C71441-C239-4C27-8B9B-B463EEC2C6A3}" name="Ion (A) C" dataDxfId="208" totalsRowDxfId="207">
      <calculatedColumnFormula>IF(VACnom&gt;Vbat, (VGS_S-(C_MOSFET_S_VTH_H_BU+Table7[[#This Row],[I_L]]/C_MOSFET_S_gFS_H_BU))/3.4, (VGS_S-(C_MOSFET_S_VTH_L_BO+Table7[[#This Row],[I_L]]/C_MOSFET_S_gFS_L_BO))/3.4 )</calculatedColumnFormula>
    </tableColumn>
    <tableColumn id="64" xr3:uid="{8B9B0E7C-E282-49D9-93F2-31D4DCE8268E}" name="Ioff (A) C" dataDxfId="206" totalsRowDxfId="205">
      <calculatedColumnFormula>IF(VACnom&gt;Vbat, ((C_MOSFET_S_VTH_H_BU+Table7[[#This Row],[I_L]]/C_MOSFET_S_gFS_H_BU))/1, ((C_MOSFET_S_VTH_L_BO+Table7[[#This Row],[I_L]]/C_MOSFET_S_gFS_L_BO))/1 )</calculatedColumnFormula>
    </tableColumn>
    <tableColumn id="63" xr3:uid="{26528621-9514-4770-BF0B-764DAC917808}" name="ton (ns) C" dataDxfId="204" totalsRowDxfId="203">
      <calculatedColumnFormula>IF(VACnom&gt;Vbat, (C_MOSFET_S_QGD_H_BU+C_MOSFET_S_QGS_H_BU)*10^-9/Table7[[#This Row],[Ion (A) C]], (C_MOSFET_S_QGD_L_BO+C_MOSFET_S_QGS_L_BO)*10^-9/Table7[[#This Row],[Ion (A) C]])/10^-9</calculatedColumnFormula>
    </tableColumn>
    <tableColumn id="62" xr3:uid="{142595D4-3601-4B38-99C2-959E297FBEA9}" name="toff (ns) C" dataDxfId="202" totalsRowDxfId="201">
      <calculatedColumnFormula>IF(VACnom&gt;Vbat, (C_MOSFET_S_QGD_H_BU+C_MOSFET_S_QGS_H_BU)*10^-9/Table7[[#This Row],[Ioff (A) C]], (C_MOSFET_S_QGD_L_BO+C_MOSFET_S_QGS_L_BO)*10^-9/Table7[[#This Row],[Ioff (A) C]])/10^-9</calculatedColumnFormula>
    </tableColumn>
    <tableColumn id="61" xr3:uid="{1CC4176A-8FD6-4944-919A-1565C3E8EA26}" name="PIV (mW) C" dataDxfId="200" totalsRowDxfId="199">
      <calculatedColumnFormula xml:space="preserve"> 0.5*VACnom*Table7[[#This Row],[Ivalley (A) C]]*Table7[[#This Row],[ton (ns) C]]*10^-9*Fsw*10^3+0.5*VACnom*Table7[[#This Row],[Ipeak (A) C]]*Table7[[#This Row],[toff (ns) C]]*10^-9*Fsw*10^3/10^-3</calculatedColumnFormula>
    </tableColumn>
    <tableColumn id="60" xr3:uid="{CB424010-4DE6-4B05-93CA-66522ED495C3}" name="PQoss (mW) C" dataDxfId="198" totalsRowDxfId="197">
      <calculatedColumnFormula>IF(VACnom&gt;Vbat, 0.5*VACnom*C_MOSFET_S_QOSS_H_BU*10^-9*Fsw*10^3,0.5*VACnom*C_MOSFET_S_QOSS_L_BO*10^-9*Fsw*10^3)/10^-3</calculatedColumnFormula>
    </tableColumn>
    <tableColumn id="59" xr3:uid="{A1DBC267-6C6F-4643-8654-795314C93E7A}" name="Pgate_top (mW) C" dataDxfId="196" totalsRowDxfId="195">
      <calculatedColumnFormula>IF(VACnom&gt;Vbat, VACnom*C_MOSFET_S_QG_H_BU*10^-9*Fsw*10^3,VACnom*C_MOSFET_S_QG_H_BO*10^-9*Fsw*10^3)/10^-3</calculatedColumnFormula>
    </tableColumn>
    <tableColumn id="58" xr3:uid="{4939F259-D2F9-4453-AE34-3E79DA047C28}" name="PRR (mW) C" dataDxfId="194" totalsRowDxfId="193">
      <calculatedColumnFormula>IF(VACnom&gt;Vbat, VACnom*C_MOSFET_S_QRR_L_BU*10^-9*Fsw*10^3, VACnom*C_MOSFET_S_QRR_H_BO*10^-9*Fsw*10^3)/10^-3</calculatedColumnFormula>
    </tableColumn>
    <tableColumn id="57" xr3:uid="{8822FEB7-410E-4380-A480-743F9E11FA0D}" name="Pdead (mW) C" dataDxfId="192" totalsRowDxfId="191">
      <calculatedColumnFormula>IF(VACnom&gt;Vbat, C_MOSFET_S_VSD_L_BU*Table7[[#This Row],[Ivalley (A) C]]*Fsw*10^3*40*10^-9+C_MOSFET_S_VSD_L_BU*Table7[[#This Row],[Ipeak (A) C]]*Fsw*10^3*30*10^-9, C_MOSFET_S_VSD_H_BO*Table7[[#This Row],[Ivalley (A) C]]*Fsw*10^3*40*10^-9+C_MOSFET_S_VSD_H_BO*Table7[[#This Row],[Ipeak (A) C]]*Fsw*10^3*30*10^-9)/10^-3</calculatedColumnFormula>
    </tableColumn>
    <tableColumn id="56" xr3:uid="{A3EFA141-29AC-4591-89E8-71CBF76EED74}" name="Pgate_bottom (mW) C" dataDxfId="190" totalsRowDxfId="189">
      <calculatedColumnFormula>IF(VACnom&gt;Vbat, VACnom*C_MOSFET_S_QG_L_BU*10^-9*Fsw*10^3, VACnom*C_MOSFET_S_QG_L_BO*10^-9*Fsw*10^3)/10^-3</calculatedColumnFormula>
    </tableColumn>
    <tableColumn id="55" xr3:uid="{CD1C7770-16DC-4724-81FD-B186F0A3021E}" name="Pcon_top (mW) C" dataDxfId="188" totalsRowDxfId="187">
      <calculatedColumnFormula>IF(VACnom&lt;Vbat, Table7[[#This Row],[Duty Cycle]]*Table7[[#This Row],[I_L RMS]]^2*C_MOSFET_S_RDSON_H_BU*10^-3, (1-Table7[[#This Row],[Duty Cycle]])*Table7[[#This Row],[I_L RMS]]^2*C_MOSFET_S_RDSON_H_BO*10^-3)/10^-3</calculatedColumnFormula>
    </tableColumn>
    <tableColumn id="54" xr3:uid="{011D2DE5-C936-4670-AA3F-B3F7C5FEE529}" name="Psw_top (mW) C" dataDxfId="186" totalsRowDxfId="185">
      <calculatedColumnFormula>IF(VACnom&gt;Vbat, Table7[[#This Row],[PIV (mW) C]]+Table7[[#This Row],[PQoss (mW) C]]+Table7[[#This Row],[Pgate_top (mW) C]], Table7[[#This Row],[PRR (mW) C]]+Table7[[#This Row],[Pdead (mW) C]]+Table7[[#This Row],[Pgate_top (mW) C]])</calculatedColumnFormula>
    </tableColumn>
    <tableColumn id="53" xr3:uid="{45113D1F-F3BC-49F4-ABB1-65B9C8FDEF65}" name="Ptop (mW) C" dataDxfId="184">
      <calculatedColumnFormula>Table7[[#This Row],[Pcon_top (mW) C]]+Table7[[#This Row],[Psw_top (mW) C]]</calculatedColumnFormula>
    </tableColumn>
    <tableColumn id="8" xr3:uid="{E51E4B60-E630-42DD-AA2B-E4EADD6333CD}" name="Pcon_bottom (mW) C" dataDxfId="183">
      <calculatedColumnFormula>IF(VACnom&gt;Vbat, (1-Table7[[#This Row],[Duty Cycle]])*Table7[[#This Row],[I_L RMS]]^2*C_MOSFET_S_RDSON_L_BU*10^-3, Table7[[#This Row],[Duty Cycle]]*Table7[[#This Row],[I_L RMS]]^2*C_MOSFET_S_RDSON_L_BO*10^-3)/10^-3</calculatedColumnFormula>
    </tableColumn>
    <tableColumn id="9" xr3:uid="{5852F35F-0CB1-41BD-8CF0-314F0F9AE316}" name="Psw_bottom (mV) C" dataDxfId="182">
      <calculatedColumnFormula>IF(VACnom&gt;Vbat, Table7[[#This Row],[PRR (mW) C]]+Table7[[#This Row],[Pdead (mW) C]]+Table7[[#This Row],[Pgate_bottom (mW) C]], Table7[[#This Row],[PIV (mW) C]]+Table7[[#This Row],[PQoss (mW) C]]+Table7[[#This Row],[Pgate_bottom (mW) C]])</calculatedColumnFormula>
    </tableColumn>
    <tableColumn id="10" xr3:uid="{FBD3941A-B623-4103-8FB8-8AB0357452FA}" name="Pbottom (mW) C" dataDxfId="181">
      <calculatedColumnFormula>Table7[[#This Row],[Pcon_bottom (mW) C]]+Table7[[#This Row],[Psw_bottom (mV) C]]</calculatedColumnFormula>
    </tableColumn>
    <tableColumn id="72" xr3:uid="{47723F16-0BF9-40CD-9794-55929E9BE675}" name="Total (mW) C" dataDxfId="180">
      <calculatedColumnFormula>Table7[[#This Row],[Pbottom (mW) C]]+Table7[[#This Row],[Ptop (mW) C]]</calculatedColumnFormula>
    </tableColumn>
    <tableColumn id="70" xr3:uid="{E6C25844-89A5-424A-9232-813A21AEDA7E}" name="Pbottom (mW)20" dataDxfId="179"/>
    <tableColumn id="11" xr3:uid="{5A007DA0-EEB7-4901-ACC8-D0B1C83D904D}" name="R_AC (mW)" dataDxfId="178">
      <calculatedColumnFormula>(RAC_SNS*10^-3*(Table7[[#This Row],[IOUT (A)]]*Vbat/VACnom)^2/10^-3)</calculatedColumnFormula>
    </tableColumn>
    <tableColumn id="13" xr3:uid="{B40CAEEF-7023-4ECD-9067-435497077A99}" name="R_SR (mW)" dataDxfId="177">
      <calculatedColumnFormula>(RBAT_SNS*10^-3*Table7[[#This Row],[IOUT (A)]]^2)/10^-3</calculatedColumnFormula>
    </tableColumn>
    <tableColumn id="12" xr3:uid="{A73D67AB-24E8-4DE9-8DB8-70E007A90675}" name="Inductor Loss (mW)" dataDxfId="176">
      <calculatedColumnFormula>IF(VACnom&gt;Vbat,(L_DRC*10^-3*(Table7[[#This Row],[IOUT (A)]])^2/10^-3),(L_DRC*10^-3*(Table7[[#This Row],[IOUT (A)]]*Vbat/VACnom)^2/10^-3))</calculatedColumnFormula>
    </tableColumn>
    <tableColumn id="73" xr3:uid="{E0CD81C5-3D8F-47A9-BF34-189D917CA7A2}" name="Column3" dataDxfId="175"/>
    <tableColumn id="17" xr3:uid="{469C57B2-D1AD-4710-AA09-D21A4DEBC430}" name="Total Sense Loss" dataDxfId="174" totalsRowDxfId="173">
      <calculatedColumnFormula>(Table7[[#This Row],[R_AC (mW)]]+Table7[[#This Row],[R_SR (mW)]]+Table7[[#This Row],[Inductor Loss (mW)]])/10^3</calculatedColumnFormula>
    </tableColumn>
    <tableColumn id="18" xr3:uid="{5A252789-624E-4EA8-841F-D2EECE3BFFD6}" name="Total MOSFET Loss" dataDxfId="172" totalsRowDxfId="171">
      <calculatedColumnFormula>Table7[[#This Row],[Total TI (mW)]]/10^3</calculatedColumnFormula>
    </tableColumn>
    <tableColumn id="14" xr3:uid="{21465AC2-0CE2-4EC8-B214-72585B8E4648}" name="Total Power Loss (W)" dataDxfId="170" totalsRowDxfId="169">
      <calculatedColumnFormula>Table7[[#This Row],[Total Sense Loss]]+Table7[[#This Row],[Total MOSFET Loss]]</calculatedColumnFormula>
    </tableColumn>
    <tableColumn id="15" xr3:uid="{2628FEAE-617B-4A73-977B-2C531AC9E46B}" name="Efficiency" totalsRowFunction="sum" dataDxfId="168" totalsRowDxfId="167" dataCellStyle="Percent">
      <calculatedColumnFormula>IF(Table7[[#This Row],[POUT (W)]]=0,0,(Table7[[#This Row],[POUT (W)]])/(Table7[[#This Row],[POUT (W)]]+Table7[[#This Row],[Total Power Loss (W)]]))*100</calculatedColumnFormula>
    </tableColumn>
    <tableColumn id="74" xr3:uid="{C09E2464-7C63-4BCB-BF98-AD1CC5762655}" name="Column4" dataDxfId="166" totalsRowDxfId="165" dataCellStyle="Percent"/>
    <tableColumn id="79" xr3:uid="{ADB29918-94B1-452B-AEED-1F569EF85BA1}" name="Total Sense Loss C" dataDxfId="164" totalsRowDxfId="163" dataCellStyle="Percent">
      <calculatedColumnFormula>(Table7[[#This Row],[R_AC (mW)]]+Table7[[#This Row],[R_SR (mW)]]+Table7[[#This Row],[Inductor Loss (mW)]])/10^3</calculatedColumnFormula>
    </tableColumn>
    <tableColumn id="78" xr3:uid="{9E5E6794-B755-420F-A92C-7B0682784EEB}" name="Total MOSFET Loss C" dataDxfId="162" totalsRowDxfId="161" dataCellStyle="Percent">
      <calculatedColumnFormula>Table7[[#This Row],[Total (mW) C]]/10^3</calculatedColumnFormula>
    </tableColumn>
    <tableColumn id="77" xr3:uid="{08084DE9-3301-43D3-82E4-46C4313B5B9B}" name="Total Power Loss (W) C" dataDxfId="160" totalsRowDxfId="159" dataCellStyle="Percent">
      <calculatedColumnFormula>Table7[[#This Row],[Total Sense Loss C]]+Table7[[#This Row],[Total MOSFET Loss C]]</calculatedColumnFormula>
    </tableColumn>
    <tableColumn id="76" xr3:uid="{54A0B4D2-2375-4D45-974B-72F8D0C369A7}" name="Efficiency C" dataDxfId="158" totalsRowDxfId="157" dataCellStyle="Percent">
      <calculatedColumnFormula>IF(Table7[[#This Row],[POUT (W)]]=0,0,(Table7[[#This Row],[POUT (W)]])/(Table7[[#This Row],[POUT (W)]]+Table7[[#This Row],[Total Power Loss (W) C]]))*100</calculatedColumnFormula>
    </tableColumn>
    <tableColumn id="80" xr3:uid="{009E225F-E684-495F-AF61-1A0BC3FB78D9}" name="Column52" dataDxfId="156" totalsRowDxfId="155" dataCellStyle="Percent"/>
    <tableColumn id="30" xr3:uid="{35FCB5A1-27BE-4974-B85A-63C56766A359}" name="Total Sense Loss P1" dataDxfId="154" totalsRowDxfId="153" dataCellStyle="Percent">
      <calculatedColumnFormula>IF(MOSFET_S=Custom_MOSFET,Table7[[#This Row],[Total Sense Loss C]],Table7[[#This Row],[Total Sense Loss]])</calculatedColumnFormula>
    </tableColumn>
    <tableColumn id="31" xr3:uid="{19769783-8201-4C49-97AC-E25D34D09F25}" name="Total MOSFET Loss P1" dataDxfId="152" totalsRowDxfId="151">
      <calculatedColumnFormula>IF(MOSFET_S=Custom_MOSFET,Table7[[#This Row],[Total MOSFET Loss C]],Table7[[#This Row],[Total MOSFET Loss]])</calculatedColumnFormula>
    </tableColumn>
    <tableColumn id="33" xr3:uid="{7962709D-9696-41CC-A58F-1D40668EDBDC}" name="Efficiency P1" dataDxfId="150" totalsRowDxfId="149" dataCellStyle="Percent">
      <calculatedColumnFormula>IF(MOSFET_S=Custom_MOSFET,Table7[[#This Row],[Efficiency C]],Table7[[#This Row],[Efficiency]])</calculatedColumnFormula>
    </tableColumn>
    <tableColumn id="81" xr3:uid="{05484B1F-6CFB-4773-9195-1E7C46D7868F}" name="Column5" dataDxfId="148" totalsRowDxfId="147" dataCellStyle="Percent"/>
    <tableColumn id="20" xr3:uid="{DACB3A5B-FA0D-47CB-AE96-5E67E89CB32E}" name="Total Sense Loss P2" dataDxfId="146" totalsRowDxfId="145" dataCellStyle="Percent">
      <calculatedColumnFormula>IF(MOSFET_S=Compare_MOSFET, Table7[[#This Row],[Total Sense Loss C]], -100)</calculatedColumnFormula>
    </tableColumn>
    <tableColumn id="32" xr3:uid="{1077E6FB-A0DA-4D5E-A7D2-201657CB9CB8}" name="Total MOSFET Loss P2" dataDxfId="144" totalsRowDxfId="143" dataCellStyle="Percent">
      <calculatedColumnFormula>IF(MOSFET_S=Compare_MOSFET, Table7[[#This Row],[Total MOSFET Loss C]], -100)</calculatedColumnFormula>
    </tableColumn>
    <tableColumn id="84" xr3:uid="{F6DCAB09-B3DA-468B-BA67-438808BA48DE}" name="Efficiency P2" dataDxfId="142" totalsRowDxfId="141" dataCellStyle="Percent">
      <calculatedColumnFormula>IF(MOSFET_S=Compare_MOSFET, Table7[[#This Row],[Efficiency C]], -100)</calculatedColumnFormula>
    </tableColumn>
    <tableColumn id="83" xr3:uid="{1E5FDBD8-E32A-4C99-BBBF-F09F742F669D}" name="Column6" dataDxfId="140" totalsRowDxfId="139" dataCellStyle="Percent"/>
    <tableColumn id="85" xr3:uid="{E9805492-8ADE-4C33-A101-A60EA257C38E}" name="Total Sense Loss P1 Saved" dataDxfId="138" totalsRowDxfId="137" dataCellStyle="Percent">
      <calculatedColumnFormula>IF(Save_Sel=CLR_Save,  Table7[[#This Row],[Total Sense Loss P1]], Table7[[#This Row],[Total Sense Loss P1 Saved]])</calculatedColumnFormula>
    </tableColumn>
    <tableColumn id="86" xr3:uid="{FD45CE30-7F06-4492-90E5-A991D382678E}" name="Total MOSFET Loss P1 Saved" dataDxfId="136" totalsRowDxfId="135" dataCellStyle="Percent">
      <calculatedColumnFormula>IF(Save_Sel=CLR_Save,  Table7[[#This Row],[Total MOSFET Loss P1]], Table7[[#This Row],[Total MOSFET Loss P1 Saved]] )</calculatedColumnFormula>
    </tableColumn>
    <tableColumn id="87" xr3:uid="{44C5276C-A1F3-40FF-ADA2-1451D5D0AF47}" name="Efficiency P1 Saved" dataDxfId="134" totalsRowDxfId="133" dataCellStyle="Percent">
      <calculatedColumnFormula>IF(Save_Sel=CLR_Save, Table7[[#This Row],[Efficiency P1]], Table7[[#This Row],[Efficiency P1 Saved]])</calculatedColumnFormula>
    </tableColumn>
    <tableColumn id="88" xr3:uid="{652D0876-BD7C-42B9-82F9-928CA2EB7E8A}" name="Column10" dataDxfId="132" totalsRowDxfId="131" dataCellStyle="Percent"/>
    <tableColumn id="89" xr3:uid="{AD44DEF5-76AF-4D72-8B3E-10614C6ECF75}" name="Total Sense Loss P2 Saved" dataDxfId="130" totalsRowDxfId="129" dataCellStyle="Percent">
      <calculatedColumnFormula>IF(Save_Sel=CLR_Save,  Table7[[#This Row],[Total Sense Loss P2]], Table7[[#This Row],[Total Sense Loss P2 Saved]])</calculatedColumnFormula>
    </tableColumn>
    <tableColumn id="90" xr3:uid="{80E91144-60D4-4C79-8C44-BCC093E86820}" name="Total MOSFET Loss P2 Saved" dataDxfId="128" totalsRowDxfId="127" dataCellStyle="Percent">
      <calculatedColumnFormula>IF(Save_Sel=CLR_Save,  Table7[[#This Row],[Total MOSFET Loss P2]], Table7[[#This Row],[Total MOSFET Loss P2 Saved]] )</calculatedColumnFormula>
    </tableColumn>
    <tableColumn id="91" xr3:uid="{32B0D0A4-00D5-4DF3-9925-C6208AED4BB9}" name="Efficiency P2 Saved" dataDxfId="126" totalsRowDxfId="125" dataCellStyle="Percent">
      <calculatedColumnFormula>IF(Save_Sel=CLR_Save, Table7[[#This Row],[Efficiency P2]], Table7[[#This Row],[Efficiency P2 Saved]])</calculatedColumnFormula>
    </tableColumn>
    <tableColumn id="16" xr3:uid="{F00C6D94-CA1B-44C3-9165-FE8EFC557FB7}" name="Column7" dataDxfId="124" totalsRowDxfId="123">
      <calculatedColumnFormula>Table7[[#This Row],[Efficiency P1]]</calculatedColumnFormula>
    </tableColumn>
  </tableColumns>
  <tableStyleInfo name="TableStyleMedium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40F85C7-70E4-4FE2-B07D-20D4875CBC27}" name="MOSFET_Selection" displayName="MOSFET_Selection" ref="X116:AD131" totalsRowShown="0" headerRowDxfId="122" dataDxfId="121" tableBorderDxfId="120">
  <autoFilter ref="X116:AD131" xr:uid="{04A09834-65C8-4FB0-99B6-BD5284FCE20C}">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51F1CF1C-BBB6-45B3-AD6B-747725763F3F}" name="Parameter" dataDxfId="119"/>
    <tableColumn id="2" xr3:uid="{74AE653E-C0A7-4632-8FFF-8E2B66D1840C}" name="CSD18563Q5A" dataDxfId="118"/>
    <tableColumn id="3" xr3:uid="{9BE1CD4B-1960-4FA4-8E04-8C349EABC681}" name="CSD16321Q5" dataDxfId="117"/>
    <tableColumn id="4" xr3:uid="{483FB8C5-182A-4FB2-A09B-B09805FBDF17}" name="AONS66614" dataDxfId="116"/>
    <tableColumn id="7" xr3:uid="{5FFD8BBD-8BF2-4E92-9280-78CFBB56BA6E}" name="SiR680LDP" dataDxfId="115"/>
    <tableColumn id="5" xr3:uid="{D131257B-65B6-4268-B9D8-457911511019}" name="SiR880BDP" dataDxfId="114"/>
    <tableColumn id="6" xr3:uid="{E01F07F4-91B8-42AC-A3CC-F355889CF713}" name="Units" dataDxfId="113"/>
  </tableColumns>
  <tableStyleInfo name="TableStyleMedium2" showFirstColumn="1"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8B2B49C-7F75-4D2D-AA80-2F19851DBD25}" name="Table9" displayName="Table9" ref="AC19:AO180" totalsRowShown="0" headerRowDxfId="112" dataDxfId="111">
  <autoFilter ref="AC19:AO180" xr:uid="{13560140-47F6-4E45-B7A6-7EECCD48A3C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sortState xmlns:xlrd2="http://schemas.microsoft.com/office/spreadsheetml/2017/richdata2" ref="AC20:AO180">
    <sortCondition ref="AC19:AC180"/>
  </sortState>
  <tableColumns count="13">
    <tableColumn id="13" xr3:uid="{8C67712E-BACF-4D17-8D82-8C239A1186C4}" name="Temperature" dataDxfId="110">
      <calculatedColumnFormula>A20</calculatedColumnFormula>
    </tableColumn>
    <tableColumn id="12" xr3:uid="{B3EEB3CB-07A6-492A-BDCA-B66E1C3B8A6E}" name="RTH(min) (kΩ)" dataDxfId="109">
      <calculatedColumnFormula>E20</calculatedColumnFormula>
    </tableColumn>
    <tableColumn id="11" xr3:uid="{0A18686F-3609-49F1-A431-C25637B80F0E}" name="RTH(nom) (kΩ)" dataDxfId="108">
      <calculatedColumnFormula>F20</calculatedColumnFormula>
    </tableColumn>
    <tableColumn id="10" xr3:uid="{74ED5950-EB26-47CD-8452-818D50F8A77D}" name="RTH(max) (kΩ)" dataDxfId="107">
      <calculatedColumnFormula>G20</calculatedColumnFormula>
    </tableColumn>
    <tableColumn id="1" xr3:uid="{1043A39F-4535-4105-B35E-1FA470ADBBB3}" name="RLower(min) (kΩ)" dataDxfId="106">
      <calculatedColumnFormula>Table9[[#This Row],[RTH(min) (kΩ)]]*RT2_TH_MIN/(RT2_TH_MIN+Table9[[#This Row],[RTH(min) (kΩ)]])</calculatedColumnFormula>
    </tableColumn>
    <tableColumn id="2" xr3:uid="{B67C8AB6-464D-45A3-9A5E-E105EDFE8ED8}" name="RLower(nom) (kΩ)" dataDxfId="105">
      <calculatedColumnFormula>Table9[[#This Row],[RTH(nom) (kΩ)]]*RT2_TH_S/(RT2_TH_S+Table9[[#This Row],[RTH(nom) (kΩ)]])</calculatedColumnFormula>
    </tableColumn>
    <tableColumn id="3" xr3:uid="{FB7B26FF-B851-4A1C-8F07-B3F60E4535E2}" name="RLower(max) (kΩ)" dataDxfId="104">
      <calculatedColumnFormula>Table9[[#This Row],[RTH(max) (kΩ)]]*RT2_TH_S_MAX/(RT2_TH_S_MAX+Table9[[#This Row],[RTH(max) (kΩ)]])</calculatedColumnFormula>
    </tableColumn>
    <tableColumn id="4" xr3:uid="{CB493970-A2E7-49FE-8609-AF4F11C0884B}" name="Vmin (%)" dataDxfId="103">
      <calculatedColumnFormula>Table9[[#This Row],[RLower(min) (kΩ)]]/(Table9[[#This Row],[RLower(min) (kΩ)]]+RT1_TH_S_MAX)*100</calculatedColumnFormula>
    </tableColumn>
    <tableColumn id="5" xr3:uid="{4169ED69-75AF-4579-B357-041A1C806746}" name="Vnom (%)" dataDxfId="102">
      <calculatedColumnFormula>Table9[[#This Row],[RLower(nom) (kΩ)]]/(Table9[[#This Row],[RLower(nom) (kΩ)]]+RT1_TH_S)*100</calculatedColumnFormula>
    </tableColumn>
    <tableColumn id="6" xr3:uid="{DC9D2A30-649F-42D4-92BB-8492EDF8F988}" name="Vmax (%)" dataDxfId="101">
      <calculatedColumnFormula>Table9[[#This Row],[RLower(max) (kΩ)]]/(Table9[[#This Row],[RLower(max) (kΩ)]]+RT1_TH_S_MIN)*100</calculatedColumnFormula>
    </tableColumn>
    <tableColumn id="7" xr3:uid="{1E063D91-8DA6-4385-A59E-CA0477EAF270}" name="Charging Code" dataDxfId="100">
      <calculatedColumnFormula>IF(Table9[[#This Row],[Vmin (%)]]&lt;$BA$14, 0, IF(Table9[[#This Row],[Vmin (%)]]&lt;$BA$12, 4, IF(Table9[[#This Row],[Vmin (%)]]&lt;$BA$9, 3, IF(Table9[[#This Row],[Vmin (%)]]&lt;$BA$7, 2, 0))))</calculatedColumnFormula>
    </tableColumn>
    <tableColumn id="8" xr3:uid="{7B5DA0A6-F6CB-40F4-AC9B-B58FD733A2A4}" name="Hysteresis" dataDxfId="99">
      <calculatedColumnFormula>IF(Table9[[#This Row],[Vmin (%)]]&lt;$BA$13, 0, IF(Table9[[#This Row],[Vmin (%)]]&lt;$BA$11, 4, IF(Table9[[#This Row],[Vmin (%)]]&lt;$BA$10, 3, IF(Table9[[#This Row],[Vmin (%)]]&lt;$BA$8, 2, 0))))</calculatedColumnFormula>
    </tableColumn>
    <tableColumn id="9" xr3:uid="{A49C487E-AA23-47DF-A751-6F3E54600619}" name="Charging Region" dataDxfId="98">
      <calculatedColumnFormula>IF(Table9[[#This Row],[Vmin (%)]]&lt;$BA$14, "Hot", IF(Table9[[#This Row],[Vmin (%)]]&lt;$BA$12, "Warm", IF(Table9[[#This Row],[Vmin (%)]]&lt;$BA$9, "Normal", IF(Table9[[#This Row],[Vmin (%)]]&lt;$BA$7, "Cool", "Cold"))))</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43B5DDD7-6703-44DB-8CE8-58D5B77426A4}" name="Table10" displayName="Table10" ref="AC6:AW14" totalsRowShown="0" headerRowDxfId="97" dataDxfId="96">
  <autoFilter ref="AC6:AW14" xr:uid="{3365D6EE-3C78-4F6D-A68F-5C97D225D91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autoFilter>
  <tableColumns count="21">
    <tableColumn id="1" xr3:uid="{7957A9EC-C644-4A63-AF67-9AF75A77CB25}" name="Target (MIN)" dataDxfId="95">
      <calculatedColumnFormula>Table13[[#This Row],[Min]]</calculatedColumnFormula>
    </tableColumn>
    <tableColumn id="2" xr3:uid="{B91230FE-B4BC-440B-A380-49F3103FD348}" name="1st VLOOK MIN" dataDxfId="94">
      <calculatedColumnFormula>INDEX(Table9[Vmin (%)], (MATCH(Table10[[#This Row],[Target (MIN)]], Table9[Vmin (%)],1)))</calculatedColumnFormula>
    </tableColumn>
    <tableColumn id="3" xr3:uid="{6C0C1C48-E71D-4A74-99A8-CAC4DC324F40}" name="2nd VLOOK MIN" dataDxfId="93">
      <calculatedColumnFormula>INDEX(Table9[Vmin (%)], (MATCH(Table10[[#This Row],[Target (MIN)]], Table9[Vmin (%)],1)+1))</calculatedColumnFormula>
    </tableColumn>
    <tableColumn id="4" xr3:uid="{7B2BF612-5A95-42C1-A4CA-0CE6D431D817}" name="1st Diff" dataDxfId="92">
      <calculatedColumnFormula>ABS(Table10[[#This Row],[Target (MIN)]]-Table10[[#This Row],[1st VLOOK MIN]])</calculatedColumnFormula>
    </tableColumn>
    <tableColumn id="5" xr3:uid="{E17C4D37-0226-42BC-B9B8-DCB28832355C}" name="2nd Diff" dataDxfId="91">
      <calculatedColumnFormula>ABS(Table10[[#This Row],[Target (MIN)]]-Table10[[#This Row],[2nd VLOOK MIN]])</calculatedColumnFormula>
    </tableColumn>
    <tableColumn id="6" xr3:uid="{C70C838D-98B6-410C-9701-F383ADD9B923}" name="Closest VLOOK MIN" dataDxfId="90">
      <calculatedColumnFormula>IF(Table10[[#This Row],[1st Diff]]&lt;Table10[[#This Row],[2nd Diff]],Table10[[#This Row],[1st VLOOK MIN]],Table10[[#This Row],[2nd VLOOK MIN]])</calculatedColumnFormula>
    </tableColumn>
    <tableColumn id="7" xr3:uid="{0F75353D-F177-4460-A31F-87E08EC75B1F}" name="MIN Temp" dataDxfId="89">
      <calculatedColumnFormula>INDEX(Table9[Temperature], (MATCH(Table10[[#This Row],[Closest VLOOK MIN]], Table9[Vmin (%)],1)))</calculatedColumnFormula>
    </tableColumn>
    <tableColumn id="8" xr3:uid="{0884CA69-5B73-4EF7-B63F-C4C067B4C4B9}" name="Target (Typ)" dataDxfId="88">
      <calculatedColumnFormula>Table13[[#This Row],[Typ]]</calculatedColumnFormula>
    </tableColumn>
    <tableColumn id="9" xr3:uid="{17C0F028-CCEB-46DC-A752-C3B067FB4C05}" name="1st VLOOK TYP" dataDxfId="87">
      <calculatedColumnFormula>INDEX(Table9[Vnom (%)], (MATCH(Table10[[#This Row],[Target (Typ)]], Table9[Vnom (%)],1)))</calculatedColumnFormula>
    </tableColumn>
    <tableColumn id="10" xr3:uid="{B46B4F8A-1767-449A-8511-FCA953EEB9FA}" name="2nd VLOOK TYP" dataDxfId="86">
      <calculatedColumnFormula>INDEX(Table9[Vnom (%)], (MATCH(Table10[[#This Row],[Target (Typ)]], Table9[Vnom (%)],1)+1))</calculatedColumnFormula>
    </tableColumn>
    <tableColumn id="11" xr3:uid="{14555DC6-E0AE-4818-9DBE-C627753BC07B}" name="1st Diff Typ" dataDxfId="85">
      <calculatedColumnFormula>ABS(Table10[[#This Row],[Target (Typ)]]-Table10[[#This Row],[1st VLOOK TYP]])</calculatedColumnFormula>
    </tableColumn>
    <tableColumn id="12" xr3:uid="{97C88CF5-3C61-41C3-BDF2-25A72E86AD97}" name="2nd Diff TYP" dataDxfId="84">
      <calculatedColumnFormula>ABS(Table10[[#This Row],[Target (Typ)]]-Table10[[#This Row],[2nd VLOOK TYP]])</calculatedColumnFormula>
    </tableColumn>
    <tableColumn id="13" xr3:uid="{528A025D-F8BF-4316-9F0B-E1016315016A}" name="Closest VLOOK TYP" dataDxfId="83">
      <calculatedColumnFormula>IF(Table10[[#This Row],[1st Diff Typ]]&lt;Table10[[#This Row],[2nd Diff TYP]],Table10[[#This Row],[1st VLOOK TYP]],Table10[[#This Row],[2nd VLOOK TYP]])</calculatedColumnFormula>
    </tableColumn>
    <tableColumn id="14" xr3:uid="{BA04B3D7-9332-4537-80B5-498BFFAF7487}" name="TYP Temp" dataDxfId="82">
      <calculatedColumnFormula>INDEX(Table9[Temperature], (MATCH(Table10[[#This Row],[Closest VLOOK TYP]], Table9[Vnom (%)],1)))</calculatedColumnFormula>
    </tableColumn>
    <tableColumn id="15" xr3:uid="{DD1D8297-72FE-4348-BA9F-C715C717E2B6}" name="Target (MAX)" dataDxfId="81">
      <calculatedColumnFormula>Table13[[#This Row],[Max]]</calculatedColumnFormula>
    </tableColumn>
    <tableColumn id="16" xr3:uid="{1EF3D065-08D4-4A63-B271-C7D8C7196EAA}" name="1st VLOOK MAX" dataDxfId="80">
      <calculatedColumnFormula>INDEX(Table9[Vmax (%)], (MATCH(Table10[[#This Row],[Target (MAX)]], Table9[Vmax (%)],1)))</calculatedColumnFormula>
    </tableColumn>
    <tableColumn id="17" xr3:uid="{6201E504-04D8-4EAD-A1D1-4C4685B2D557}" name="2nd VLOOK MAX" dataDxfId="79">
      <calculatedColumnFormula>INDEX(Table9[Vmax (%)], (MATCH(Table10[[#This Row],[Target (Typ)]], Table9[Vmax (%)],1)+1))</calculatedColumnFormula>
    </tableColumn>
    <tableColumn id="18" xr3:uid="{EA2206F3-5CCB-47E3-BA67-8C25ECB6D2BB}" name="1st Diff MAX" dataDxfId="78">
      <calculatedColumnFormula>ABS(Table10[[#This Row],[Target (MAX)]]-Table10[[#This Row],[1st VLOOK MAX]])</calculatedColumnFormula>
    </tableColumn>
    <tableColumn id="19" xr3:uid="{B8934D73-CD79-4612-A7C1-5D44A085A741}" name="2nd Diff MAX" dataDxfId="77">
      <calculatedColumnFormula>ABS(Table10[[#This Row],[Target (MAX)]]-Table10[[#This Row],[2nd VLOOK MAX]])</calculatedColumnFormula>
    </tableColumn>
    <tableColumn id="20" xr3:uid="{C14E8397-7D99-4E5F-852C-A4D81AD2A602}" name="Closest VLOOK MAX" dataDxfId="76">
      <calculatedColumnFormula>IF(Table10[[#This Row],[1st Diff MAX]]&lt;Table10[[#This Row],[2nd Diff MAX]],Table10[[#This Row],[1st VLOOK MAX]],Table10[[#This Row],[2nd VLOOK MAX]])</calculatedColumnFormula>
    </tableColumn>
    <tableColumn id="21" xr3:uid="{111B1C36-F773-45D0-A1D8-A067D34B1C49}" name="MAX Temp" dataDxfId="75">
      <calculatedColumnFormula>INDEX(Table9[Temperature], (MATCH(Table10[[#This Row],[Closest VLOOK MAX]], Table9[Vmax (%)],1)))</calculatedColumnFormula>
    </tableColumn>
  </tableColumns>
  <tableStyleInfo name="TableStyleMedium3"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EB493FD-64D3-4D52-B77B-6989ABD4DD3F}" name="Table8" displayName="Table8" ref="BD6:BJ19" totalsRowShown="0" headerRowDxfId="74">
  <autoFilter ref="BD6:BJ19" xr:uid="{A744496A-E8E5-4421-AE88-98B18CBC2F89}">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AB0B826A-4BD3-4ADC-BBC2-098FA61AB5E9}" name="Temp">
      <calculatedColumnFormula>V36</calculatedColumnFormula>
    </tableColumn>
    <tableColumn id="2" xr3:uid="{CE555E9E-4EEA-4CCE-AACE-9F66B8908545}" name="RISE min"/>
    <tableColumn id="3" xr3:uid="{1ABE065E-F3A0-4D9F-98A5-19181393705F}" name="RISE typ" dataDxfId="73"/>
    <tableColumn id="4" xr3:uid="{78B90CE4-CD36-4470-B02C-BBA20DC3065C}" name="RISE max" dataDxfId="72"/>
    <tableColumn id="5" xr3:uid="{39B0A56A-0A1D-4295-AB99-8BBB192B219A}" name="FALL min" dataDxfId="71"/>
    <tableColumn id="6" xr3:uid="{023957E9-E02B-40DF-A7C8-51B7EE0F9078}" name="FALL typ" dataDxfId="70"/>
    <tableColumn id="7" xr3:uid="{26778042-22F2-45B4-8284-35864816333B}" name="FALL max" dataDxfId="69"/>
  </tableColumns>
  <tableStyleInfo name="TableStyleMedium3"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46D986CE-9641-4C71-AFFC-892A46B6D828}" name="Table13" displayName="Table13" ref="AY6:BB14" totalsRowShown="0" headerRowDxfId="68" dataDxfId="67">
  <autoFilter ref="AY6:BB14" xr:uid="{7AD99080-3C90-4205-BD59-EAC312C54806}">
    <filterColumn colId="0" hiddenButton="1"/>
    <filterColumn colId="1" hiddenButton="1"/>
    <filterColumn colId="2" hiddenButton="1"/>
    <filterColumn colId="3" hiddenButton="1"/>
  </autoFilter>
  <tableColumns count="4">
    <tableColumn id="1" xr3:uid="{998DFB02-17F3-497E-9B98-7F12558F0DA8}" name="MAX Temp" dataDxfId="66"/>
    <tableColumn id="2" xr3:uid="{E9F7F0E3-4619-4BE0-B15B-E1147E9FC583}" name="Min" dataDxfId="65">
      <calculatedColumnFormula>BA7-0.5</calculatedColumnFormula>
    </tableColumn>
    <tableColumn id="3" xr3:uid="{8EFA6B7A-AB57-4668-B6E4-246B05E86256}" name="Typ" dataDxfId="64"/>
    <tableColumn id="4" xr3:uid="{5B4B3609-C9A8-4D6B-8E1B-BC9E9E1A042A}" name="Max" dataDxfId="63">
      <calculatedColumnFormula>BA7+0.5</calculatedColumnFormula>
    </tableColumn>
  </tableColumns>
  <tableStyleInfo name="TableStyleMedium3"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9AC949D-82CE-4501-BC90-17B73B26246D}" name="stdres_1pct" displayName="stdres_1pct" ref="H3:H676" totalsRowShown="0" headerRowDxfId="62" dataDxfId="61" tableBorderDxfId="60">
  <autoFilter ref="H3:H676" xr:uid="{21BA5D86-13FD-472E-BAC0-B42FC8BA8850}"/>
  <tableColumns count="1">
    <tableColumn id="1" xr3:uid="{3BEEED4C-0A9D-4DFE-8415-CA5F2EF3BCD2}" name="Resistance" dataDxfId="59">
      <calculatedColumnFormula>F4*10^(G4/96)</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5F275E2-88A8-49FD-BD65-55EF4F64CDE5}" name="stdres_0p1pct" displayName="stdres_0p1pct" ref="L3:L1348" totalsRowShown="0" headerRowDxfId="58" dataDxfId="57" tableBorderDxfId="56">
  <autoFilter ref="L3:L1348" xr:uid="{955B90F8-56A3-45C2-95F0-B8C998A45DF8}"/>
  <tableColumns count="1">
    <tableColumn id="1" xr3:uid="{38ECC499-F3CE-4B84-8861-1CA14172FBC2}" name="Resistance" dataDxfId="55">
      <calculatedColumnFormula>J4*10^(K4/192)</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E4DA183-3872-4BBA-ABF4-9B3A5500AB97}" name="stdres_5pct" displayName="stdres_5pct" ref="D3:D172" totalsRowShown="0" headerRowDxfId="54" dataDxfId="53" tableBorderDxfId="52">
  <autoFilter ref="D3:D172" xr:uid="{7367AFEA-1D2E-4322-BD4B-16A2E3A89253}"/>
  <tableColumns count="1">
    <tableColumn id="1" xr3:uid="{C8AEF682-AC75-42A0-9DDF-09161F96888F}" name="Resistance" dataDxfId="51">
      <calculatedColumnFormula>B4*10^(C4/24)</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CB079DB-ECDC-4380-9006-280D5A66E8E6}" name="stdind" displayName="stdind" ref="N3:N11" totalsRowShown="0" headerRowDxfId="50" dataDxfId="49">
  <autoFilter ref="N3:N11" xr:uid="{4293308D-3D30-4801-8ED4-76D77BF25AC3}"/>
  <tableColumns count="1">
    <tableColumn id="1" xr3:uid="{DCC6AE94-2C37-44AD-B129-4AD9A5CD0CED}" name="L (uH)" dataDxfId="48"/>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openxmlformats.org/officeDocument/2006/relationships/table" Target="../tables/table2.xm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comments" Target="../comments2.xml"/><Relationship Id="rId3" Type="http://schemas.openxmlformats.org/officeDocument/2006/relationships/vmlDrawing" Target="../drawings/vmlDrawing2.vml"/><Relationship Id="rId7" Type="http://schemas.openxmlformats.org/officeDocument/2006/relationships/table" Target="../tables/table6.xml"/><Relationship Id="rId2" Type="http://schemas.openxmlformats.org/officeDocument/2006/relationships/drawing" Target="../drawings/drawing3.xml"/><Relationship Id="rId1" Type="http://schemas.openxmlformats.org/officeDocument/2006/relationships/printerSettings" Target="../printerSettings/printerSettings2.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_rels/sheet3.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drawing" Target="../drawings/drawing5.xml"/><Relationship Id="rId5" Type="http://schemas.openxmlformats.org/officeDocument/2006/relationships/table" Target="../tables/table10.xml"/><Relationship Id="rId4"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5052D-22B5-48F5-916F-F7632E06FAE9}">
  <sheetPr codeName="Sheet1"/>
  <dimension ref="A1:FJ503"/>
  <sheetViews>
    <sheetView tabSelected="1" topLeftCell="A79" zoomScaleNormal="100" workbookViewId="0">
      <selection activeCell="E101" sqref="E101"/>
    </sheetView>
  </sheetViews>
  <sheetFormatPr defaultColWidth="9.140625" defaultRowHeight="15" x14ac:dyDescent="0.25"/>
  <cols>
    <col min="1" max="1" width="7.85546875" style="20" customWidth="1"/>
    <col min="2" max="2" width="7.5703125" style="20" customWidth="1"/>
    <col min="3" max="3" width="20" style="20" customWidth="1"/>
    <col min="4" max="4" width="10.5703125" style="20" customWidth="1"/>
    <col min="5" max="5" width="12.42578125" style="20" bestFit="1" customWidth="1"/>
    <col min="6" max="8" width="9.140625" style="20"/>
    <col min="9" max="9" width="10.140625" style="20" customWidth="1"/>
    <col min="10" max="18" width="9.140625" style="20"/>
    <col min="19" max="19" width="72.7109375" style="20" customWidth="1"/>
    <col min="20" max="23" width="9.140625" style="20"/>
    <col min="24" max="24" width="47.28515625" style="20" bestFit="1" customWidth="1"/>
    <col min="25" max="25" width="15.7109375" style="20" customWidth="1"/>
    <col min="26" max="26" width="14.5703125" style="20" bestFit="1" customWidth="1"/>
    <col min="27" max="27" width="13.5703125" style="20" bestFit="1" customWidth="1"/>
    <col min="28" max="28" width="13.28515625" style="20" bestFit="1" customWidth="1"/>
    <col min="29" max="29" width="7.7109375" style="20" bestFit="1" customWidth="1"/>
    <col min="30" max="31" width="9.140625" style="20"/>
    <col min="32" max="32" width="12" style="20" customWidth="1"/>
    <col min="33" max="33" width="10.28515625" style="20" customWidth="1"/>
    <col min="34" max="34" width="13.7109375" style="20" customWidth="1"/>
    <col min="35" max="35" width="12.5703125" style="20" bestFit="1" customWidth="1"/>
    <col min="36" max="38" width="12.5703125" style="20" customWidth="1"/>
    <col min="39" max="39" width="12.42578125" style="20" customWidth="1"/>
    <col min="40" max="40" width="10.42578125" style="20" bestFit="1" customWidth="1"/>
    <col min="41" max="41" width="9.85546875" style="20" bestFit="1" customWidth="1"/>
    <col min="42" max="42" width="8.42578125" style="20" bestFit="1" customWidth="1"/>
    <col min="43" max="43" width="8.5703125" style="20" bestFit="1" customWidth="1"/>
    <col min="44" max="44" width="9.28515625" style="20" bestFit="1" customWidth="1"/>
    <col min="45" max="45" width="9.42578125" style="20" bestFit="1" customWidth="1"/>
    <col min="46" max="46" width="11.140625" style="20" bestFit="1" customWidth="1"/>
    <col min="47" max="47" width="12.28515625" style="20" bestFit="1" customWidth="1"/>
    <col min="48" max="48" width="14.85546875" style="20" bestFit="1" customWidth="1"/>
    <col min="49" max="49" width="11.28515625" style="20" bestFit="1" customWidth="1"/>
    <col min="50" max="50" width="12.5703125" style="20" bestFit="1" customWidth="1"/>
    <col min="51" max="51" width="17.42578125" style="20" bestFit="1" customWidth="1"/>
    <col min="52" max="52" width="14.42578125" style="20" bestFit="1" customWidth="1"/>
    <col min="53" max="53" width="14" style="20" bestFit="1" customWidth="1"/>
    <col min="54" max="54" width="11.7109375" style="20" bestFit="1" customWidth="1"/>
    <col min="55" max="55" width="16.85546875" style="20" bestFit="1" customWidth="1"/>
    <col min="56" max="56" width="15.85546875" style="20" bestFit="1" customWidth="1"/>
    <col min="57" max="57" width="14" style="20" bestFit="1" customWidth="1"/>
    <col min="58" max="58" width="13.28515625" style="20" bestFit="1" customWidth="1"/>
    <col min="59" max="59" width="9.140625" style="20"/>
    <col min="60" max="60" width="13.28515625" style="20" bestFit="1" customWidth="1"/>
    <col min="61" max="61" width="12.28515625" style="20" bestFit="1" customWidth="1"/>
    <col min="62" max="62" width="10.28515625" style="20" bestFit="1" customWidth="1"/>
    <col min="63" max="63" width="10.5703125" style="20" bestFit="1" customWidth="1"/>
    <col min="64" max="64" width="11.140625" style="20" bestFit="1" customWidth="1"/>
    <col min="65" max="65" width="11.42578125" style="20" bestFit="1" customWidth="1"/>
    <col min="66" max="66" width="12.85546875" style="20" bestFit="1" customWidth="1"/>
    <col min="67" max="67" width="14.28515625" style="20" bestFit="1" customWidth="1"/>
    <col min="68" max="68" width="16.7109375" style="20" bestFit="1" customWidth="1"/>
    <col min="69" max="69" width="12.85546875" style="20" bestFit="1" customWidth="1"/>
    <col min="70" max="70" width="14.28515625" style="20" bestFit="1" customWidth="1"/>
    <col min="71" max="71" width="19" style="20" bestFit="1" customWidth="1"/>
    <col min="72" max="72" width="16.140625" style="20" bestFit="1" customWidth="1"/>
    <col min="73" max="73" width="15.7109375" style="20" bestFit="1" customWidth="1"/>
    <col min="74" max="74" width="13.28515625" style="20" bestFit="1" customWidth="1"/>
    <col min="75" max="75" width="16.140625" style="20" bestFit="1" customWidth="1"/>
    <col min="76" max="76" width="15.140625" style="20" bestFit="1" customWidth="1"/>
    <col min="77" max="77" width="13.42578125" style="20" bestFit="1" customWidth="1"/>
    <col min="78" max="78" width="14.85546875" style="20" bestFit="1" customWidth="1"/>
    <col min="79" max="79" width="9.140625" style="20"/>
    <col min="80" max="80" width="12" style="20" bestFit="1" customWidth="1"/>
    <col min="81" max="81" width="10.85546875" style="20" bestFit="1" customWidth="1"/>
    <col min="82" max="82" width="18.42578125" style="20" bestFit="1" customWidth="1"/>
    <col min="83" max="83" width="9.140625" style="20"/>
    <col min="84" max="84" width="15.42578125" style="20" bestFit="1" customWidth="1"/>
    <col min="85" max="85" width="17.5703125" style="20" bestFit="1" customWidth="1"/>
    <col min="86" max="86" width="19.85546875" style="20" bestFit="1" customWidth="1"/>
    <col min="87" max="87" width="9.5703125" style="20" bestFit="1" customWidth="1"/>
    <col min="88" max="88" width="11.140625" style="20" bestFit="1" customWidth="1"/>
    <col min="89" max="89" width="19.28515625" style="20" bestFit="1" customWidth="1"/>
    <col min="90" max="90" width="21.42578125" style="20" bestFit="1" customWidth="1"/>
    <col min="91" max="91" width="23.85546875" style="20" bestFit="1" customWidth="1"/>
    <col min="92" max="92" width="13.42578125" style="20" bestFit="1" customWidth="1"/>
    <col min="93" max="93" width="12.140625" style="20" bestFit="1" customWidth="1"/>
    <col min="94" max="94" width="18.140625" style="20" bestFit="1" customWidth="1"/>
    <col min="95" max="95" width="20.140625" style="20" bestFit="1" customWidth="1"/>
    <col min="96" max="96" width="12.140625" style="20" bestFit="1" customWidth="1"/>
    <col min="97" max="97" width="9.140625" style="20"/>
    <col min="98" max="98" width="19.140625" style="20" bestFit="1" customWidth="1"/>
    <col min="99" max="99" width="21.140625" style="20" bestFit="1" customWidth="1"/>
    <col min="100" max="100" width="15.5703125" style="20" bestFit="1" customWidth="1"/>
    <col min="101" max="101" width="9.140625" style="20"/>
    <col min="102" max="102" width="21.42578125" style="20" bestFit="1" customWidth="1"/>
    <col min="103" max="103" width="23.42578125" style="20" bestFit="1" customWidth="1"/>
    <col min="104" max="104" width="20.42578125" style="20" bestFit="1" customWidth="1"/>
    <col min="105" max="105" width="9.140625" style="20"/>
    <col min="106" max="106" width="27.28515625" style="20" bestFit="1" customWidth="1"/>
    <col min="107" max="107" width="29.42578125" style="20" bestFit="1" customWidth="1"/>
    <col min="108" max="108" width="21.42578125" style="20" bestFit="1" customWidth="1"/>
    <col min="109" max="16384" width="9.140625" style="20"/>
  </cols>
  <sheetData>
    <row r="1" spans="1:165" ht="48.75" customHeight="1" thickBot="1" x14ac:dyDescent="0.3">
      <c r="A1" s="14"/>
      <c r="B1" s="15"/>
      <c r="C1" s="15"/>
      <c r="D1" s="15"/>
      <c r="E1" s="15"/>
      <c r="F1" s="15"/>
      <c r="G1" s="16" t="s">
        <v>0</v>
      </c>
      <c r="H1" s="15"/>
      <c r="I1" s="15"/>
      <c r="J1" s="15"/>
      <c r="K1" s="15"/>
      <c r="L1" s="15"/>
      <c r="M1" s="15"/>
      <c r="N1" s="15"/>
      <c r="O1" s="15"/>
      <c r="P1" s="15"/>
      <c r="Q1" s="15"/>
      <c r="R1" s="15"/>
      <c r="S1" s="17"/>
      <c r="T1" s="18"/>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c r="EP1" s="19"/>
      <c r="EQ1" s="19"/>
      <c r="ER1" s="19"/>
      <c r="ES1" s="19"/>
      <c r="ET1" s="19"/>
      <c r="EU1" s="19"/>
      <c r="EV1" s="19"/>
      <c r="EW1" s="19"/>
      <c r="EX1" s="19"/>
      <c r="EY1" s="19"/>
      <c r="EZ1" s="19"/>
      <c r="FA1" s="19"/>
      <c r="FB1" s="19"/>
      <c r="FC1" s="19"/>
      <c r="FD1" s="19"/>
      <c r="FE1" s="19"/>
      <c r="FF1" s="19"/>
      <c r="FG1" s="19"/>
      <c r="FH1" s="19"/>
      <c r="FI1" s="19"/>
    </row>
    <row r="2" spans="1:165" x14ac:dyDescent="0.25">
      <c r="A2" s="18"/>
      <c r="B2" s="18"/>
      <c r="C2" s="18"/>
      <c r="D2" s="18"/>
      <c r="E2" s="18"/>
      <c r="F2" s="18"/>
      <c r="G2" s="18"/>
      <c r="H2" s="210" t="s">
        <v>1</v>
      </c>
      <c r="I2" s="18"/>
      <c r="J2" s="18"/>
      <c r="K2" s="18"/>
      <c r="L2" s="18"/>
      <c r="M2" s="18"/>
      <c r="N2" s="18"/>
      <c r="O2" s="18"/>
      <c r="P2" s="18"/>
      <c r="Q2" s="18"/>
      <c r="R2" s="18"/>
      <c r="S2" s="18"/>
      <c r="T2" s="18"/>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row>
    <row r="3" spans="1:165" x14ac:dyDescent="0.25">
      <c r="A3" s="18"/>
      <c r="B3" s="18"/>
      <c r="C3" s="18"/>
      <c r="D3" s="18"/>
      <c r="E3" s="61"/>
      <c r="F3" s="21" t="s">
        <v>2</v>
      </c>
      <c r="G3" s="18"/>
      <c r="H3" s="211" t="s">
        <v>3</v>
      </c>
      <c r="I3" s="18"/>
      <c r="J3" s="18"/>
      <c r="K3" s="18"/>
      <c r="L3" s="18"/>
      <c r="M3" s="18"/>
      <c r="N3" s="18"/>
      <c r="O3" s="18"/>
      <c r="P3" s="18"/>
      <c r="Q3" s="18"/>
      <c r="R3" s="18"/>
      <c r="S3" s="18"/>
      <c r="T3" s="18"/>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EH3" s="19"/>
      <c r="EI3" s="19"/>
      <c r="EJ3" s="19"/>
      <c r="EK3" s="19"/>
      <c r="EL3" s="19"/>
      <c r="EM3" s="19"/>
      <c r="EN3" s="19"/>
      <c r="EO3" s="19"/>
      <c r="EP3" s="19"/>
      <c r="EQ3" s="19"/>
      <c r="ER3" s="19"/>
      <c r="ES3" s="19"/>
      <c r="ET3" s="19"/>
      <c r="EU3" s="19"/>
      <c r="EV3" s="19"/>
      <c r="EW3" s="19"/>
      <c r="EX3" s="19"/>
      <c r="EY3" s="19"/>
      <c r="EZ3" s="19"/>
      <c r="FA3" s="19"/>
      <c r="FB3" s="19"/>
      <c r="FC3" s="19"/>
      <c r="FD3" s="19"/>
      <c r="FE3" s="19"/>
      <c r="FF3" s="19"/>
      <c r="FG3" s="19"/>
      <c r="FH3" s="19"/>
      <c r="FI3" s="19"/>
    </row>
    <row r="4" spans="1:165" ht="15.75" thickBot="1" x14ac:dyDescent="0.3">
      <c r="A4" s="18"/>
      <c r="B4" s="18"/>
      <c r="C4" s="18"/>
      <c r="D4" s="18"/>
      <c r="E4" s="18"/>
      <c r="F4" s="18"/>
      <c r="G4" s="18"/>
      <c r="H4" s="18"/>
      <c r="I4" s="18"/>
      <c r="J4" s="18"/>
      <c r="K4" s="18"/>
      <c r="L4" s="18"/>
      <c r="M4" s="18"/>
      <c r="N4" s="18"/>
      <c r="O4" s="18"/>
      <c r="P4" s="18"/>
      <c r="Q4" s="18"/>
      <c r="R4" s="18"/>
      <c r="S4" s="18"/>
      <c r="T4" s="18"/>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c r="ES4" s="19"/>
      <c r="ET4" s="19"/>
      <c r="EU4" s="19"/>
      <c r="EV4" s="19"/>
      <c r="EW4" s="19"/>
      <c r="EX4" s="19"/>
      <c r="EY4" s="19"/>
      <c r="EZ4" s="19"/>
      <c r="FA4" s="19"/>
      <c r="FB4" s="19"/>
      <c r="FC4" s="19"/>
      <c r="FD4" s="19"/>
      <c r="FE4" s="19"/>
      <c r="FF4" s="19"/>
      <c r="FG4" s="19"/>
      <c r="FH4" s="19"/>
      <c r="FI4" s="19"/>
    </row>
    <row r="5" spans="1:165" ht="15.75" thickBot="1" x14ac:dyDescent="0.3">
      <c r="A5" s="22" t="s">
        <v>4</v>
      </c>
      <c r="B5" s="23"/>
      <c r="C5" s="23"/>
      <c r="D5" s="23"/>
      <c r="E5" s="24"/>
      <c r="F5" s="23"/>
      <c r="G5" s="23"/>
      <c r="H5" s="86" t="s">
        <v>5</v>
      </c>
      <c r="I5" s="23"/>
      <c r="J5" s="25"/>
      <c r="K5" s="25"/>
      <c r="L5" s="25"/>
      <c r="M5" s="25"/>
      <c r="N5" s="25"/>
      <c r="O5" s="25"/>
      <c r="P5" s="25"/>
      <c r="Q5" s="25"/>
      <c r="R5" s="25"/>
      <c r="S5" s="26"/>
      <c r="T5" s="18"/>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c r="ES5" s="19"/>
      <c r="ET5" s="19"/>
      <c r="EU5" s="19"/>
      <c r="EV5" s="19"/>
      <c r="EW5" s="19"/>
      <c r="EX5" s="19"/>
      <c r="EY5" s="19"/>
      <c r="EZ5" s="19"/>
      <c r="FA5" s="19"/>
      <c r="FB5" s="19"/>
      <c r="FC5" s="19"/>
      <c r="FD5" s="19"/>
      <c r="FE5" s="19"/>
      <c r="FF5" s="19"/>
      <c r="FG5" s="19"/>
      <c r="FH5" s="19"/>
      <c r="FI5" s="19"/>
    </row>
    <row r="6" spans="1:165" x14ac:dyDescent="0.25">
      <c r="A6" s="27"/>
      <c r="B6" s="23"/>
      <c r="C6" s="24"/>
      <c r="D6" s="28" t="s">
        <v>6</v>
      </c>
      <c r="E6" s="6">
        <v>28.8</v>
      </c>
      <c r="F6" s="4" t="s">
        <v>7</v>
      </c>
      <c r="G6" s="156" t="str">
        <f>_xlfn.CONCAT(E6, " ",F6)</f>
        <v>28.8 V</v>
      </c>
      <c r="H6" s="84">
        <v>4.2</v>
      </c>
      <c r="I6" s="84">
        <v>70</v>
      </c>
      <c r="J6" s="29"/>
      <c r="K6" s="29"/>
      <c r="L6" s="29"/>
      <c r="M6" s="29"/>
      <c r="N6" s="29"/>
      <c r="O6" s="29"/>
      <c r="P6" s="29"/>
      <c r="Q6" s="29"/>
      <c r="R6" s="29"/>
      <c r="S6" s="30"/>
      <c r="T6" s="18"/>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c r="ES6" s="19"/>
      <c r="ET6" s="19"/>
      <c r="EU6" s="19"/>
      <c r="EV6" s="19"/>
      <c r="EW6" s="19"/>
      <c r="EX6" s="19"/>
      <c r="EY6" s="19"/>
      <c r="EZ6" s="19"/>
      <c r="FA6" s="19"/>
      <c r="FB6" s="19"/>
      <c r="FC6" s="19"/>
      <c r="FD6" s="19"/>
      <c r="FE6" s="19"/>
      <c r="FF6" s="19"/>
      <c r="FG6" s="19"/>
      <c r="FH6" s="19"/>
      <c r="FI6" s="19"/>
    </row>
    <row r="7" spans="1:165" x14ac:dyDescent="0.25">
      <c r="A7" s="31"/>
      <c r="B7" s="13"/>
      <c r="C7" s="13"/>
      <c r="D7" s="32" t="s">
        <v>8</v>
      </c>
      <c r="E7" s="7">
        <v>36.799999999999997</v>
      </c>
      <c r="F7" s="5" t="s">
        <v>7</v>
      </c>
      <c r="G7" s="156" t="str">
        <f>_xlfn.CONCAT(E7, " ",F7)</f>
        <v>36.8 V</v>
      </c>
      <c r="H7" s="84">
        <v>4.2</v>
      </c>
      <c r="I7" s="84">
        <v>70</v>
      </c>
      <c r="J7" s="85">
        <f>$E$6</f>
        <v>28.8</v>
      </c>
      <c r="K7" s="85">
        <f>$E$8</f>
        <v>43.2</v>
      </c>
      <c r="L7" s="29"/>
      <c r="M7" s="29"/>
      <c r="N7" s="29"/>
      <c r="O7" s="29"/>
      <c r="P7" s="29"/>
      <c r="Q7" s="29"/>
      <c r="R7" s="29"/>
      <c r="S7" s="30"/>
      <c r="T7" s="18"/>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c r="ES7" s="19"/>
      <c r="ET7" s="19"/>
      <c r="EU7" s="19"/>
      <c r="EV7" s="19"/>
      <c r="EW7" s="19"/>
      <c r="EX7" s="19"/>
      <c r="EY7" s="19"/>
      <c r="EZ7" s="19"/>
      <c r="FA7" s="19"/>
      <c r="FB7" s="19"/>
      <c r="FC7" s="19"/>
      <c r="FD7" s="19"/>
      <c r="FE7" s="19"/>
      <c r="FF7" s="19"/>
      <c r="FG7" s="19"/>
      <c r="FH7" s="19"/>
      <c r="FI7" s="19"/>
    </row>
    <row r="8" spans="1:165" x14ac:dyDescent="0.25">
      <c r="A8" s="31"/>
      <c r="B8" s="13"/>
      <c r="C8" s="13"/>
      <c r="D8" s="32" t="s">
        <v>9</v>
      </c>
      <c r="E8" s="7">
        <v>43.2</v>
      </c>
      <c r="F8" s="8" t="s">
        <v>7</v>
      </c>
      <c r="G8" s="156" t="str">
        <f>_xlfn.CONCAT(E8, " ",F8)</f>
        <v>43.2 V</v>
      </c>
      <c r="H8" s="84">
        <v>4.2</v>
      </c>
      <c r="I8" s="84">
        <v>70</v>
      </c>
      <c r="J8" s="29"/>
      <c r="K8" s="29"/>
      <c r="L8" s="29"/>
      <c r="M8" s="29"/>
      <c r="N8" s="29"/>
      <c r="O8" s="29"/>
      <c r="P8" s="29"/>
      <c r="Q8" s="29"/>
      <c r="R8" s="29"/>
      <c r="S8" s="30"/>
      <c r="T8" s="18"/>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c r="ES8" s="19"/>
      <c r="ET8" s="19"/>
      <c r="EU8" s="19"/>
      <c r="EV8" s="19"/>
      <c r="EW8" s="19"/>
      <c r="EX8" s="19"/>
      <c r="EY8" s="19"/>
      <c r="EZ8" s="19"/>
      <c r="FA8" s="19"/>
      <c r="FB8" s="19"/>
      <c r="FC8" s="19"/>
      <c r="FD8" s="19"/>
      <c r="FE8" s="19"/>
      <c r="FF8" s="19"/>
      <c r="FG8" s="19"/>
      <c r="FH8" s="19"/>
      <c r="FI8" s="19"/>
    </row>
    <row r="9" spans="1:165" x14ac:dyDescent="0.25">
      <c r="A9" s="31"/>
      <c r="B9" s="13"/>
      <c r="C9" s="13"/>
      <c r="D9" s="32" t="s">
        <v>10</v>
      </c>
      <c r="E9" s="7">
        <v>36</v>
      </c>
      <c r="F9" s="8" t="s">
        <v>7</v>
      </c>
      <c r="G9" s="156" t="str">
        <f>_xlfn.CONCAT(E9, " ",F9)</f>
        <v>36 V</v>
      </c>
      <c r="H9" s="84">
        <v>3.3</v>
      </c>
      <c r="I9" s="84">
        <v>70</v>
      </c>
      <c r="J9" s="29"/>
      <c r="K9" s="29"/>
      <c r="L9" s="29"/>
      <c r="M9" s="29"/>
      <c r="N9" s="29"/>
      <c r="O9" s="29"/>
      <c r="P9" s="29"/>
      <c r="Q9" s="29"/>
      <c r="R9" s="29"/>
      <c r="S9" s="30"/>
      <c r="T9" s="18"/>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c r="EP9" s="19"/>
      <c r="EQ9" s="19"/>
      <c r="ER9" s="19"/>
      <c r="ES9" s="19"/>
      <c r="ET9" s="19"/>
      <c r="EU9" s="19"/>
      <c r="EV9" s="19"/>
      <c r="EW9" s="19"/>
      <c r="EX9" s="19"/>
      <c r="EY9" s="19"/>
      <c r="EZ9" s="19"/>
      <c r="FA9" s="19"/>
      <c r="FB9" s="19"/>
      <c r="FC9" s="19"/>
      <c r="FD9" s="19"/>
      <c r="FE9" s="19"/>
      <c r="FF9" s="19"/>
      <c r="FG9" s="19"/>
      <c r="FH9" s="19"/>
      <c r="FI9" s="19"/>
    </row>
    <row r="10" spans="1:165" ht="15.75" thickBot="1" x14ac:dyDescent="0.3">
      <c r="A10" s="33"/>
      <c r="B10" s="34"/>
      <c r="C10" s="34"/>
      <c r="D10" s="35" t="s">
        <v>11</v>
      </c>
      <c r="E10" s="88">
        <v>36</v>
      </c>
      <c r="F10" s="89" t="s">
        <v>12</v>
      </c>
      <c r="G10" s="156" t="str">
        <f>_xlfn.CONCAT(E10, " ",F10)</f>
        <v>36 A</v>
      </c>
      <c r="H10" s="13"/>
      <c r="I10" s="13"/>
      <c r="J10" s="29"/>
      <c r="K10" s="29"/>
      <c r="L10" s="29"/>
      <c r="M10" s="29"/>
      <c r="N10" s="29"/>
      <c r="O10" s="29"/>
      <c r="P10" s="29"/>
      <c r="Q10" s="29"/>
      <c r="R10" s="29"/>
      <c r="S10" s="30"/>
      <c r="T10" s="18"/>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c r="EP10" s="19"/>
      <c r="EQ10" s="19"/>
      <c r="ER10" s="19"/>
      <c r="ES10" s="19"/>
      <c r="ET10" s="19"/>
      <c r="EU10" s="19"/>
      <c r="EV10" s="19"/>
      <c r="EW10" s="19"/>
      <c r="EX10" s="19"/>
      <c r="EY10" s="19"/>
      <c r="EZ10" s="19"/>
      <c r="FA10" s="19"/>
      <c r="FB10" s="19"/>
      <c r="FC10" s="19"/>
      <c r="FD10" s="19"/>
      <c r="FE10" s="19"/>
      <c r="FF10" s="19"/>
      <c r="FG10" s="19"/>
      <c r="FH10" s="19"/>
      <c r="FI10" s="19"/>
    </row>
    <row r="11" spans="1:165" x14ac:dyDescent="0.25">
      <c r="A11" s="31"/>
      <c r="B11" s="13"/>
      <c r="C11" s="13"/>
      <c r="D11" s="13"/>
      <c r="E11" s="13"/>
      <c r="F11" s="127"/>
      <c r="G11" s="156"/>
      <c r="H11" s="13" t="s">
        <v>13</v>
      </c>
      <c r="I11" s="13"/>
      <c r="J11" s="29"/>
      <c r="K11" s="29"/>
      <c r="L11" s="29"/>
      <c r="M11" s="29"/>
      <c r="N11" s="29"/>
      <c r="O11" s="29"/>
      <c r="P11" s="29"/>
      <c r="Q11" s="29"/>
      <c r="R11" s="29"/>
      <c r="S11" s="30"/>
      <c r="T11" s="18"/>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c r="ES11" s="19"/>
      <c r="ET11" s="19"/>
      <c r="EU11" s="19"/>
      <c r="EV11" s="19"/>
      <c r="EW11" s="19"/>
      <c r="EX11" s="19"/>
      <c r="EY11" s="19"/>
      <c r="EZ11" s="19"/>
      <c r="FA11" s="19"/>
      <c r="FB11" s="19"/>
      <c r="FC11" s="19"/>
      <c r="FD11" s="19"/>
      <c r="FE11" s="19"/>
      <c r="FF11" s="19"/>
      <c r="FG11" s="19"/>
      <c r="FH11" s="19"/>
      <c r="FI11" s="19"/>
    </row>
    <row r="12" spans="1:165" ht="15.75" thickBot="1" x14ac:dyDescent="0.3">
      <c r="A12" s="36" t="s">
        <v>14</v>
      </c>
      <c r="B12" s="13"/>
      <c r="C12" s="13"/>
      <c r="D12" s="13"/>
      <c r="E12" s="13"/>
      <c r="F12" s="127"/>
      <c r="G12" s="156"/>
      <c r="H12" s="13"/>
      <c r="I12" s="13"/>
      <c r="J12" s="29"/>
      <c r="K12" s="29"/>
      <c r="L12" s="29"/>
      <c r="M12" s="29"/>
      <c r="N12" s="29"/>
      <c r="O12" s="29"/>
      <c r="P12" s="29"/>
      <c r="Q12" s="29"/>
      <c r="R12" s="29"/>
      <c r="S12" s="30"/>
      <c r="T12" s="18"/>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c r="EP12" s="19"/>
      <c r="EQ12" s="19"/>
      <c r="ER12" s="19"/>
      <c r="ES12" s="19"/>
      <c r="ET12" s="19"/>
      <c r="EU12" s="19"/>
      <c r="EV12" s="19"/>
      <c r="EW12" s="19"/>
      <c r="EX12" s="19"/>
      <c r="EY12" s="19"/>
      <c r="EZ12" s="19"/>
      <c r="FA12" s="19"/>
      <c r="FB12" s="19"/>
      <c r="FC12" s="19"/>
      <c r="FD12" s="19"/>
      <c r="FE12" s="19"/>
      <c r="FF12" s="19"/>
      <c r="FG12" s="19"/>
      <c r="FH12" s="19"/>
      <c r="FI12" s="19"/>
    </row>
    <row r="13" spans="1:165" x14ac:dyDescent="0.25">
      <c r="A13" s="27"/>
      <c r="B13" s="23"/>
      <c r="C13" s="23"/>
      <c r="D13" s="28" t="s">
        <v>15</v>
      </c>
      <c r="E13" s="92">
        <v>200</v>
      </c>
      <c r="F13" s="4" t="s">
        <v>16</v>
      </c>
      <c r="G13" s="156" t="str">
        <f>_xlfn.CONCAT(E13, " ",F13)</f>
        <v>200 kHz</v>
      </c>
      <c r="H13" s="84">
        <v>200</v>
      </c>
      <c r="I13" s="84">
        <v>600</v>
      </c>
      <c r="J13" s="29"/>
      <c r="K13" s="29"/>
      <c r="L13" s="29"/>
      <c r="M13" s="29"/>
      <c r="N13" s="29"/>
      <c r="O13" s="29"/>
      <c r="P13" s="29"/>
      <c r="Q13" s="29"/>
      <c r="R13" s="29"/>
      <c r="S13" s="30"/>
      <c r="T13" s="18"/>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c r="CW13" s="19"/>
      <c r="CX13" s="19"/>
      <c r="CY13" s="19"/>
      <c r="CZ13" s="19"/>
      <c r="DA13" s="19"/>
      <c r="DB13" s="19"/>
      <c r="DC13" s="19"/>
      <c r="DD13" s="19"/>
      <c r="DE13" s="19"/>
      <c r="DF13" s="19"/>
      <c r="DG13" s="19"/>
      <c r="DH13" s="19"/>
      <c r="DI13" s="19"/>
      <c r="DJ13" s="19"/>
      <c r="DK13" s="19"/>
      <c r="DL13" s="19"/>
      <c r="DM13" s="19"/>
      <c r="DN13" s="19"/>
      <c r="DO13" s="19"/>
      <c r="DP13" s="19"/>
      <c r="DQ13" s="19"/>
      <c r="DR13" s="19"/>
      <c r="DS13" s="19"/>
      <c r="DT13" s="19"/>
      <c r="DU13" s="19"/>
      <c r="DV13" s="19"/>
      <c r="DW13" s="19"/>
      <c r="DX13" s="19"/>
      <c r="DY13" s="19"/>
      <c r="DZ13" s="19"/>
      <c r="EA13" s="19"/>
      <c r="EB13" s="19"/>
      <c r="EC13" s="19"/>
      <c r="ED13" s="19"/>
      <c r="EE13" s="19"/>
      <c r="EF13" s="19"/>
      <c r="EG13" s="19"/>
      <c r="EH13" s="19"/>
      <c r="EI13" s="19"/>
      <c r="EJ13" s="19"/>
      <c r="EK13" s="19"/>
      <c r="EL13" s="19"/>
      <c r="EM13" s="19"/>
      <c r="EN13" s="19"/>
      <c r="EO13" s="19"/>
      <c r="EP13" s="19"/>
      <c r="EQ13" s="19"/>
      <c r="ER13" s="19"/>
      <c r="ES13" s="19"/>
      <c r="ET13" s="19"/>
      <c r="EU13" s="19"/>
      <c r="EV13" s="19"/>
      <c r="EW13" s="19"/>
      <c r="EX13" s="19"/>
      <c r="EY13" s="19"/>
      <c r="EZ13" s="19"/>
      <c r="FA13" s="19"/>
      <c r="FB13" s="19"/>
      <c r="FC13" s="19"/>
      <c r="FD13" s="19"/>
      <c r="FE13" s="19"/>
      <c r="FF13" s="19"/>
      <c r="FG13" s="19"/>
      <c r="FH13" s="19"/>
      <c r="FI13" s="19"/>
    </row>
    <row r="14" spans="1:165" ht="15.75" x14ac:dyDescent="0.3">
      <c r="A14" s="36"/>
      <c r="B14" s="13"/>
      <c r="C14" s="13"/>
      <c r="D14" s="39" t="s">
        <v>17</v>
      </c>
      <c r="E14" s="41">
        <f>MAX(MIN(1/(10*($E$13*10^3*5*10^-12-500*10^-9))/10^3,$I$15),$H$15)</f>
        <v>200</v>
      </c>
      <c r="F14" s="93" t="s">
        <v>18</v>
      </c>
      <c r="G14" s="156" t="str">
        <f>_xlfn.CONCAT(E14, " ",F14)</f>
        <v>200 kΩ</v>
      </c>
      <c r="H14" s="13"/>
      <c r="I14" s="13"/>
      <c r="J14" s="29"/>
      <c r="K14" s="29"/>
      <c r="L14" s="29"/>
      <c r="M14" s="29"/>
      <c r="N14" s="29"/>
      <c r="O14" s="29"/>
      <c r="P14" s="29"/>
      <c r="Q14" s="29"/>
      <c r="R14" s="29"/>
      <c r="S14" s="30"/>
      <c r="T14" s="18"/>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c r="BM14" s="19"/>
      <c r="BN14" s="19"/>
      <c r="BO14" s="19"/>
      <c r="BP14" s="19"/>
      <c r="BQ14" s="19"/>
      <c r="BR14" s="19"/>
      <c r="BS14" s="19"/>
      <c r="BT14" s="19"/>
      <c r="BU14" s="19"/>
      <c r="BV14" s="19"/>
      <c r="BW14" s="19"/>
      <c r="BX14" s="19"/>
      <c r="BY14" s="19"/>
      <c r="BZ14" s="19"/>
      <c r="CA14" s="19"/>
      <c r="CB14" s="19"/>
      <c r="CC14" s="19"/>
      <c r="CD14" s="19"/>
      <c r="CE14" s="19"/>
      <c r="CF14" s="19"/>
      <c r="CG14" s="19"/>
      <c r="CH14" s="19"/>
      <c r="CI14" s="19"/>
      <c r="CJ14" s="19"/>
      <c r="CK14" s="19"/>
      <c r="CL14" s="19"/>
      <c r="CM14" s="19"/>
      <c r="CN14" s="19"/>
      <c r="CO14" s="19"/>
      <c r="CP14" s="19"/>
      <c r="CQ14" s="19"/>
      <c r="CR14" s="19"/>
      <c r="CS14" s="19"/>
      <c r="CT14" s="19"/>
      <c r="CU14" s="19"/>
      <c r="CV14" s="19"/>
      <c r="CW14" s="19"/>
      <c r="CX14" s="19"/>
      <c r="CY14" s="19"/>
      <c r="CZ14" s="19"/>
      <c r="DA14" s="19"/>
      <c r="DB14" s="19"/>
      <c r="DC14" s="19"/>
      <c r="DD14" s="19"/>
      <c r="DE14" s="19"/>
      <c r="DF14" s="19"/>
      <c r="DG14" s="19"/>
      <c r="DH14" s="19"/>
      <c r="DI14" s="19"/>
      <c r="DJ14" s="19"/>
      <c r="DK14" s="19"/>
      <c r="DL14" s="19"/>
      <c r="DM14" s="19"/>
      <c r="DN14" s="19"/>
      <c r="DO14" s="19"/>
      <c r="DP14" s="19"/>
      <c r="DQ14" s="19"/>
      <c r="DR14" s="19"/>
      <c r="DS14" s="19"/>
      <c r="DT14" s="19"/>
      <c r="DU14" s="19"/>
      <c r="DV14" s="19"/>
      <c r="DW14" s="19"/>
      <c r="DX14" s="19"/>
      <c r="DY14" s="19"/>
      <c r="DZ14" s="19"/>
      <c r="EA14" s="19"/>
      <c r="EB14" s="19"/>
      <c r="EC14" s="19"/>
      <c r="ED14" s="19"/>
      <c r="EE14" s="19"/>
      <c r="EF14" s="19"/>
      <c r="EG14" s="19"/>
      <c r="EH14" s="19"/>
      <c r="EI14" s="19"/>
      <c r="EJ14" s="19"/>
      <c r="EK14" s="19"/>
      <c r="EL14" s="19"/>
      <c r="EM14" s="19"/>
      <c r="EN14" s="19"/>
      <c r="EO14" s="19"/>
      <c r="EP14" s="19"/>
      <c r="EQ14" s="19"/>
      <c r="ER14" s="19"/>
      <c r="ES14" s="19"/>
      <c r="ET14" s="19"/>
      <c r="EU14" s="19"/>
      <c r="EV14" s="19"/>
      <c r="EW14" s="19"/>
      <c r="EX14" s="19"/>
      <c r="EY14" s="19"/>
      <c r="EZ14" s="19"/>
      <c r="FA14" s="19"/>
      <c r="FB14" s="19"/>
      <c r="FC14" s="19"/>
      <c r="FD14" s="19"/>
      <c r="FE14" s="19"/>
      <c r="FF14" s="19"/>
      <c r="FG14" s="19"/>
      <c r="FH14" s="19"/>
      <c r="FI14" s="19"/>
    </row>
    <row r="15" spans="1:165" x14ac:dyDescent="0.25">
      <c r="A15" s="36"/>
      <c r="B15" s="13"/>
      <c r="C15" s="13"/>
      <c r="D15" s="32" t="s">
        <v>19</v>
      </c>
      <c r="E15" s="87">
        <v>200</v>
      </c>
      <c r="F15" s="8" t="s">
        <v>18</v>
      </c>
      <c r="G15" s="157" t="str">
        <f>_xlfn.CONCAT(E15, " ",F15)</f>
        <v>200 kΩ</v>
      </c>
      <c r="H15" s="84">
        <v>40</v>
      </c>
      <c r="I15" s="84">
        <v>200</v>
      </c>
      <c r="J15" s="29"/>
      <c r="K15" s="29"/>
      <c r="L15" s="29"/>
      <c r="M15" s="29"/>
      <c r="N15" s="29"/>
      <c r="O15" s="29"/>
      <c r="P15" s="29"/>
      <c r="Q15" s="29"/>
      <c r="R15" s="29"/>
      <c r="S15" s="30"/>
      <c r="T15" s="18"/>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19"/>
      <c r="CM15" s="19"/>
      <c r="CN15" s="19"/>
      <c r="CO15" s="19"/>
      <c r="CP15" s="19"/>
      <c r="CQ15" s="19"/>
      <c r="CR15" s="19"/>
      <c r="CS15" s="19"/>
      <c r="CT15" s="19"/>
      <c r="CU15" s="19"/>
      <c r="CV15" s="19"/>
      <c r="CW15" s="19"/>
      <c r="CX15" s="19"/>
      <c r="CY15" s="19"/>
      <c r="CZ15" s="19"/>
      <c r="DA15" s="19"/>
      <c r="DB15" s="19"/>
      <c r="DC15" s="19"/>
      <c r="DD15" s="19"/>
      <c r="DE15" s="19"/>
      <c r="DF15" s="19"/>
      <c r="DG15" s="19"/>
      <c r="DH15" s="19"/>
      <c r="DI15" s="19"/>
      <c r="DJ15" s="19"/>
      <c r="DK15" s="19"/>
      <c r="DL15" s="19"/>
      <c r="DM15" s="19"/>
      <c r="DN15" s="19"/>
      <c r="DO15" s="19"/>
      <c r="DP15" s="19"/>
      <c r="DQ15" s="19"/>
      <c r="DR15" s="19"/>
      <c r="DS15" s="19"/>
      <c r="DT15" s="19"/>
      <c r="DU15" s="19"/>
      <c r="DV15" s="19"/>
      <c r="DW15" s="19"/>
      <c r="DX15" s="19"/>
      <c r="DY15" s="19"/>
      <c r="DZ15" s="19"/>
      <c r="EA15" s="19"/>
      <c r="EB15" s="19"/>
      <c r="EC15" s="19"/>
      <c r="ED15" s="19"/>
      <c r="EE15" s="19"/>
      <c r="EF15" s="19"/>
      <c r="EG15" s="19"/>
      <c r="EH15" s="19"/>
      <c r="EI15" s="19"/>
      <c r="EJ15" s="19"/>
      <c r="EK15" s="19"/>
      <c r="EL15" s="19"/>
      <c r="EM15" s="19"/>
      <c r="EN15" s="19"/>
      <c r="EO15" s="19"/>
      <c r="EP15" s="19"/>
      <c r="EQ15" s="19"/>
      <c r="ER15" s="19"/>
      <c r="ES15" s="19"/>
      <c r="ET15" s="19"/>
      <c r="EU15" s="19"/>
      <c r="EV15" s="19"/>
      <c r="EW15" s="19"/>
      <c r="EX15" s="19"/>
      <c r="EY15" s="19"/>
      <c r="EZ15" s="19"/>
      <c r="FA15" s="19"/>
      <c r="FB15" s="19"/>
      <c r="FC15" s="19"/>
      <c r="FD15" s="19"/>
      <c r="FE15" s="19"/>
      <c r="FF15" s="19"/>
      <c r="FG15" s="19"/>
      <c r="FH15" s="19"/>
      <c r="FI15" s="19"/>
    </row>
    <row r="16" spans="1:165" ht="15.75" x14ac:dyDescent="0.3">
      <c r="A16" s="31"/>
      <c r="B16" s="13"/>
      <c r="C16" s="13"/>
      <c r="D16" s="39" t="s">
        <v>20</v>
      </c>
      <c r="E16" s="41">
        <f>(1/(10*$E$15*10^3)+500*10^-9)/(5*10^-12)/10^3</f>
        <v>200.00000000000006</v>
      </c>
      <c r="F16" s="93" t="s">
        <v>16</v>
      </c>
      <c r="G16" s="156"/>
      <c r="H16" s="91">
        <f>$E$13*0.95</f>
        <v>190</v>
      </c>
      <c r="I16" s="84">
        <f>Desired_Fsw*1.05</f>
        <v>210</v>
      </c>
      <c r="J16" s="29"/>
      <c r="K16" s="29"/>
      <c r="L16" s="29"/>
      <c r="M16" s="29"/>
      <c r="N16" s="29"/>
      <c r="O16" s="29"/>
      <c r="P16" s="29"/>
      <c r="Q16" s="29"/>
      <c r="R16" s="29"/>
      <c r="S16" s="30"/>
      <c r="T16" s="18"/>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c r="BP16" s="19"/>
      <c r="BQ16" s="19"/>
      <c r="BR16" s="19"/>
      <c r="BS16" s="19"/>
      <c r="BT16" s="19"/>
      <c r="BU16" s="19"/>
      <c r="BV16" s="19"/>
      <c r="BW16" s="19"/>
      <c r="BX16" s="19"/>
      <c r="BY16" s="19"/>
      <c r="BZ16" s="19"/>
      <c r="CA16" s="19"/>
      <c r="CB16" s="19"/>
      <c r="CC16" s="19"/>
      <c r="CD16" s="19"/>
      <c r="CE16" s="19"/>
      <c r="CF16" s="19"/>
      <c r="CG16" s="19"/>
      <c r="CH16" s="19"/>
      <c r="CI16" s="19"/>
      <c r="CJ16" s="19"/>
      <c r="CK16" s="19"/>
      <c r="CL16" s="19"/>
      <c r="CM16" s="19"/>
      <c r="CN16" s="19"/>
      <c r="CO16" s="19"/>
      <c r="CP16" s="19"/>
      <c r="CQ16" s="19"/>
      <c r="CR16" s="19"/>
      <c r="CS16" s="19"/>
      <c r="CT16" s="19"/>
      <c r="CU16" s="19"/>
      <c r="CV16" s="19"/>
      <c r="CW16" s="19"/>
      <c r="CX16" s="19"/>
      <c r="CY16" s="19"/>
      <c r="CZ16" s="19"/>
      <c r="DA16" s="19"/>
      <c r="DB16" s="19"/>
      <c r="DC16" s="19"/>
      <c r="DD16" s="19"/>
      <c r="DE16" s="19"/>
      <c r="DF16" s="19"/>
      <c r="DG16" s="19"/>
      <c r="DH16" s="19"/>
      <c r="DI16" s="19"/>
      <c r="DJ16" s="19"/>
      <c r="DK16" s="19"/>
      <c r="DL16" s="19"/>
      <c r="DM16" s="19"/>
      <c r="DN16" s="19"/>
      <c r="DO16" s="19"/>
      <c r="DP16" s="19"/>
      <c r="DQ16" s="19"/>
      <c r="DR16" s="19"/>
      <c r="DS16" s="19"/>
      <c r="DT16" s="19"/>
      <c r="DU16" s="19"/>
      <c r="DV16" s="19"/>
      <c r="DW16" s="19"/>
      <c r="DX16" s="19"/>
      <c r="DY16" s="19"/>
      <c r="DZ16" s="19"/>
      <c r="EA16" s="19"/>
      <c r="EB16" s="19"/>
      <c r="EC16" s="19"/>
      <c r="ED16" s="19"/>
      <c r="EE16" s="19"/>
      <c r="EF16" s="19"/>
      <c r="EG16" s="19"/>
      <c r="EH16" s="19"/>
      <c r="EI16" s="19"/>
      <c r="EJ16" s="19"/>
      <c r="EK16" s="19"/>
      <c r="EL16" s="19"/>
      <c r="EM16" s="19"/>
      <c r="EN16" s="19"/>
      <c r="EO16" s="19"/>
      <c r="EP16" s="19"/>
      <c r="EQ16" s="19"/>
      <c r="ER16" s="19"/>
      <c r="ES16" s="19"/>
      <c r="ET16" s="19"/>
      <c r="EU16" s="19"/>
      <c r="EV16" s="19"/>
      <c r="EW16" s="19"/>
      <c r="EX16" s="19"/>
      <c r="EY16" s="19"/>
      <c r="EZ16" s="19"/>
      <c r="FA16" s="19"/>
      <c r="FB16" s="19"/>
      <c r="FC16" s="19"/>
      <c r="FD16" s="19"/>
      <c r="FE16" s="19"/>
      <c r="FF16" s="19"/>
      <c r="FG16" s="19"/>
      <c r="FH16" s="19"/>
      <c r="FI16" s="19"/>
    </row>
    <row r="17" spans="1:165" x14ac:dyDescent="0.25">
      <c r="A17" s="31"/>
      <c r="B17" s="13"/>
      <c r="C17" s="13"/>
      <c r="D17" s="39" t="s">
        <v>21</v>
      </c>
      <c r="E17" s="41">
        <f>(1-225*10^-9*Fsw*10^3)*100</f>
        <v>95.5</v>
      </c>
      <c r="F17" s="93" t="s">
        <v>22</v>
      </c>
      <c r="G17" s="156"/>
      <c r="H17" s="91"/>
      <c r="I17" s="13"/>
      <c r="J17" s="29"/>
      <c r="K17" s="29"/>
      <c r="L17" s="29"/>
      <c r="M17" s="29"/>
      <c r="N17" s="29"/>
      <c r="O17" s="29"/>
      <c r="P17" s="29"/>
      <c r="Q17" s="29"/>
      <c r="R17" s="29"/>
      <c r="S17" s="30"/>
      <c r="T17" s="18"/>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c r="BM17" s="19"/>
      <c r="BN17" s="19"/>
      <c r="BO17" s="19"/>
      <c r="BP17" s="19"/>
      <c r="BQ17" s="19"/>
      <c r="BR17" s="19"/>
      <c r="BS17" s="19"/>
      <c r="BT17" s="19"/>
      <c r="BU17" s="19"/>
      <c r="BV17" s="19"/>
      <c r="BW17" s="19"/>
      <c r="BX17" s="19"/>
      <c r="BY17" s="19"/>
      <c r="BZ17" s="19"/>
      <c r="CA17" s="19"/>
      <c r="CB17" s="19"/>
      <c r="CC17" s="19"/>
      <c r="CD17" s="19"/>
      <c r="CE17" s="19"/>
      <c r="CF17" s="19"/>
      <c r="CG17" s="19"/>
      <c r="CH17" s="19"/>
      <c r="CI17" s="19"/>
      <c r="CJ17" s="19"/>
      <c r="CK17" s="19"/>
      <c r="CL17" s="19"/>
      <c r="CM17" s="19"/>
      <c r="CN17" s="19"/>
      <c r="CO17" s="19"/>
      <c r="CP17" s="19"/>
      <c r="CQ17" s="19"/>
      <c r="CR17" s="19"/>
      <c r="CS17" s="19"/>
      <c r="CT17" s="19"/>
      <c r="CU17" s="19"/>
      <c r="CV17" s="19"/>
      <c r="CW17" s="19"/>
      <c r="CX17" s="19"/>
      <c r="CY17" s="19"/>
      <c r="CZ17" s="19"/>
      <c r="DA17" s="19"/>
      <c r="DB17" s="19"/>
      <c r="DC17" s="19"/>
      <c r="DD17" s="19"/>
      <c r="DE17" s="19"/>
      <c r="DF17" s="19"/>
      <c r="DG17" s="19"/>
      <c r="DH17" s="19"/>
      <c r="DI17" s="19"/>
      <c r="DJ17" s="19"/>
      <c r="DK17" s="19"/>
      <c r="DL17" s="19"/>
      <c r="DM17" s="19"/>
      <c r="DN17" s="19"/>
      <c r="DO17" s="19"/>
      <c r="DP17" s="19"/>
      <c r="DQ17" s="19"/>
      <c r="DR17" s="19"/>
      <c r="DS17" s="19"/>
      <c r="DT17" s="19"/>
      <c r="DU17" s="19"/>
      <c r="DV17" s="19"/>
      <c r="DW17" s="19"/>
      <c r="DX17" s="19"/>
      <c r="DY17" s="19"/>
      <c r="DZ17" s="19"/>
      <c r="EA17" s="19"/>
      <c r="EB17" s="19"/>
      <c r="EC17" s="19"/>
      <c r="ED17" s="19"/>
      <c r="EE17" s="19"/>
      <c r="EF17" s="19"/>
      <c r="EG17" s="19"/>
      <c r="EH17" s="19"/>
      <c r="EI17" s="19"/>
      <c r="EJ17" s="19"/>
      <c r="EK17" s="19"/>
      <c r="EL17" s="19"/>
      <c r="EM17" s="19"/>
      <c r="EN17" s="19"/>
      <c r="EO17" s="19"/>
      <c r="EP17" s="19"/>
      <c r="EQ17" s="19"/>
      <c r="ER17" s="19"/>
      <c r="ES17" s="19"/>
      <c r="ET17" s="19"/>
      <c r="EU17" s="19"/>
      <c r="EV17" s="19"/>
      <c r="EW17" s="19"/>
      <c r="EX17" s="19"/>
      <c r="EY17" s="19"/>
      <c r="EZ17" s="19"/>
      <c r="FA17" s="19"/>
      <c r="FB17" s="19"/>
      <c r="FC17" s="19"/>
      <c r="FD17" s="19"/>
      <c r="FE17" s="19"/>
      <c r="FF17" s="19"/>
      <c r="FG17" s="19"/>
      <c r="FH17" s="19"/>
      <c r="FI17" s="19"/>
    </row>
    <row r="18" spans="1:165" ht="15.75" x14ac:dyDescent="0.3">
      <c r="A18" s="31"/>
      <c r="B18" s="13"/>
      <c r="C18" s="13"/>
      <c r="D18" s="39" t="s">
        <v>23</v>
      </c>
      <c r="E18" s="107">
        <f>IF(VACmin&lt;Vbat, MIN(VACmin/(1-$E$17/100),H18), "N/A")</f>
        <v>70</v>
      </c>
      <c r="F18" s="93" t="s">
        <v>7</v>
      </c>
      <c r="G18" s="156"/>
      <c r="H18" s="90">
        <v>70</v>
      </c>
      <c r="I18" s="84">
        <f>Vbat</f>
        <v>36</v>
      </c>
      <c r="J18" s="29"/>
      <c r="K18" s="29"/>
      <c r="L18" s="29"/>
      <c r="M18" s="29"/>
      <c r="N18" s="29"/>
      <c r="O18" s="29"/>
      <c r="P18" s="29"/>
      <c r="Q18" s="29"/>
      <c r="R18" s="29"/>
      <c r="S18" s="30"/>
      <c r="T18" s="18"/>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c r="CM18" s="19"/>
      <c r="CN18" s="19"/>
      <c r="CO18" s="19"/>
      <c r="CP18" s="19"/>
      <c r="CQ18" s="19"/>
      <c r="CR18" s="19"/>
      <c r="CS18" s="19"/>
      <c r="CT18" s="19"/>
      <c r="CU18" s="19"/>
      <c r="CV18" s="19"/>
      <c r="CW18" s="19"/>
      <c r="CX18" s="19"/>
      <c r="CY18" s="19"/>
      <c r="CZ18" s="19"/>
      <c r="DA18" s="19"/>
      <c r="DB18" s="19"/>
      <c r="DC18" s="19"/>
      <c r="DD18" s="19"/>
      <c r="DE18" s="19"/>
      <c r="DF18" s="19"/>
      <c r="DG18" s="19"/>
      <c r="DH18" s="19"/>
      <c r="DI18" s="19"/>
      <c r="DJ18" s="19"/>
      <c r="DK18" s="19"/>
      <c r="DL18" s="19"/>
      <c r="DM18" s="19"/>
      <c r="DN18" s="19"/>
      <c r="DO18" s="19"/>
      <c r="DP18" s="19"/>
      <c r="DQ18" s="19"/>
      <c r="DR18" s="19"/>
      <c r="DS18" s="19"/>
      <c r="DT18" s="19"/>
      <c r="DU18" s="19"/>
      <c r="DV18" s="19"/>
      <c r="DW18" s="19"/>
      <c r="DX18" s="19"/>
      <c r="DY18" s="19"/>
      <c r="DZ18" s="19"/>
      <c r="EA18" s="19"/>
      <c r="EB18" s="19"/>
      <c r="EC18" s="19"/>
      <c r="ED18" s="19"/>
      <c r="EE18" s="19"/>
      <c r="EF18" s="19"/>
      <c r="EG18" s="19"/>
      <c r="EH18" s="19"/>
      <c r="EI18" s="19"/>
      <c r="EJ18" s="19"/>
      <c r="EK18" s="19"/>
      <c r="EL18" s="19"/>
      <c r="EM18" s="19"/>
      <c r="EN18" s="19"/>
      <c r="EO18" s="19"/>
      <c r="EP18" s="19"/>
      <c r="EQ18" s="19"/>
      <c r="ER18" s="19"/>
      <c r="ES18" s="19"/>
      <c r="ET18" s="19"/>
      <c r="EU18" s="19"/>
      <c r="EV18" s="19"/>
      <c r="EW18" s="19"/>
      <c r="EX18" s="19"/>
      <c r="EY18" s="19"/>
      <c r="EZ18" s="19"/>
      <c r="FA18" s="19"/>
      <c r="FB18" s="19"/>
      <c r="FC18" s="19"/>
      <c r="FD18" s="19"/>
      <c r="FE18" s="19"/>
      <c r="FF18" s="19"/>
      <c r="FG18" s="19"/>
      <c r="FH18" s="19"/>
      <c r="FI18" s="19"/>
    </row>
    <row r="19" spans="1:165" ht="15.75" x14ac:dyDescent="0.3">
      <c r="A19" s="31"/>
      <c r="B19" s="13"/>
      <c r="C19" s="13"/>
      <c r="D19" s="39" t="s">
        <v>24</v>
      </c>
      <c r="E19" s="107" t="str">
        <f>IF(VACnom&lt;Vbat, MIN(VACnom/(1-$E$17/100),H19), "N/A")</f>
        <v>N/A</v>
      </c>
      <c r="F19" s="93" t="s">
        <v>7</v>
      </c>
      <c r="G19" s="156"/>
      <c r="H19" s="90">
        <v>70</v>
      </c>
      <c r="I19" s="84">
        <f>Vbat</f>
        <v>36</v>
      </c>
      <c r="J19" s="29"/>
      <c r="K19" s="29"/>
      <c r="L19" s="29"/>
      <c r="M19" s="29"/>
      <c r="N19" s="29"/>
      <c r="O19" s="29"/>
      <c r="P19" s="29"/>
      <c r="Q19" s="29"/>
      <c r="R19" s="29"/>
      <c r="S19" s="30"/>
      <c r="T19" s="18"/>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c r="BM19" s="19"/>
      <c r="BN19" s="19"/>
      <c r="BO19" s="19"/>
      <c r="BP19" s="19"/>
      <c r="BQ19" s="19"/>
      <c r="BR19" s="19"/>
      <c r="BS19" s="19"/>
      <c r="BT19" s="19"/>
      <c r="BU19" s="19"/>
      <c r="BV19" s="19"/>
      <c r="BW19" s="19"/>
      <c r="BX19" s="19"/>
      <c r="BY19" s="19"/>
      <c r="BZ19" s="19"/>
      <c r="CA19" s="19"/>
      <c r="CB19" s="19"/>
      <c r="CC19" s="19"/>
      <c r="CD19" s="19"/>
      <c r="CE19" s="19"/>
      <c r="CF19" s="19"/>
      <c r="CG19" s="19"/>
      <c r="CH19" s="19"/>
      <c r="CI19" s="19"/>
      <c r="CJ19" s="19"/>
      <c r="CK19" s="19"/>
      <c r="CL19" s="19"/>
      <c r="CM19" s="19"/>
      <c r="CN19" s="19"/>
      <c r="CO19" s="19"/>
      <c r="CP19" s="19"/>
      <c r="CQ19" s="19"/>
      <c r="CR19" s="19"/>
      <c r="CS19" s="19"/>
      <c r="CT19" s="19"/>
      <c r="CU19" s="19"/>
      <c r="CV19" s="19"/>
      <c r="CW19" s="19"/>
      <c r="CX19" s="19"/>
      <c r="CY19" s="19"/>
      <c r="CZ19" s="19"/>
      <c r="DA19" s="19"/>
      <c r="DB19" s="19"/>
      <c r="DC19" s="19"/>
      <c r="DD19" s="19"/>
      <c r="DE19" s="19"/>
      <c r="DF19" s="19"/>
      <c r="DG19" s="19"/>
      <c r="DH19" s="19"/>
      <c r="DI19" s="19"/>
      <c r="DJ19" s="19"/>
      <c r="DK19" s="19"/>
      <c r="DL19" s="19"/>
      <c r="DM19" s="19"/>
      <c r="DN19" s="19"/>
      <c r="DO19" s="19"/>
      <c r="DP19" s="19"/>
      <c r="DQ19" s="19"/>
      <c r="DR19" s="19"/>
      <c r="DS19" s="19"/>
      <c r="DT19" s="19"/>
      <c r="DU19" s="19"/>
      <c r="DV19" s="19"/>
      <c r="DW19" s="19"/>
      <c r="DX19" s="19"/>
      <c r="DY19" s="19"/>
      <c r="DZ19" s="19"/>
      <c r="EA19" s="19"/>
      <c r="EB19" s="19"/>
      <c r="EC19" s="19"/>
      <c r="ED19" s="19"/>
      <c r="EE19" s="19"/>
      <c r="EF19" s="19"/>
      <c r="EG19" s="19"/>
      <c r="EH19" s="19"/>
      <c r="EI19" s="19"/>
      <c r="EJ19" s="19"/>
      <c r="EK19" s="19"/>
      <c r="EL19" s="19"/>
      <c r="EM19" s="19"/>
      <c r="EN19" s="19"/>
      <c r="EO19" s="19"/>
      <c r="EP19" s="19"/>
      <c r="EQ19" s="19"/>
      <c r="ER19" s="19"/>
      <c r="ES19" s="19"/>
      <c r="ET19" s="19"/>
      <c r="EU19" s="19"/>
      <c r="EV19" s="19"/>
      <c r="EW19" s="19"/>
      <c r="EX19" s="19"/>
      <c r="EY19" s="19"/>
      <c r="EZ19" s="19"/>
      <c r="FA19" s="19"/>
      <c r="FB19" s="19"/>
      <c r="FC19" s="19"/>
      <c r="FD19" s="19"/>
      <c r="FE19" s="19"/>
      <c r="FF19" s="19"/>
      <c r="FG19" s="19"/>
      <c r="FH19" s="19"/>
      <c r="FI19" s="19"/>
    </row>
    <row r="20" spans="1:165" ht="16.5" thickBot="1" x14ac:dyDescent="0.35">
      <c r="A20" s="33"/>
      <c r="B20" s="34"/>
      <c r="C20" s="34"/>
      <c r="D20" s="43" t="s">
        <v>25</v>
      </c>
      <c r="E20" s="108" t="str">
        <f>IF(VACmax&lt;Vbat, MIN(VACmax/(1-$E$17/100),H20), "N/A")</f>
        <v>N/A</v>
      </c>
      <c r="F20" s="109" t="s">
        <v>7</v>
      </c>
      <c r="G20" s="156"/>
      <c r="H20" s="90">
        <v>70</v>
      </c>
      <c r="I20" s="84">
        <f>Vbat</f>
        <v>36</v>
      </c>
      <c r="J20" s="29"/>
      <c r="K20" s="29"/>
      <c r="L20" s="29"/>
      <c r="M20" s="29"/>
      <c r="N20" s="29"/>
      <c r="O20" s="29"/>
      <c r="P20" s="29"/>
      <c r="Q20" s="29"/>
      <c r="R20" s="29"/>
      <c r="S20" s="30"/>
      <c r="T20" s="18"/>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c r="BU20" s="19"/>
      <c r="BV20" s="19"/>
      <c r="BW20" s="19"/>
      <c r="BX20" s="19"/>
      <c r="BY20" s="19"/>
      <c r="BZ20" s="19"/>
      <c r="CA20" s="19"/>
      <c r="CB20" s="19"/>
      <c r="CC20" s="19"/>
      <c r="CD20" s="19"/>
      <c r="CE20" s="19"/>
      <c r="CF20" s="19"/>
      <c r="CG20" s="19"/>
      <c r="CH20" s="19"/>
      <c r="CI20" s="19"/>
      <c r="CJ20" s="19"/>
      <c r="CK20" s="19"/>
      <c r="CL20" s="19"/>
      <c r="CM20" s="19"/>
      <c r="CN20" s="19"/>
      <c r="CO20" s="19"/>
      <c r="CP20" s="19"/>
      <c r="CQ20" s="19"/>
      <c r="CR20" s="19"/>
      <c r="CS20" s="19"/>
      <c r="CT20" s="19"/>
      <c r="CU20" s="19"/>
      <c r="CV20" s="19"/>
      <c r="CW20" s="19"/>
      <c r="CX20" s="19"/>
      <c r="CY20" s="19"/>
      <c r="CZ20" s="19"/>
      <c r="DA20" s="19"/>
      <c r="DB20" s="19"/>
      <c r="DC20" s="19"/>
      <c r="DD20" s="19"/>
      <c r="DE20" s="19"/>
      <c r="DF20" s="19"/>
      <c r="DG20" s="19"/>
      <c r="DH20" s="19"/>
      <c r="DI20" s="19"/>
      <c r="DJ20" s="19"/>
      <c r="DK20" s="19"/>
      <c r="DL20" s="19"/>
      <c r="DM20" s="19"/>
      <c r="DN20" s="19"/>
      <c r="DO20" s="19"/>
      <c r="DP20" s="19"/>
      <c r="DQ20" s="19"/>
      <c r="DR20" s="19"/>
      <c r="DS20" s="19"/>
      <c r="DT20" s="19"/>
      <c r="DU20" s="19"/>
      <c r="DV20" s="19"/>
      <c r="DW20" s="19"/>
      <c r="DX20" s="19"/>
      <c r="DY20" s="19"/>
      <c r="DZ20" s="19"/>
      <c r="EA20" s="19"/>
      <c r="EB20" s="19"/>
      <c r="EC20" s="19"/>
      <c r="ED20" s="19"/>
      <c r="EE20" s="19"/>
      <c r="EF20" s="19"/>
      <c r="EG20" s="19"/>
      <c r="EH20" s="19"/>
      <c r="EI20" s="19"/>
      <c r="EJ20" s="19"/>
      <c r="EK20" s="19"/>
      <c r="EL20" s="19"/>
      <c r="EM20" s="19"/>
      <c r="EN20" s="19"/>
      <c r="EO20" s="19"/>
      <c r="EP20" s="19"/>
      <c r="EQ20" s="19"/>
      <c r="ER20" s="19"/>
      <c r="ES20" s="19"/>
      <c r="ET20" s="19"/>
      <c r="EU20" s="19"/>
      <c r="EV20" s="19"/>
      <c r="EW20" s="19"/>
      <c r="EX20" s="19"/>
      <c r="EY20" s="19"/>
      <c r="EZ20" s="19"/>
      <c r="FA20" s="19"/>
      <c r="FB20" s="19"/>
      <c r="FC20" s="19"/>
      <c r="FD20" s="19"/>
      <c r="FE20" s="19"/>
      <c r="FF20" s="19"/>
      <c r="FG20" s="19"/>
      <c r="FH20" s="19"/>
      <c r="FI20" s="19"/>
    </row>
    <row r="21" spans="1:165" x14ac:dyDescent="0.25">
      <c r="A21" s="31"/>
      <c r="B21" s="13"/>
      <c r="C21" s="13"/>
      <c r="D21" s="39"/>
      <c r="E21" s="13"/>
      <c r="F21" s="127"/>
      <c r="G21" s="156"/>
      <c r="H21" s="13"/>
      <c r="I21" s="13"/>
      <c r="J21" s="29"/>
      <c r="K21" s="29"/>
      <c r="L21" s="29"/>
      <c r="M21" s="29"/>
      <c r="N21" s="29"/>
      <c r="O21" s="29"/>
      <c r="P21" s="29"/>
      <c r="Q21" s="29"/>
      <c r="R21" s="29"/>
      <c r="S21" s="30"/>
      <c r="T21" s="18"/>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c r="BU21" s="19"/>
      <c r="BV21" s="19"/>
      <c r="BW21" s="19"/>
      <c r="BX21" s="19"/>
      <c r="BY21" s="19"/>
      <c r="BZ21" s="19"/>
      <c r="CA21" s="19"/>
      <c r="CB21" s="19"/>
      <c r="CC21" s="19"/>
      <c r="CD21" s="19"/>
      <c r="CE21" s="19"/>
      <c r="CF21" s="19"/>
      <c r="CG21" s="19"/>
      <c r="CH21" s="19"/>
      <c r="CI21" s="19"/>
      <c r="CJ21" s="19"/>
      <c r="CK21" s="19"/>
      <c r="CL21" s="19"/>
      <c r="CM21" s="19"/>
      <c r="CN21" s="19"/>
      <c r="CO21" s="19"/>
      <c r="CP21" s="19"/>
      <c r="CQ21" s="19"/>
      <c r="CR21" s="19"/>
      <c r="CS21" s="19"/>
      <c r="CT21" s="19"/>
      <c r="CU21" s="19"/>
      <c r="CV21" s="19"/>
      <c r="CW21" s="19"/>
      <c r="CX21" s="19"/>
      <c r="CY21" s="19"/>
      <c r="CZ21" s="19"/>
      <c r="DA21" s="19"/>
      <c r="DB21" s="19"/>
      <c r="DC21" s="19"/>
      <c r="DD21" s="19"/>
      <c r="DE21" s="19"/>
      <c r="DF21" s="19"/>
      <c r="DG21" s="19"/>
      <c r="DH21" s="19"/>
      <c r="DI21" s="19"/>
      <c r="DJ21" s="19"/>
      <c r="DK21" s="19"/>
      <c r="DL21" s="19"/>
      <c r="DM21" s="19"/>
      <c r="DN21" s="19"/>
      <c r="DO21" s="19"/>
      <c r="DP21" s="19"/>
      <c r="DQ21" s="19"/>
      <c r="DR21" s="19"/>
      <c r="DS21" s="19"/>
      <c r="DT21" s="19"/>
      <c r="DU21" s="19"/>
      <c r="DV21" s="19"/>
      <c r="DW21" s="19"/>
      <c r="DX21" s="19"/>
      <c r="DY21" s="19"/>
      <c r="DZ21" s="19"/>
      <c r="EA21" s="19"/>
      <c r="EB21" s="19"/>
      <c r="EC21" s="19"/>
      <c r="ED21" s="19"/>
      <c r="EE21" s="19"/>
      <c r="EF21" s="19"/>
      <c r="EG21" s="19"/>
      <c r="EH21" s="19"/>
      <c r="EI21" s="19"/>
      <c r="EJ21" s="19"/>
      <c r="EK21" s="19"/>
      <c r="EL21" s="19"/>
      <c r="EM21" s="19"/>
      <c r="EN21" s="19"/>
      <c r="EO21" s="19"/>
      <c r="EP21" s="19"/>
      <c r="EQ21" s="19"/>
      <c r="ER21" s="19"/>
      <c r="ES21" s="19"/>
      <c r="ET21" s="19"/>
      <c r="EU21" s="19"/>
      <c r="EV21" s="19"/>
      <c r="EW21" s="19"/>
      <c r="EX21" s="19"/>
      <c r="EY21" s="19"/>
      <c r="EZ21" s="19"/>
      <c r="FA21" s="19"/>
      <c r="FB21" s="19"/>
      <c r="FC21" s="19"/>
      <c r="FD21" s="19"/>
      <c r="FE21" s="19"/>
      <c r="FF21" s="19"/>
      <c r="FG21" s="19"/>
      <c r="FH21" s="19"/>
      <c r="FI21" s="19"/>
    </row>
    <row r="22" spans="1:165" ht="15.75" thickBot="1" x14ac:dyDescent="0.3">
      <c r="A22" s="36" t="s">
        <v>26</v>
      </c>
      <c r="B22" s="13"/>
      <c r="C22" s="13"/>
      <c r="D22" s="13"/>
      <c r="E22" s="13"/>
      <c r="F22" s="127"/>
      <c r="G22" s="156"/>
      <c r="H22" s="13"/>
      <c r="I22" s="13"/>
      <c r="J22" s="29"/>
      <c r="K22" s="29"/>
      <c r="L22" s="29"/>
      <c r="M22" s="29"/>
      <c r="N22" s="29"/>
      <c r="O22" s="29"/>
      <c r="P22" s="29"/>
      <c r="Q22" s="29"/>
      <c r="R22" s="29"/>
      <c r="S22" s="30"/>
      <c r="T22" s="18"/>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c r="BM22" s="19"/>
      <c r="BN22" s="19"/>
      <c r="BO22" s="19"/>
      <c r="BP22" s="19"/>
      <c r="BQ22" s="19"/>
      <c r="BR22" s="19"/>
      <c r="BS22" s="19"/>
      <c r="BT22" s="19"/>
      <c r="BU22" s="19"/>
      <c r="BV22" s="19"/>
      <c r="BW22" s="19"/>
      <c r="BX22" s="19"/>
      <c r="BY22" s="19"/>
      <c r="BZ22" s="19"/>
      <c r="CA22" s="19"/>
      <c r="CB22" s="19"/>
      <c r="CC22" s="19"/>
      <c r="CD22" s="19"/>
      <c r="CE22" s="19"/>
      <c r="CF22" s="19"/>
      <c r="CG22" s="19"/>
      <c r="CH22" s="19"/>
      <c r="CI22" s="19"/>
      <c r="CJ22" s="19"/>
      <c r="CK22" s="19"/>
      <c r="CL22" s="19"/>
      <c r="CM22" s="19"/>
      <c r="CN22" s="19"/>
      <c r="CO22" s="19"/>
      <c r="CP22" s="19"/>
      <c r="CQ22" s="19"/>
      <c r="CR22" s="19"/>
      <c r="CS22" s="19"/>
      <c r="CT22" s="19"/>
      <c r="CU22" s="19"/>
      <c r="CV22" s="19"/>
      <c r="CW22" s="19"/>
      <c r="CX22" s="19"/>
      <c r="CY22" s="19"/>
      <c r="CZ22" s="19"/>
      <c r="DA22" s="19"/>
      <c r="DB22" s="19"/>
      <c r="DC22" s="19"/>
      <c r="DD22" s="19"/>
      <c r="DE22" s="19"/>
      <c r="DF22" s="19"/>
      <c r="DG22" s="19"/>
      <c r="DH22" s="19"/>
      <c r="DI22" s="19"/>
      <c r="DJ22" s="19"/>
      <c r="DK22" s="19"/>
      <c r="DL22" s="19"/>
      <c r="DM22" s="19"/>
      <c r="DN22" s="19"/>
      <c r="DO22" s="19"/>
      <c r="DP22" s="19"/>
      <c r="DQ22" s="19"/>
      <c r="DR22" s="19"/>
      <c r="DS22" s="19"/>
      <c r="DT22" s="19"/>
      <c r="DU22" s="19"/>
      <c r="DV22" s="19"/>
      <c r="DW22" s="19"/>
      <c r="DX22" s="19"/>
      <c r="DY22" s="19"/>
      <c r="DZ22" s="19"/>
      <c r="EA22" s="19"/>
      <c r="EB22" s="19"/>
      <c r="EC22" s="19"/>
      <c r="ED22" s="19"/>
      <c r="EE22" s="19"/>
      <c r="EF22" s="19"/>
      <c r="EG22" s="19"/>
      <c r="EH22" s="19"/>
      <c r="EI22" s="19"/>
      <c r="EJ22" s="19"/>
      <c r="EK22" s="19"/>
      <c r="EL22" s="19"/>
      <c r="EM22" s="19"/>
      <c r="EN22" s="19"/>
      <c r="EO22" s="19"/>
      <c r="EP22" s="19"/>
      <c r="EQ22" s="19"/>
      <c r="ER22" s="19"/>
      <c r="ES22" s="19"/>
      <c r="ET22" s="19"/>
      <c r="EU22" s="19"/>
      <c r="EV22" s="19"/>
      <c r="EW22" s="19"/>
      <c r="EX22" s="19"/>
      <c r="EY22" s="19"/>
      <c r="EZ22" s="19"/>
      <c r="FA22" s="19"/>
      <c r="FB22" s="19"/>
      <c r="FC22" s="19"/>
      <c r="FD22" s="19"/>
      <c r="FE22" s="19"/>
      <c r="FF22" s="19"/>
      <c r="FG22" s="19"/>
      <c r="FH22" s="19"/>
      <c r="FI22" s="19"/>
    </row>
    <row r="23" spans="1:165" ht="15.75" x14ac:dyDescent="0.3">
      <c r="A23" s="22"/>
      <c r="B23" s="23"/>
      <c r="C23" s="23"/>
      <c r="D23" s="37" t="s">
        <v>27</v>
      </c>
      <c r="E23" s="95">
        <f>Vbat*Ioutmax/(0.9*VACmin)</f>
        <v>50</v>
      </c>
      <c r="F23" s="72" t="s">
        <v>12</v>
      </c>
      <c r="G23" s="156"/>
      <c r="H23" s="13"/>
      <c r="I23" s="13"/>
      <c r="J23" s="29"/>
      <c r="K23" s="29"/>
      <c r="L23" s="29"/>
      <c r="M23" s="29"/>
      <c r="N23" s="29"/>
      <c r="O23" s="29"/>
      <c r="P23" s="29"/>
      <c r="Q23" s="29"/>
      <c r="R23" s="29"/>
      <c r="S23" s="30"/>
      <c r="T23" s="18"/>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19"/>
      <c r="BE23" s="19"/>
      <c r="BF23" s="19"/>
      <c r="BG23" s="19"/>
      <c r="BH23" s="19"/>
      <c r="BI23" s="19"/>
      <c r="BJ23" s="19"/>
      <c r="BK23" s="19"/>
      <c r="BL23" s="19"/>
      <c r="BM23" s="19"/>
      <c r="BN23" s="19"/>
      <c r="BO23" s="19"/>
      <c r="BP23" s="19"/>
      <c r="BQ23" s="19"/>
      <c r="BR23" s="19"/>
      <c r="BS23" s="19"/>
      <c r="BT23" s="19"/>
      <c r="BU23" s="19"/>
      <c r="BV23" s="19"/>
      <c r="BW23" s="19"/>
      <c r="BX23" s="19"/>
      <c r="BY23" s="19"/>
      <c r="BZ23" s="19"/>
      <c r="CA23" s="19"/>
      <c r="CB23" s="19"/>
      <c r="CC23" s="19"/>
      <c r="CD23" s="19"/>
      <c r="CE23" s="19"/>
      <c r="CF23" s="19"/>
      <c r="CG23" s="19"/>
      <c r="CH23" s="19"/>
      <c r="CI23" s="19"/>
      <c r="CJ23" s="19"/>
      <c r="CK23" s="19"/>
      <c r="CL23" s="19"/>
      <c r="CM23" s="19"/>
      <c r="CN23" s="19"/>
      <c r="CO23" s="19"/>
      <c r="CP23" s="19"/>
      <c r="CQ23" s="19"/>
      <c r="CR23" s="19"/>
      <c r="CS23" s="19"/>
      <c r="CT23" s="19"/>
      <c r="CU23" s="19"/>
      <c r="CV23" s="19"/>
      <c r="CW23" s="19"/>
      <c r="CX23" s="19"/>
      <c r="CY23" s="19"/>
      <c r="CZ23" s="19"/>
      <c r="DA23" s="19"/>
      <c r="DB23" s="19"/>
      <c r="DC23" s="19"/>
      <c r="DD23" s="19"/>
      <c r="DE23" s="19"/>
      <c r="DF23" s="19"/>
      <c r="DG23" s="19"/>
      <c r="DH23" s="19"/>
      <c r="DI23" s="19"/>
      <c r="DJ23" s="19"/>
      <c r="DK23" s="19"/>
      <c r="DL23" s="19"/>
      <c r="DM23" s="19"/>
      <c r="DN23" s="19"/>
      <c r="DO23" s="19"/>
      <c r="DP23" s="19"/>
      <c r="DQ23" s="19"/>
      <c r="DR23" s="19"/>
      <c r="DS23" s="19"/>
      <c r="DT23" s="19"/>
      <c r="DU23" s="19"/>
      <c r="DV23" s="19"/>
      <c r="DW23" s="19"/>
      <c r="DX23" s="19"/>
      <c r="DY23" s="19"/>
      <c r="DZ23" s="19"/>
      <c r="EA23" s="19"/>
      <c r="EB23" s="19"/>
      <c r="EC23" s="19"/>
      <c r="ED23" s="19"/>
      <c r="EE23" s="19"/>
      <c r="EF23" s="19"/>
      <c r="EG23" s="19"/>
      <c r="EH23" s="19"/>
      <c r="EI23" s="19"/>
      <c r="EJ23" s="19"/>
      <c r="EK23" s="19"/>
      <c r="EL23" s="19"/>
      <c r="EM23" s="19"/>
      <c r="EN23" s="19"/>
      <c r="EO23" s="19"/>
      <c r="EP23" s="19"/>
      <c r="EQ23" s="19"/>
      <c r="ER23" s="19"/>
      <c r="ES23" s="19"/>
      <c r="ET23" s="19"/>
      <c r="EU23" s="19"/>
      <c r="EV23" s="19"/>
      <c r="EW23" s="19"/>
      <c r="EX23" s="19"/>
      <c r="EY23" s="19"/>
      <c r="EZ23" s="19"/>
      <c r="FA23" s="19"/>
      <c r="FB23" s="19"/>
      <c r="FC23" s="19"/>
      <c r="FD23" s="19"/>
      <c r="FE23" s="19"/>
      <c r="FF23" s="19"/>
      <c r="FG23" s="19"/>
      <c r="FH23" s="19"/>
      <c r="FI23" s="19"/>
    </row>
    <row r="24" spans="1:165" ht="15.75" x14ac:dyDescent="0.3">
      <c r="A24" s="36"/>
      <c r="B24" s="13"/>
      <c r="C24" s="13"/>
      <c r="D24" s="39" t="s">
        <v>28</v>
      </c>
      <c r="E24" s="69">
        <v>62</v>
      </c>
      <c r="F24" s="128" t="s">
        <v>12</v>
      </c>
      <c r="G24" s="156"/>
      <c r="H24" s="84">
        <f>ILmax</f>
        <v>50</v>
      </c>
      <c r="I24" s="13"/>
      <c r="J24" s="29"/>
      <c r="K24" s="29"/>
      <c r="L24" s="29"/>
      <c r="M24" s="29"/>
      <c r="N24" s="29"/>
      <c r="O24" s="29"/>
      <c r="P24" s="29"/>
      <c r="Q24" s="29"/>
      <c r="R24" s="29"/>
      <c r="S24" s="30"/>
      <c r="T24" s="18"/>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c r="BM24" s="19"/>
      <c r="BN24" s="19"/>
      <c r="BO24" s="19"/>
      <c r="BP24" s="19"/>
      <c r="BQ24" s="19"/>
      <c r="BR24" s="19"/>
      <c r="BS24" s="19"/>
      <c r="BT24" s="19"/>
      <c r="BU24" s="19"/>
      <c r="BV24" s="19"/>
      <c r="BW24" s="19"/>
      <c r="BX24" s="19"/>
      <c r="BY24" s="19"/>
      <c r="BZ24" s="19"/>
      <c r="CA24" s="19"/>
      <c r="CB24" s="19"/>
      <c r="CC24" s="19"/>
      <c r="CD24" s="19"/>
      <c r="CE24" s="19"/>
      <c r="CF24" s="19"/>
      <c r="CG24" s="19"/>
      <c r="CH24" s="19"/>
      <c r="CI24" s="19"/>
      <c r="CJ24" s="19"/>
      <c r="CK24" s="19"/>
      <c r="CL24" s="19"/>
      <c r="CM24" s="19"/>
      <c r="CN24" s="19"/>
      <c r="CO24" s="19"/>
      <c r="CP24" s="19"/>
      <c r="CQ24" s="19"/>
      <c r="CR24" s="19"/>
      <c r="CS24" s="19"/>
      <c r="CT24" s="19"/>
      <c r="CU24" s="19"/>
      <c r="CV24" s="19"/>
      <c r="CW24" s="19"/>
      <c r="CX24" s="19"/>
      <c r="CY24" s="19"/>
      <c r="CZ24" s="19"/>
      <c r="DA24" s="19"/>
      <c r="DB24" s="19"/>
      <c r="DC24" s="19"/>
      <c r="DD24" s="19"/>
      <c r="DE24" s="19"/>
      <c r="DF24" s="19"/>
      <c r="DG24" s="19"/>
      <c r="DH24" s="19"/>
      <c r="DI24" s="19"/>
      <c r="DJ24" s="19"/>
      <c r="DK24" s="19"/>
      <c r="DL24" s="19"/>
      <c r="DM24" s="19"/>
      <c r="DN24" s="19"/>
      <c r="DO24" s="19"/>
      <c r="DP24" s="19"/>
      <c r="DQ24" s="19"/>
      <c r="DR24" s="19"/>
      <c r="DS24" s="19"/>
      <c r="DT24" s="19"/>
      <c r="DU24" s="19"/>
      <c r="DV24" s="19"/>
      <c r="DW24" s="19"/>
      <c r="DX24" s="19"/>
      <c r="DY24" s="19"/>
      <c r="DZ24" s="19"/>
      <c r="EA24" s="19"/>
      <c r="EB24" s="19"/>
      <c r="EC24" s="19"/>
      <c r="ED24" s="19"/>
      <c r="EE24" s="19"/>
      <c r="EF24" s="19"/>
      <c r="EG24" s="19"/>
      <c r="EH24" s="19"/>
      <c r="EI24" s="19"/>
      <c r="EJ24" s="19"/>
      <c r="EK24" s="19"/>
      <c r="EL24" s="19"/>
      <c r="EM24" s="19"/>
      <c r="EN24" s="19"/>
      <c r="EO24" s="19"/>
      <c r="EP24" s="19"/>
      <c r="EQ24" s="19"/>
      <c r="ER24" s="19"/>
      <c r="ES24" s="19"/>
      <c r="ET24" s="19"/>
      <c r="EU24" s="19"/>
      <c r="EV24" s="19"/>
      <c r="EW24" s="19"/>
      <c r="EX24" s="19"/>
      <c r="EY24" s="19"/>
      <c r="EZ24" s="19"/>
      <c r="FA24" s="19"/>
      <c r="FB24" s="19"/>
      <c r="FC24" s="19"/>
      <c r="FD24" s="19"/>
      <c r="FE24" s="19"/>
      <c r="FF24" s="19"/>
      <c r="FG24" s="19"/>
      <c r="FH24" s="19"/>
      <c r="FI24" s="19"/>
    </row>
    <row r="25" spans="1:165" x14ac:dyDescent="0.25">
      <c r="A25" s="31"/>
      <c r="B25" s="13"/>
      <c r="C25" s="13"/>
      <c r="D25" s="39" t="s">
        <v>29</v>
      </c>
      <c r="E25" s="40">
        <f>IF((MAX( 0.5*MIN( 2*Vbat,VACmax )*(Vbat/MIN( 2*Vbat,VACmax ))*(1- (Vbat/MIN( 2*Vbat,VACmax )) )/(Fsw*10^3 *(Isat-ILmax) ), 0.5*MAX( Vbat/2, VACmin )*(1- MAX( Vbat/2, VACmin )/Vbat)/(Fsw*10^3*(Isat-ILmax)))/10^-6)&lt;0, "ERROR", (MAX( 0.5*MIN( 2*Vbat,VACmax )*(Vbat/MIN( 2*Vbat,VACmax ))*(1- (Vbat/MIN( 2*Vbat,VACmax )) )/(Fsw*10^3 *(Isat-ILmax) ), 0.5*MAX( Vbat/2, VACmin )*(1- MAX( Vbat/2, VACmin )/Vbat)/(Fsw*10^3*(Isat-ILmax)))/10^-6))</f>
        <v>1.2500000000000002</v>
      </c>
      <c r="F25" s="73" t="s">
        <v>30</v>
      </c>
      <c r="G25" s="157" t="str">
        <f>_xlfn.CONCAT(E25, " ",F25)</f>
        <v>1.25 µH</v>
      </c>
      <c r="H25" s="84">
        <v>2.2000000000000002</v>
      </c>
      <c r="I25" s="84">
        <v>15</v>
      </c>
      <c r="J25" s="29"/>
      <c r="K25" s="29"/>
      <c r="L25" s="29"/>
      <c r="M25" s="29"/>
      <c r="N25" s="29"/>
      <c r="O25" s="29"/>
      <c r="P25" s="29"/>
      <c r="Q25" s="29"/>
      <c r="R25" s="29"/>
      <c r="S25" s="30"/>
      <c r="T25" s="18"/>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c r="CJ25" s="19"/>
      <c r="CK25" s="19"/>
      <c r="CL25" s="19"/>
      <c r="CM25" s="19"/>
      <c r="CN25" s="19"/>
      <c r="CO25" s="19"/>
      <c r="CP25" s="19"/>
      <c r="CQ25" s="19"/>
      <c r="CR25" s="19"/>
      <c r="CS25" s="19"/>
      <c r="CT25" s="19"/>
      <c r="CU25" s="19"/>
      <c r="CV25" s="19"/>
      <c r="CW25" s="19"/>
      <c r="CX25" s="19"/>
      <c r="CY25" s="19"/>
      <c r="CZ25" s="19"/>
      <c r="DA25" s="19"/>
      <c r="DB25" s="19"/>
      <c r="DC25" s="19"/>
      <c r="DD25" s="19"/>
      <c r="DE25" s="19"/>
      <c r="DF25" s="19"/>
      <c r="DG25" s="19"/>
      <c r="DH25" s="19"/>
      <c r="DI25" s="19"/>
      <c r="DJ25" s="19"/>
      <c r="DK25" s="19"/>
      <c r="DL25" s="19"/>
      <c r="DM25" s="19"/>
      <c r="DN25" s="19"/>
      <c r="DO25" s="19"/>
      <c r="DP25" s="19"/>
      <c r="DQ25" s="19"/>
      <c r="DR25" s="19"/>
      <c r="DS25" s="19"/>
      <c r="DT25" s="19"/>
      <c r="DU25" s="19"/>
      <c r="DV25" s="19"/>
      <c r="DW25" s="19"/>
      <c r="DX25" s="19"/>
      <c r="DY25" s="19"/>
      <c r="DZ25" s="19"/>
      <c r="EA25" s="19"/>
      <c r="EB25" s="19"/>
      <c r="EC25" s="19"/>
      <c r="ED25" s="19"/>
      <c r="EE25" s="19"/>
      <c r="EF25" s="19"/>
      <c r="EG25" s="19"/>
      <c r="EH25" s="19"/>
      <c r="EI25" s="19"/>
      <c r="EJ25" s="19"/>
      <c r="EK25" s="19"/>
      <c r="EL25" s="19"/>
      <c r="EM25" s="19"/>
      <c r="EN25" s="19"/>
      <c r="EO25" s="19"/>
      <c r="EP25" s="19"/>
      <c r="EQ25" s="19"/>
      <c r="ER25" s="19"/>
      <c r="ES25" s="19"/>
      <c r="ET25" s="19"/>
      <c r="EU25" s="19"/>
      <c r="EV25" s="19"/>
      <c r="EW25" s="19"/>
      <c r="EX25" s="19"/>
      <c r="EY25" s="19"/>
      <c r="EZ25" s="19"/>
      <c r="FA25" s="19"/>
      <c r="FB25" s="19"/>
      <c r="FC25" s="19"/>
      <c r="FD25" s="19"/>
      <c r="FE25" s="19"/>
      <c r="FF25" s="19"/>
      <c r="FG25" s="19"/>
      <c r="FH25" s="19"/>
      <c r="FI25" s="19"/>
    </row>
    <row r="26" spans="1:165" x14ac:dyDescent="0.25">
      <c r="A26" s="31"/>
      <c r="B26" s="13"/>
      <c r="C26" s="13"/>
      <c r="D26" s="32" t="s">
        <v>31</v>
      </c>
      <c r="E26" s="69">
        <v>10</v>
      </c>
      <c r="F26" s="9" t="s">
        <v>30</v>
      </c>
      <c r="G26" s="156" t="str">
        <f>_xlfn.CONCAT(E26, " ",F26)</f>
        <v>10 µH</v>
      </c>
      <c r="H26" s="94">
        <f>$E$25</f>
        <v>1.2500000000000002</v>
      </c>
      <c r="I26" s="84"/>
      <c r="J26" s="29"/>
      <c r="K26" s="29"/>
      <c r="L26" s="29"/>
      <c r="M26" s="29"/>
      <c r="N26" s="29"/>
      <c r="O26" s="29"/>
      <c r="P26" s="29"/>
      <c r="Q26" s="29"/>
      <c r="R26" s="29"/>
      <c r="S26" s="30"/>
      <c r="T26" s="18"/>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c r="CJ26" s="19"/>
      <c r="CK26" s="19"/>
      <c r="CL26" s="19"/>
      <c r="CM26" s="19"/>
      <c r="CN26" s="19"/>
      <c r="CO26" s="19"/>
      <c r="CP26" s="19"/>
      <c r="CQ26" s="19"/>
      <c r="CR26" s="19"/>
      <c r="CS26" s="19"/>
      <c r="CT26" s="19"/>
      <c r="CU26" s="19"/>
      <c r="CV26" s="19"/>
      <c r="CW26" s="19"/>
      <c r="CX26" s="19"/>
      <c r="CY26" s="19"/>
      <c r="CZ26" s="19"/>
      <c r="DA26" s="19"/>
      <c r="DB26" s="19"/>
      <c r="DC26" s="19"/>
      <c r="DD26" s="19"/>
      <c r="DE26" s="19"/>
      <c r="DF26" s="19"/>
      <c r="DG26" s="19"/>
      <c r="DH26" s="19"/>
      <c r="DI26" s="19"/>
      <c r="DJ26" s="19"/>
      <c r="DK26" s="19"/>
      <c r="DL26" s="19"/>
      <c r="DM26" s="19"/>
      <c r="DN26" s="19"/>
      <c r="DO26" s="19"/>
      <c r="DP26" s="19"/>
      <c r="DQ26" s="19"/>
      <c r="DR26" s="19"/>
      <c r="DS26" s="19"/>
      <c r="DT26" s="19"/>
      <c r="DU26" s="19"/>
      <c r="DV26" s="19"/>
      <c r="DW26" s="19"/>
      <c r="DX26" s="19"/>
      <c r="DY26" s="19"/>
      <c r="DZ26" s="19"/>
      <c r="EA26" s="19"/>
      <c r="EB26" s="19"/>
      <c r="EC26" s="19"/>
      <c r="ED26" s="19"/>
      <c r="EE26" s="19"/>
      <c r="EF26" s="19"/>
      <c r="EG26" s="19"/>
      <c r="EH26" s="19"/>
      <c r="EI26" s="19"/>
      <c r="EJ26" s="19"/>
      <c r="EK26" s="19"/>
      <c r="EL26" s="19"/>
      <c r="EM26" s="19"/>
      <c r="EN26" s="19"/>
      <c r="EO26" s="19"/>
      <c r="EP26" s="19"/>
      <c r="EQ26" s="19"/>
      <c r="ER26" s="19"/>
      <c r="ES26" s="19"/>
      <c r="ET26" s="19"/>
      <c r="EU26" s="19"/>
      <c r="EV26" s="19"/>
      <c r="EW26" s="19"/>
      <c r="EX26" s="19"/>
      <c r="EY26" s="19"/>
      <c r="EZ26" s="19"/>
      <c r="FA26" s="19"/>
      <c r="FB26" s="19"/>
      <c r="FC26" s="19"/>
      <c r="FD26" s="19"/>
      <c r="FE26" s="19"/>
      <c r="FF26" s="19"/>
      <c r="FG26" s="19"/>
      <c r="FH26" s="19"/>
      <c r="FI26" s="19"/>
    </row>
    <row r="27" spans="1:165" x14ac:dyDescent="0.25">
      <c r="A27" s="31"/>
      <c r="B27" s="13"/>
      <c r="C27" s="13"/>
      <c r="D27" s="39" t="s">
        <v>32</v>
      </c>
      <c r="E27" s="40">
        <v>2.6</v>
      </c>
      <c r="F27" s="10" t="s">
        <v>33</v>
      </c>
      <c r="G27" s="156"/>
      <c r="H27" s="13"/>
      <c r="I27" s="13"/>
      <c r="J27" s="29"/>
      <c r="K27" s="29"/>
      <c r="L27" s="29"/>
      <c r="M27" s="29"/>
      <c r="N27" s="29"/>
      <c r="O27" s="29"/>
      <c r="P27" s="29"/>
      <c r="Q27" s="29"/>
      <c r="R27" s="29"/>
      <c r="S27" s="30"/>
      <c r="T27" s="18"/>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c r="CJ27" s="19"/>
      <c r="CK27" s="19"/>
      <c r="CL27" s="19"/>
      <c r="CM27" s="19"/>
      <c r="CN27" s="19"/>
      <c r="CO27" s="19"/>
      <c r="CP27" s="19"/>
      <c r="CQ27" s="19"/>
      <c r="CR27" s="19"/>
      <c r="CS27" s="19"/>
      <c r="CT27" s="19"/>
      <c r="CU27" s="19"/>
      <c r="CV27" s="19"/>
      <c r="CW27" s="19"/>
      <c r="CX27" s="19"/>
      <c r="CY27" s="19"/>
      <c r="CZ27" s="19"/>
      <c r="DA27" s="19"/>
      <c r="DB27" s="19"/>
      <c r="DC27" s="19"/>
      <c r="DD27" s="19"/>
      <c r="DE27" s="19"/>
      <c r="DF27" s="19"/>
      <c r="DG27" s="19"/>
      <c r="DH27" s="19"/>
      <c r="DI27" s="19"/>
      <c r="DJ27" s="19"/>
      <c r="DK27" s="19"/>
      <c r="DL27" s="19"/>
      <c r="DM27" s="19"/>
      <c r="DN27" s="19"/>
      <c r="DO27" s="19"/>
      <c r="DP27" s="19"/>
      <c r="DQ27" s="19"/>
      <c r="DR27" s="19"/>
      <c r="DS27" s="19"/>
      <c r="DT27" s="19"/>
      <c r="DU27" s="19"/>
      <c r="DV27" s="19"/>
      <c r="DW27" s="19"/>
      <c r="DX27" s="19"/>
      <c r="DY27" s="19"/>
      <c r="DZ27" s="19"/>
      <c r="EA27" s="19"/>
      <c r="EB27" s="19"/>
      <c r="EC27" s="19"/>
      <c r="ED27" s="19"/>
      <c r="EE27" s="19"/>
      <c r="EF27" s="19"/>
      <c r="EG27" s="19"/>
      <c r="EH27" s="19"/>
      <c r="EI27" s="19"/>
      <c r="EJ27" s="19"/>
      <c r="EK27" s="19"/>
      <c r="EL27" s="19"/>
      <c r="EM27" s="19"/>
      <c r="EN27" s="19"/>
      <c r="EO27" s="19"/>
      <c r="EP27" s="19"/>
      <c r="EQ27" s="19"/>
      <c r="ER27" s="19"/>
      <c r="ES27" s="19"/>
      <c r="ET27" s="19"/>
      <c r="EU27" s="19"/>
      <c r="EV27" s="19"/>
      <c r="EW27" s="19"/>
      <c r="EX27" s="19"/>
      <c r="EY27" s="19"/>
      <c r="EZ27" s="19"/>
      <c r="FA27" s="19"/>
      <c r="FB27" s="19"/>
      <c r="FC27" s="19"/>
      <c r="FD27" s="19"/>
      <c r="FE27" s="19"/>
      <c r="FF27" s="19"/>
      <c r="FG27" s="19"/>
      <c r="FH27" s="19"/>
      <c r="FI27" s="19"/>
    </row>
    <row r="28" spans="1:165" x14ac:dyDescent="0.25">
      <c r="A28" s="31"/>
      <c r="B28" s="13"/>
      <c r="C28" s="13"/>
      <c r="D28" s="39" t="s">
        <v>34</v>
      </c>
      <c r="E28" s="40">
        <v>60</v>
      </c>
      <c r="F28" s="10" t="s">
        <v>33</v>
      </c>
      <c r="G28" s="156"/>
      <c r="H28" s="13"/>
      <c r="I28" s="13"/>
      <c r="J28" s="29"/>
      <c r="K28" s="29"/>
      <c r="L28" s="29"/>
      <c r="M28" s="29"/>
      <c r="N28" s="29"/>
      <c r="O28" s="29"/>
      <c r="P28" s="29"/>
      <c r="Q28" s="29"/>
      <c r="R28" s="29"/>
      <c r="S28" s="30"/>
      <c r="T28" s="18"/>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c r="CJ28" s="19"/>
      <c r="CK28" s="19"/>
      <c r="CL28" s="19"/>
      <c r="CM28" s="19"/>
      <c r="CN28" s="19"/>
      <c r="CO28" s="19"/>
      <c r="CP28" s="19"/>
      <c r="CQ28" s="19"/>
      <c r="CR28" s="19"/>
      <c r="CS28" s="19"/>
      <c r="CT28" s="19"/>
      <c r="CU28" s="19"/>
      <c r="CV28" s="19"/>
      <c r="CW28" s="19"/>
      <c r="CX28" s="19"/>
      <c r="CY28" s="19"/>
      <c r="CZ28" s="19"/>
      <c r="DA28" s="19"/>
      <c r="DB28" s="19"/>
      <c r="DC28" s="19"/>
      <c r="DD28" s="19"/>
      <c r="DE28" s="19"/>
      <c r="DF28" s="19"/>
      <c r="DG28" s="19"/>
      <c r="DH28" s="19"/>
      <c r="DI28" s="19"/>
      <c r="DJ28" s="19"/>
      <c r="DK28" s="19"/>
      <c r="DL28" s="19"/>
      <c r="DM28" s="19"/>
      <c r="DN28" s="19"/>
      <c r="DO28" s="19"/>
      <c r="DP28" s="19"/>
      <c r="DQ28" s="19"/>
      <c r="DR28" s="19"/>
      <c r="DS28" s="19"/>
      <c r="DT28" s="19"/>
      <c r="DU28" s="19"/>
      <c r="DV28" s="19"/>
      <c r="DW28" s="19"/>
      <c r="DX28" s="19"/>
      <c r="DY28" s="19"/>
      <c r="DZ28" s="19"/>
      <c r="EA28" s="19"/>
      <c r="EB28" s="19"/>
      <c r="EC28" s="19"/>
      <c r="ED28" s="19"/>
      <c r="EE28" s="19"/>
      <c r="EF28" s="19"/>
      <c r="EG28" s="19"/>
      <c r="EH28" s="19"/>
      <c r="EI28" s="19"/>
      <c r="EJ28" s="19"/>
      <c r="EK28" s="19"/>
      <c r="EL28" s="19"/>
      <c r="EM28" s="19"/>
      <c r="EN28" s="19"/>
      <c r="EO28" s="19"/>
      <c r="EP28" s="19"/>
      <c r="EQ28" s="19"/>
      <c r="ER28" s="19"/>
      <c r="ES28" s="19"/>
      <c r="ET28" s="19"/>
      <c r="EU28" s="19"/>
      <c r="EV28" s="19"/>
      <c r="EW28" s="19"/>
      <c r="EX28" s="19"/>
      <c r="EY28" s="19"/>
      <c r="EZ28" s="19"/>
      <c r="FA28" s="19"/>
      <c r="FB28" s="19"/>
      <c r="FC28" s="19"/>
      <c r="FD28" s="19"/>
      <c r="FE28" s="19"/>
      <c r="FF28" s="19"/>
      <c r="FG28" s="19"/>
      <c r="FH28" s="19"/>
      <c r="FI28" s="19"/>
    </row>
    <row r="29" spans="1:165" x14ac:dyDescent="0.25">
      <c r="A29" s="31"/>
      <c r="B29" s="13"/>
      <c r="C29" s="13"/>
      <c r="D29" s="32" t="s">
        <v>35</v>
      </c>
      <c r="E29" s="87">
        <v>5</v>
      </c>
      <c r="F29" s="9" t="s">
        <v>33</v>
      </c>
      <c r="G29" s="156" t="str">
        <f>_xlfn.CONCAT(E29, " ",F29)</f>
        <v>5 mΩ</v>
      </c>
      <c r="H29" s="94">
        <f>E27</f>
        <v>2.6</v>
      </c>
      <c r="I29" s="94">
        <f>E28</f>
        <v>60</v>
      </c>
      <c r="J29" s="29"/>
      <c r="K29" s="29"/>
      <c r="L29" s="29"/>
      <c r="M29" s="29"/>
      <c r="N29" s="29"/>
      <c r="O29" s="29"/>
      <c r="P29" s="29"/>
      <c r="Q29" s="29"/>
      <c r="R29" s="29"/>
      <c r="S29" s="30"/>
      <c r="T29" s="18"/>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c r="CJ29" s="19"/>
      <c r="CK29" s="19"/>
      <c r="CL29" s="19"/>
      <c r="CM29" s="19"/>
      <c r="CN29" s="19"/>
      <c r="CO29" s="19"/>
      <c r="CP29" s="19"/>
      <c r="CQ29" s="19"/>
      <c r="CR29" s="19"/>
      <c r="CS29" s="19"/>
      <c r="CT29" s="19"/>
      <c r="CU29" s="19"/>
      <c r="CV29" s="19"/>
      <c r="CW29" s="19"/>
      <c r="CX29" s="19"/>
      <c r="CY29" s="19"/>
      <c r="CZ29" s="19"/>
      <c r="DA29" s="19"/>
      <c r="DB29" s="19"/>
      <c r="DC29" s="19"/>
      <c r="DD29" s="19"/>
      <c r="DE29" s="19"/>
      <c r="DF29" s="19"/>
      <c r="DG29" s="19"/>
      <c r="DH29" s="19"/>
      <c r="DI29" s="19"/>
      <c r="DJ29" s="19"/>
      <c r="DK29" s="19"/>
      <c r="DL29" s="19"/>
      <c r="DM29" s="19"/>
      <c r="DN29" s="19"/>
      <c r="DO29" s="19"/>
      <c r="DP29" s="19"/>
      <c r="DQ29" s="19"/>
      <c r="DR29" s="19"/>
      <c r="DS29" s="19"/>
      <c r="DT29" s="19"/>
      <c r="DU29" s="19"/>
      <c r="DV29" s="19"/>
      <c r="DW29" s="19"/>
      <c r="DX29" s="19"/>
      <c r="DY29" s="19"/>
      <c r="DZ29" s="19"/>
      <c r="EA29" s="19"/>
      <c r="EB29" s="19"/>
      <c r="EC29" s="19"/>
      <c r="ED29" s="19"/>
      <c r="EE29" s="19"/>
      <c r="EF29" s="19"/>
      <c r="EG29" s="19"/>
      <c r="EH29" s="19"/>
      <c r="EI29" s="19"/>
      <c r="EJ29" s="19"/>
      <c r="EK29" s="19"/>
      <c r="EL29" s="19"/>
      <c r="EM29" s="19"/>
      <c r="EN29" s="19"/>
      <c r="EO29" s="19"/>
      <c r="EP29" s="19"/>
      <c r="EQ29" s="19"/>
      <c r="ER29" s="19"/>
      <c r="ES29" s="19"/>
      <c r="ET29" s="19"/>
      <c r="EU29" s="19"/>
      <c r="EV29" s="19"/>
      <c r="EW29" s="19"/>
      <c r="EX29" s="19"/>
      <c r="EY29" s="19"/>
      <c r="EZ29" s="19"/>
      <c r="FA29" s="19"/>
      <c r="FB29" s="19"/>
      <c r="FC29" s="19"/>
      <c r="FD29" s="19"/>
      <c r="FE29" s="19"/>
      <c r="FF29" s="19"/>
      <c r="FG29" s="19"/>
      <c r="FH29" s="19"/>
      <c r="FI29" s="19"/>
    </row>
    <row r="30" spans="1:165" ht="15.75" x14ac:dyDescent="0.3">
      <c r="A30" s="31"/>
      <c r="B30" s="13"/>
      <c r="C30" s="13"/>
      <c r="D30" s="39" t="s">
        <v>36</v>
      </c>
      <c r="E30" s="41">
        <f>IF(VACmin&lt;Vbat,VACmin*(1-VACmin/Vbat)/(Fsw*10^3*L*10^-6),VACmin*Vbat/VACmin*(1-Vbat/VACmin)/(Fsw*10^3*L*10^-6))</f>
        <v>2.879999999999999</v>
      </c>
      <c r="F30" s="73" t="s">
        <v>37</v>
      </c>
      <c r="G30" s="156"/>
      <c r="H30" s="13"/>
      <c r="I30" s="13"/>
      <c r="J30" s="29"/>
      <c r="K30" s="29"/>
      <c r="L30" s="29"/>
      <c r="M30" s="29"/>
      <c r="N30" s="29"/>
      <c r="O30" s="29"/>
      <c r="P30" s="29"/>
      <c r="Q30" s="29"/>
      <c r="R30" s="29"/>
      <c r="S30" s="30"/>
      <c r="T30" s="18"/>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c r="CJ30" s="19"/>
      <c r="CK30" s="19"/>
      <c r="CL30" s="19"/>
      <c r="CM30" s="19"/>
      <c r="CN30" s="19"/>
      <c r="CO30" s="19"/>
      <c r="CP30" s="19"/>
      <c r="CQ30" s="19"/>
      <c r="CR30" s="19"/>
      <c r="CS30" s="19"/>
      <c r="CT30" s="19"/>
      <c r="CU30" s="19"/>
      <c r="CV30" s="19"/>
      <c r="CW30" s="19"/>
      <c r="CX30" s="19"/>
      <c r="CY30" s="19"/>
      <c r="CZ30" s="19"/>
      <c r="DA30" s="19"/>
      <c r="DB30" s="19"/>
      <c r="DC30" s="19"/>
      <c r="DD30" s="19"/>
      <c r="DE30" s="19"/>
      <c r="DF30" s="19"/>
      <c r="DG30" s="19"/>
      <c r="DH30" s="19"/>
      <c r="DI30" s="19"/>
      <c r="DJ30" s="19"/>
      <c r="DK30" s="19"/>
      <c r="DL30" s="19"/>
      <c r="DM30" s="19"/>
      <c r="DN30" s="19"/>
      <c r="DO30" s="19"/>
      <c r="DP30" s="19"/>
      <c r="DQ30" s="19"/>
      <c r="DR30" s="19"/>
      <c r="DS30" s="19"/>
      <c r="DT30" s="19"/>
      <c r="DU30" s="19"/>
      <c r="DV30" s="19"/>
      <c r="DW30" s="19"/>
      <c r="DX30" s="19"/>
      <c r="DY30" s="19"/>
      <c r="DZ30" s="19"/>
      <c r="EA30" s="19"/>
      <c r="EB30" s="19"/>
      <c r="EC30" s="19"/>
      <c r="ED30" s="19"/>
      <c r="EE30" s="19"/>
      <c r="EF30" s="19"/>
      <c r="EG30" s="19"/>
      <c r="EH30" s="19"/>
      <c r="EI30" s="19"/>
      <c r="EJ30" s="19"/>
      <c r="EK30" s="19"/>
      <c r="EL30" s="19"/>
      <c r="EM30" s="19"/>
      <c r="EN30" s="19"/>
      <c r="EO30" s="19"/>
      <c r="EP30" s="19"/>
      <c r="EQ30" s="19"/>
      <c r="ER30" s="19"/>
      <c r="ES30" s="19"/>
      <c r="ET30" s="19"/>
      <c r="EU30" s="19"/>
      <c r="EV30" s="19"/>
      <c r="EW30" s="19"/>
      <c r="EX30" s="19"/>
      <c r="EY30" s="19"/>
      <c r="EZ30" s="19"/>
      <c r="FA30" s="19"/>
      <c r="FB30" s="19"/>
      <c r="FC30" s="19"/>
      <c r="FD30" s="19"/>
      <c r="FE30" s="19"/>
      <c r="FF30" s="19"/>
      <c r="FG30" s="19"/>
      <c r="FH30" s="19"/>
      <c r="FI30" s="19"/>
    </row>
    <row r="31" spans="1:165" ht="15.75" x14ac:dyDescent="0.3">
      <c r="A31" s="31"/>
      <c r="B31" s="13"/>
      <c r="C31" s="13"/>
      <c r="D31" s="39" t="s">
        <v>38</v>
      </c>
      <c r="E31" s="41">
        <f>IF(VACnom&lt;Vbat,VACnom*(1-VACnom/Vbat)/(Fsw*10^3*L*10^-6),VACnom*Vbat/VACnom*(1-Vbat/VACnom)/(Fsw*10^3*L*10^-6))</f>
        <v>0.39130434782608459</v>
      </c>
      <c r="F31" s="73" t="s">
        <v>37</v>
      </c>
      <c r="G31" s="156"/>
      <c r="H31" s="13"/>
      <c r="I31" s="13"/>
      <c r="J31" s="29"/>
      <c r="K31" s="29"/>
      <c r="L31" s="29"/>
      <c r="M31" s="29"/>
      <c r="N31" s="29"/>
      <c r="O31" s="29"/>
      <c r="P31" s="29"/>
      <c r="Q31" s="29"/>
      <c r="R31" s="29"/>
      <c r="S31" s="30"/>
      <c r="T31" s="18"/>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c r="CJ31" s="19"/>
      <c r="CK31" s="19"/>
      <c r="CL31" s="19"/>
      <c r="CM31" s="19"/>
      <c r="CN31" s="19"/>
      <c r="CO31" s="19"/>
      <c r="CP31" s="19"/>
      <c r="CQ31" s="19"/>
      <c r="CR31" s="19"/>
      <c r="CS31" s="19"/>
      <c r="CT31" s="19"/>
      <c r="CU31" s="19"/>
      <c r="CV31" s="19"/>
      <c r="CW31" s="19"/>
      <c r="CX31" s="19"/>
      <c r="CY31" s="19"/>
      <c r="CZ31" s="19"/>
      <c r="DA31" s="19"/>
      <c r="DB31" s="19"/>
      <c r="DC31" s="19"/>
      <c r="DD31" s="19"/>
      <c r="DE31" s="19"/>
      <c r="DF31" s="19"/>
      <c r="DG31" s="19"/>
      <c r="DH31" s="19"/>
      <c r="DI31" s="19"/>
      <c r="DJ31" s="19"/>
      <c r="DK31" s="19"/>
      <c r="DL31" s="19"/>
      <c r="DM31" s="19"/>
      <c r="DN31" s="19"/>
      <c r="DO31" s="19"/>
      <c r="DP31" s="19"/>
      <c r="DQ31" s="19"/>
      <c r="DR31" s="19"/>
      <c r="DS31" s="19"/>
      <c r="DT31" s="19"/>
      <c r="DU31" s="19"/>
      <c r="DV31" s="19"/>
      <c r="DW31" s="19"/>
      <c r="DX31" s="19"/>
      <c r="DY31" s="19"/>
      <c r="DZ31" s="19"/>
      <c r="EA31" s="19"/>
      <c r="EB31" s="19"/>
      <c r="EC31" s="19"/>
      <c r="ED31" s="19"/>
      <c r="EE31" s="19"/>
      <c r="EF31" s="19"/>
      <c r="EG31" s="19"/>
      <c r="EH31" s="19"/>
      <c r="EI31" s="19"/>
      <c r="EJ31" s="19"/>
      <c r="EK31" s="19"/>
      <c r="EL31" s="19"/>
      <c r="EM31" s="19"/>
      <c r="EN31" s="19"/>
      <c r="EO31" s="19"/>
      <c r="EP31" s="19"/>
      <c r="EQ31" s="19"/>
      <c r="ER31" s="19"/>
      <c r="ES31" s="19"/>
      <c r="ET31" s="19"/>
      <c r="EU31" s="19"/>
      <c r="EV31" s="19"/>
      <c r="EW31" s="19"/>
      <c r="EX31" s="19"/>
      <c r="EY31" s="19"/>
      <c r="EZ31" s="19"/>
      <c r="FA31" s="19"/>
      <c r="FB31" s="19"/>
      <c r="FC31" s="19"/>
      <c r="FD31" s="19"/>
      <c r="FE31" s="19"/>
      <c r="FF31" s="19"/>
      <c r="FG31" s="19"/>
      <c r="FH31" s="19"/>
      <c r="FI31" s="19"/>
    </row>
    <row r="32" spans="1:165" ht="15.75" x14ac:dyDescent="0.3">
      <c r="A32" s="31"/>
      <c r="B32" s="13"/>
      <c r="C32" s="13"/>
      <c r="D32" s="39" t="s">
        <v>39</v>
      </c>
      <c r="E32" s="41">
        <f>IF(VACmax&lt;Vbat,VACmax*(1-VACmax/Vbat)/(Fsw*10^3*L*10^-6),VACmax*Vbat/VACmax*(1-Vbat/VACmax)/(Fsw*10^3*L*10^-6))</f>
        <v>3.0000000000000009</v>
      </c>
      <c r="F32" s="73" t="s">
        <v>37</v>
      </c>
      <c r="G32" s="156"/>
      <c r="H32" s="13"/>
      <c r="I32" s="13"/>
      <c r="J32" s="29"/>
      <c r="K32" s="29"/>
      <c r="L32" s="29"/>
      <c r="M32" s="29"/>
      <c r="N32" s="29"/>
      <c r="O32" s="29"/>
      <c r="P32" s="29"/>
      <c r="Q32" s="29"/>
      <c r="R32" s="29"/>
      <c r="S32" s="30"/>
      <c r="T32" s="18"/>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c r="CJ32" s="19"/>
      <c r="CK32" s="19"/>
      <c r="CL32" s="19"/>
      <c r="CM32" s="19"/>
      <c r="CN32" s="19"/>
      <c r="CO32" s="19"/>
      <c r="CP32" s="19"/>
      <c r="CQ32" s="19"/>
      <c r="CR32" s="19"/>
      <c r="CS32" s="19"/>
      <c r="CT32" s="19"/>
      <c r="CU32" s="19"/>
      <c r="CV32" s="19"/>
      <c r="CW32" s="19"/>
      <c r="CX32" s="19"/>
      <c r="CY32" s="19"/>
      <c r="CZ32" s="19"/>
      <c r="DA32" s="19"/>
      <c r="DB32" s="19"/>
      <c r="DC32" s="19"/>
      <c r="DD32" s="19"/>
      <c r="DE32" s="19"/>
      <c r="DF32" s="19"/>
      <c r="DG32" s="19"/>
      <c r="DH32" s="19"/>
      <c r="DI32" s="19"/>
      <c r="DJ32" s="19"/>
      <c r="DK32" s="19"/>
      <c r="DL32" s="19"/>
      <c r="DM32" s="19"/>
      <c r="DN32" s="19"/>
      <c r="DO32" s="19"/>
      <c r="DP32" s="19"/>
      <c r="DQ32" s="19"/>
      <c r="DR32" s="19"/>
      <c r="DS32" s="19"/>
      <c r="DT32" s="19"/>
      <c r="DU32" s="19"/>
      <c r="DV32" s="19"/>
      <c r="DW32" s="19"/>
      <c r="DX32" s="19"/>
      <c r="DY32" s="19"/>
      <c r="DZ32" s="19"/>
      <c r="EA32" s="19"/>
      <c r="EB32" s="19"/>
      <c r="EC32" s="19"/>
      <c r="ED32" s="19"/>
      <c r="EE32" s="19"/>
      <c r="EF32" s="19"/>
      <c r="EG32" s="19"/>
      <c r="EH32" s="19"/>
      <c r="EI32" s="19"/>
      <c r="EJ32" s="19"/>
      <c r="EK32" s="19"/>
      <c r="EL32" s="19"/>
      <c r="EM32" s="19"/>
      <c r="EN32" s="19"/>
      <c r="EO32" s="19"/>
      <c r="EP32" s="19"/>
      <c r="EQ32" s="19"/>
      <c r="ER32" s="19"/>
      <c r="ES32" s="19"/>
      <c r="ET32" s="19"/>
      <c r="EU32" s="19"/>
      <c r="EV32" s="19"/>
      <c r="EW32" s="19"/>
      <c r="EX32" s="19"/>
      <c r="EY32" s="19"/>
      <c r="EZ32" s="19"/>
      <c r="FA32" s="19"/>
      <c r="FB32" s="19"/>
      <c r="FC32" s="19"/>
      <c r="FD32" s="19"/>
      <c r="FE32" s="19"/>
      <c r="FF32" s="19"/>
      <c r="FG32" s="19"/>
      <c r="FH32" s="19"/>
      <c r="FI32" s="19"/>
    </row>
    <row r="33" spans="1:165" ht="15.75" x14ac:dyDescent="0.3">
      <c r="A33" s="31"/>
      <c r="B33" s="13"/>
      <c r="C33" s="13"/>
      <c r="D33" s="39" t="s">
        <v>40</v>
      </c>
      <c r="E33" s="41">
        <f>E30/Ioutmax*100</f>
        <v>7.9999999999999973</v>
      </c>
      <c r="F33" s="73" t="s">
        <v>22</v>
      </c>
      <c r="G33" s="156"/>
      <c r="H33" s="13"/>
      <c r="I33" s="13"/>
      <c r="J33" s="29"/>
      <c r="K33" s="29"/>
      <c r="L33" s="29"/>
      <c r="M33" s="29"/>
      <c r="N33" s="29"/>
      <c r="O33" s="29"/>
      <c r="P33" s="29"/>
      <c r="Q33" s="29"/>
      <c r="R33" s="29"/>
      <c r="S33" s="30"/>
      <c r="T33" s="18"/>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c r="CJ33" s="19"/>
      <c r="CK33" s="19"/>
      <c r="CL33" s="19"/>
      <c r="CM33" s="19"/>
      <c r="CN33" s="19"/>
      <c r="CO33" s="19"/>
      <c r="CP33" s="19"/>
      <c r="CQ33" s="19"/>
      <c r="CR33" s="19"/>
      <c r="CS33" s="19"/>
      <c r="CT33" s="19"/>
      <c r="CU33" s="19"/>
      <c r="CV33" s="19"/>
      <c r="CW33" s="19"/>
      <c r="CX33" s="19"/>
      <c r="CY33" s="19"/>
      <c r="CZ33" s="19"/>
      <c r="DA33" s="19"/>
      <c r="DB33" s="19"/>
      <c r="DC33" s="19"/>
      <c r="DD33" s="19"/>
      <c r="DE33" s="19"/>
      <c r="DF33" s="19"/>
      <c r="DG33" s="19"/>
      <c r="DH33" s="19"/>
      <c r="DI33" s="19"/>
      <c r="DJ33" s="19"/>
      <c r="DK33" s="19"/>
      <c r="DL33" s="19"/>
      <c r="DM33" s="19"/>
      <c r="DN33" s="19"/>
      <c r="DO33" s="19"/>
      <c r="DP33" s="19"/>
      <c r="DQ33" s="19"/>
      <c r="DR33" s="19"/>
      <c r="DS33" s="19"/>
      <c r="DT33" s="19"/>
      <c r="DU33" s="19"/>
      <c r="DV33" s="19"/>
      <c r="DW33" s="19"/>
      <c r="DX33" s="19"/>
      <c r="DY33" s="19"/>
      <c r="DZ33" s="19"/>
      <c r="EA33" s="19"/>
      <c r="EB33" s="19"/>
      <c r="EC33" s="19"/>
      <c r="ED33" s="19"/>
      <c r="EE33" s="19"/>
      <c r="EF33" s="19"/>
      <c r="EG33" s="19"/>
      <c r="EH33" s="19"/>
      <c r="EI33" s="19"/>
      <c r="EJ33" s="19"/>
      <c r="EK33" s="19"/>
      <c r="EL33" s="19"/>
      <c r="EM33" s="19"/>
      <c r="EN33" s="19"/>
      <c r="EO33" s="19"/>
      <c r="EP33" s="19"/>
      <c r="EQ33" s="19"/>
      <c r="ER33" s="19"/>
      <c r="ES33" s="19"/>
      <c r="ET33" s="19"/>
      <c r="EU33" s="19"/>
      <c r="EV33" s="19"/>
      <c r="EW33" s="19"/>
      <c r="EX33" s="19"/>
      <c r="EY33" s="19"/>
      <c r="EZ33" s="19"/>
      <c r="FA33" s="19"/>
      <c r="FB33" s="19"/>
      <c r="FC33" s="19"/>
      <c r="FD33" s="19"/>
      <c r="FE33" s="19"/>
      <c r="FF33" s="19"/>
      <c r="FG33" s="19"/>
      <c r="FH33" s="19"/>
      <c r="FI33" s="19"/>
    </row>
    <row r="34" spans="1:165" ht="15.75" x14ac:dyDescent="0.3">
      <c r="A34" s="31"/>
      <c r="B34" s="13"/>
      <c r="C34" s="13"/>
      <c r="D34" s="39" t="s">
        <v>41</v>
      </c>
      <c r="E34" s="41">
        <f>E31/Ioutmax*100</f>
        <v>1.0869565217391237</v>
      </c>
      <c r="F34" s="73" t="s">
        <v>22</v>
      </c>
      <c r="G34" s="156"/>
      <c r="H34" s="13"/>
      <c r="I34" s="13"/>
      <c r="J34" s="29"/>
      <c r="K34" s="29"/>
      <c r="L34" s="29"/>
      <c r="M34" s="29"/>
      <c r="N34" s="29"/>
      <c r="O34" s="29"/>
      <c r="P34" s="29"/>
      <c r="Q34" s="29"/>
      <c r="R34" s="29"/>
      <c r="S34" s="30"/>
      <c r="T34" s="18"/>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L34" s="19"/>
      <c r="BM34" s="19"/>
      <c r="BN34" s="19"/>
      <c r="BO34" s="19"/>
      <c r="BP34" s="19"/>
      <c r="BQ34" s="19"/>
      <c r="BR34" s="19"/>
      <c r="BS34" s="19"/>
      <c r="BT34" s="19"/>
      <c r="BU34" s="19"/>
      <c r="BV34" s="19"/>
      <c r="BW34" s="19"/>
      <c r="BX34" s="19"/>
      <c r="BY34" s="19"/>
      <c r="BZ34" s="19"/>
      <c r="CA34" s="19"/>
      <c r="CB34" s="19"/>
      <c r="CC34" s="19"/>
      <c r="CD34" s="19"/>
      <c r="CE34" s="19"/>
      <c r="CF34" s="19"/>
      <c r="CG34" s="19"/>
      <c r="CH34" s="19"/>
      <c r="CI34" s="19"/>
      <c r="CJ34" s="19"/>
      <c r="CK34" s="19"/>
      <c r="CL34" s="19"/>
      <c r="CM34" s="19"/>
      <c r="CN34" s="19"/>
      <c r="CO34" s="19"/>
      <c r="CP34" s="19"/>
      <c r="CQ34" s="19"/>
      <c r="CR34" s="19"/>
      <c r="CS34" s="19"/>
      <c r="CT34" s="19"/>
      <c r="CU34" s="19"/>
      <c r="CV34" s="19"/>
      <c r="CW34" s="19"/>
      <c r="CX34" s="19"/>
      <c r="CY34" s="19"/>
      <c r="CZ34" s="19"/>
      <c r="DA34" s="19"/>
      <c r="DB34" s="19"/>
      <c r="DC34" s="19"/>
      <c r="DD34" s="19"/>
      <c r="DE34" s="19"/>
      <c r="DF34" s="19"/>
      <c r="DG34" s="19"/>
      <c r="DH34" s="19"/>
      <c r="DI34" s="19"/>
      <c r="DJ34" s="19"/>
      <c r="DK34" s="19"/>
      <c r="DL34" s="19"/>
      <c r="DM34" s="19"/>
      <c r="DN34" s="19"/>
      <c r="DO34" s="19"/>
      <c r="DP34" s="19"/>
      <c r="DQ34" s="19"/>
      <c r="DR34" s="19"/>
      <c r="DS34" s="19"/>
      <c r="DT34" s="19"/>
      <c r="DU34" s="19"/>
      <c r="DV34" s="19"/>
      <c r="DW34" s="19"/>
      <c r="DX34" s="19"/>
      <c r="DY34" s="19"/>
      <c r="DZ34" s="19"/>
      <c r="EA34" s="19"/>
      <c r="EB34" s="19"/>
      <c r="EC34" s="19"/>
      <c r="ED34" s="19"/>
      <c r="EE34" s="19"/>
      <c r="EF34" s="19"/>
      <c r="EG34" s="19"/>
      <c r="EH34" s="19"/>
      <c r="EI34" s="19"/>
      <c r="EJ34" s="19"/>
      <c r="EK34" s="19"/>
      <c r="EL34" s="19"/>
      <c r="EM34" s="19"/>
      <c r="EN34" s="19"/>
      <c r="EO34" s="19"/>
      <c r="EP34" s="19"/>
      <c r="EQ34" s="19"/>
      <c r="ER34" s="19"/>
      <c r="ES34" s="19"/>
      <c r="ET34" s="19"/>
      <c r="EU34" s="19"/>
      <c r="EV34" s="19"/>
      <c r="EW34" s="19"/>
      <c r="EX34" s="19"/>
      <c r="EY34" s="19"/>
      <c r="EZ34" s="19"/>
      <c r="FA34" s="19"/>
      <c r="FB34" s="19"/>
      <c r="FC34" s="19"/>
      <c r="FD34" s="19"/>
      <c r="FE34" s="19"/>
      <c r="FF34" s="19"/>
      <c r="FG34" s="19"/>
      <c r="FH34" s="19"/>
      <c r="FI34" s="19"/>
    </row>
    <row r="35" spans="1:165" ht="15.75" x14ac:dyDescent="0.3">
      <c r="A35" s="31"/>
      <c r="B35" s="13"/>
      <c r="C35" s="13"/>
      <c r="D35" s="39" t="s">
        <v>42</v>
      </c>
      <c r="E35" s="41">
        <f>E32/Ioutmax*100</f>
        <v>8.3333333333333357</v>
      </c>
      <c r="F35" s="73" t="s">
        <v>22</v>
      </c>
      <c r="G35" s="156"/>
      <c r="H35" s="13"/>
      <c r="I35" s="13"/>
      <c r="J35" s="29"/>
      <c r="K35" s="29"/>
      <c r="L35" s="29"/>
      <c r="M35" s="29"/>
      <c r="N35" s="29"/>
      <c r="O35" s="29"/>
      <c r="P35" s="29"/>
      <c r="Q35" s="29"/>
      <c r="R35" s="29"/>
      <c r="S35" s="30"/>
      <c r="T35" s="18"/>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c r="BM35" s="19"/>
      <c r="BN35" s="19"/>
      <c r="BO35" s="19"/>
      <c r="BP35" s="19"/>
      <c r="BQ35" s="19"/>
      <c r="BR35" s="19"/>
      <c r="BS35" s="19"/>
      <c r="BT35" s="19"/>
      <c r="BU35" s="19"/>
      <c r="BV35" s="19"/>
      <c r="BW35" s="19"/>
      <c r="BX35" s="19"/>
      <c r="BY35" s="19"/>
      <c r="BZ35" s="19"/>
      <c r="CA35" s="19"/>
      <c r="CB35" s="19"/>
      <c r="CC35" s="19"/>
      <c r="CD35" s="19"/>
      <c r="CE35" s="19"/>
      <c r="CF35" s="19"/>
      <c r="CG35" s="19"/>
      <c r="CH35" s="19"/>
      <c r="CI35" s="19"/>
      <c r="CJ35" s="19"/>
      <c r="CK35" s="19"/>
      <c r="CL35" s="19"/>
      <c r="CM35" s="19"/>
      <c r="CN35" s="19"/>
      <c r="CO35" s="19"/>
      <c r="CP35" s="19"/>
      <c r="CQ35" s="19"/>
      <c r="CR35" s="19"/>
      <c r="CS35" s="19"/>
      <c r="CT35" s="19"/>
      <c r="CU35" s="19"/>
      <c r="CV35" s="19"/>
      <c r="CW35" s="19"/>
      <c r="CX35" s="19"/>
      <c r="CY35" s="19"/>
      <c r="CZ35" s="19"/>
      <c r="DA35" s="19"/>
      <c r="DB35" s="19"/>
      <c r="DC35" s="19"/>
      <c r="DD35" s="19"/>
      <c r="DE35" s="19"/>
      <c r="DF35" s="19"/>
      <c r="DG35" s="19"/>
      <c r="DH35" s="19"/>
      <c r="DI35" s="19"/>
      <c r="DJ35" s="19"/>
      <c r="DK35" s="19"/>
      <c r="DL35" s="19"/>
      <c r="DM35" s="19"/>
      <c r="DN35" s="19"/>
      <c r="DO35" s="19"/>
      <c r="DP35" s="19"/>
      <c r="DQ35" s="19"/>
      <c r="DR35" s="19"/>
      <c r="DS35" s="19"/>
      <c r="DT35" s="19"/>
      <c r="DU35" s="19"/>
      <c r="DV35" s="19"/>
      <c r="DW35" s="19"/>
      <c r="DX35" s="19"/>
      <c r="DY35" s="19"/>
      <c r="DZ35" s="19"/>
      <c r="EA35" s="19"/>
      <c r="EB35" s="19"/>
      <c r="EC35" s="19"/>
      <c r="ED35" s="19"/>
      <c r="EE35" s="19"/>
      <c r="EF35" s="19"/>
      <c r="EG35" s="19"/>
      <c r="EH35" s="19"/>
      <c r="EI35" s="19"/>
      <c r="EJ35" s="19"/>
      <c r="EK35" s="19"/>
      <c r="EL35" s="19"/>
      <c r="EM35" s="19"/>
      <c r="EN35" s="19"/>
      <c r="EO35" s="19"/>
      <c r="EP35" s="19"/>
      <c r="EQ35" s="19"/>
      <c r="ER35" s="19"/>
      <c r="ES35" s="19"/>
      <c r="ET35" s="19"/>
      <c r="EU35" s="19"/>
      <c r="EV35" s="19"/>
      <c r="EW35" s="19"/>
      <c r="EX35" s="19"/>
      <c r="EY35" s="19"/>
      <c r="EZ35" s="19"/>
      <c r="FA35" s="19"/>
      <c r="FB35" s="19"/>
      <c r="FC35" s="19"/>
      <c r="FD35" s="19"/>
      <c r="FE35" s="19"/>
      <c r="FF35" s="19"/>
      <c r="FG35" s="19"/>
      <c r="FH35" s="19"/>
      <c r="FI35" s="19"/>
    </row>
    <row r="36" spans="1:165" ht="16.5" thickBot="1" x14ac:dyDescent="0.35">
      <c r="A36" s="33"/>
      <c r="B36" s="34"/>
      <c r="C36" s="34"/>
      <c r="D36" s="43" t="s">
        <v>43</v>
      </c>
      <c r="E36" s="44">
        <f>ILmax+VACmin*(Vbat-VACmin)/(2*L*10^-6*Fsw*10^3*Vbat)</f>
        <v>51.44</v>
      </c>
      <c r="F36" s="74" t="s">
        <v>12</v>
      </c>
      <c r="G36" s="156"/>
      <c r="H36" s="13"/>
      <c r="I36" s="13"/>
      <c r="J36" s="29"/>
      <c r="K36" s="29"/>
      <c r="L36" s="29"/>
      <c r="M36" s="29"/>
      <c r="N36" s="29"/>
      <c r="O36" s="29"/>
      <c r="P36" s="29"/>
      <c r="Q36" s="29"/>
      <c r="R36" s="29"/>
      <c r="S36" s="30"/>
      <c r="T36" s="18"/>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c r="BM36" s="19"/>
      <c r="BN36" s="19"/>
      <c r="BO36" s="19"/>
      <c r="BP36" s="19"/>
      <c r="BQ36" s="19"/>
      <c r="BR36" s="19"/>
      <c r="BS36" s="19"/>
      <c r="BT36" s="19"/>
      <c r="BU36" s="19"/>
      <c r="BV36" s="19"/>
      <c r="BW36" s="19"/>
      <c r="BX36" s="19"/>
      <c r="BY36" s="19"/>
      <c r="BZ36" s="19"/>
      <c r="CA36" s="19"/>
      <c r="CB36" s="19"/>
      <c r="CC36" s="19"/>
      <c r="CD36" s="19"/>
      <c r="CE36" s="19"/>
      <c r="CF36" s="19"/>
      <c r="CG36" s="19"/>
      <c r="CH36" s="19"/>
      <c r="CI36" s="19"/>
      <c r="CJ36" s="19"/>
      <c r="CK36" s="19"/>
      <c r="CL36" s="19"/>
      <c r="CM36" s="19"/>
      <c r="CN36" s="19"/>
      <c r="CO36" s="19"/>
      <c r="CP36" s="19"/>
      <c r="CQ36" s="19"/>
      <c r="CR36" s="19"/>
      <c r="CS36" s="19"/>
      <c r="CT36" s="19"/>
      <c r="CU36" s="19"/>
      <c r="CV36" s="19"/>
      <c r="CW36" s="19"/>
      <c r="CX36" s="19"/>
      <c r="CY36" s="19"/>
      <c r="CZ36" s="19"/>
      <c r="DA36" s="19"/>
      <c r="DB36" s="19"/>
      <c r="DC36" s="19"/>
      <c r="DD36" s="19"/>
      <c r="DE36" s="19"/>
      <c r="DF36" s="19"/>
      <c r="DG36" s="19"/>
      <c r="DH36" s="19"/>
      <c r="DI36" s="19"/>
      <c r="DJ36" s="19"/>
      <c r="DK36" s="19"/>
      <c r="DL36" s="19"/>
      <c r="DM36" s="19"/>
      <c r="DN36" s="19"/>
      <c r="DO36" s="19"/>
      <c r="DP36" s="19"/>
      <c r="DQ36" s="19"/>
      <c r="DR36" s="19"/>
      <c r="DS36" s="19"/>
      <c r="DT36" s="19"/>
      <c r="DU36" s="19"/>
      <c r="DV36" s="19"/>
      <c r="DW36" s="19"/>
      <c r="DX36" s="19"/>
      <c r="DY36" s="19"/>
      <c r="DZ36" s="19"/>
      <c r="EA36" s="19"/>
      <c r="EB36" s="19"/>
      <c r="EC36" s="19"/>
      <c r="ED36" s="19"/>
      <c r="EE36" s="19"/>
      <c r="EF36" s="19"/>
      <c r="EG36" s="19"/>
      <c r="EH36" s="19"/>
      <c r="EI36" s="19"/>
      <c r="EJ36" s="19"/>
      <c r="EK36" s="19"/>
      <c r="EL36" s="19"/>
      <c r="EM36" s="19"/>
      <c r="EN36" s="19"/>
      <c r="EO36" s="19"/>
      <c r="EP36" s="19"/>
      <c r="EQ36" s="19"/>
      <c r="ER36" s="19"/>
      <c r="ES36" s="19"/>
      <c r="ET36" s="19"/>
      <c r="EU36" s="19"/>
      <c r="EV36" s="19"/>
      <c r="EW36" s="19"/>
      <c r="EX36" s="19"/>
      <c r="EY36" s="19"/>
      <c r="EZ36" s="19"/>
      <c r="FA36" s="19"/>
      <c r="FB36" s="19"/>
      <c r="FC36" s="19"/>
      <c r="FD36" s="19"/>
      <c r="FE36" s="19"/>
      <c r="FF36" s="19"/>
      <c r="FG36" s="19"/>
      <c r="FH36" s="19"/>
      <c r="FI36" s="19"/>
    </row>
    <row r="37" spans="1:165" x14ac:dyDescent="0.25">
      <c r="A37" s="31"/>
      <c r="B37" s="13"/>
      <c r="C37" s="13"/>
      <c r="D37" s="13"/>
      <c r="E37" s="13"/>
      <c r="F37" s="127"/>
      <c r="G37" s="156"/>
      <c r="H37" s="13"/>
      <c r="I37" s="13"/>
      <c r="J37" s="29"/>
      <c r="K37" s="29"/>
      <c r="L37" s="29"/>
      <c r="M37" s="29"/>
      <c r="N37" s="29"/>
      <c r="O37" s="29"/>
      <c r="P37" s="29"/>
      <c r="Q37" s="29"/>
      <c r="R37" s="29"/>
      <c r="S37" s="30"/>
      <c r="T37" s="18"/>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c r="BM37" s="19"/>
      <c r="BN37" s="19"/>
      <c r="BO37" s="19"/>
      <c r="BP37" s="19"/>
      <c r="BQ37" s="19"/>
      <c r="BR37" s="19"/>
      <c r="BS37" s="19"/>
      <c r="BT37" s="19"/>
      <c r="BU37" s="19"/>
      <c r="BV37" s="19"/>
      <c r="BW37" s="19"/>
      <c r="BX37" s="19"/>
      <c r="BY37" s="19"/>
      <c r="BZ37" s="19"/>
      <c r="CA37" s="19"/>
      <c r="CB37" s="19"/>
      <c r="CC37" s="19"/>
      <c r="CD37" s="19"/>
      <c r="CE37" s="19"/>
      <c r="CF37" s="19"/>
      <c r="CG37" s="19"/>
      <c r="CH37" s="19"/>
      <c r="CI37" s="19"/>
      <c r="CJ37" s="19"/>
      <c r="CK37" s="19"/>
      <c r="CL37" s="19"/>
      <c r="CM37" s="19"/>
      <c r="CN37" s="19"/>
      <c r="CO37" s="19"/>
      <c r="CP37" s="19"/>
      <c r="CQ37" s="19"/>
      <c r="CR37" s="19"/>
      <c r="CS37" s="19"/>
      <c r="CT37" s="19"/>
      <c r="CU37" s="19"/>
      <c r="CV37" s="19"/>
      <c r="CW37" s="19"/>
      <c r="CX37" s="19"/>
      <c r="CY37" s="19"/>
      <c r="CZ37" s="19"/>
      <c r="DA37" s="19"/>
      <c r="DB37" s="19"/>
      <c r="DC37" s="19"/>
      <c r="DD37" s="19"/>
      <c r="DE37" s="19"/>
      <c r="DF37" s="19"/>
      <c r="DG37" s="19"/>
      <c r="DH37" s="19"/>
      <c r="DI37" s="19"/>
      <c r="DJ37" s="19"/>
      <c r="DK37" s="19"/>
      <c r="DL37" s="19"/>
      <c r="DM37" s="19"/>
      <c r="DN37" s="19"/>
      <c r="DO37" s="19"/>
      <c r="DP37" s="19"/>
      <c r="DQ37" s="19"/>
      <c r="DR37" s="19"/>
      <c r="DS37" s="19"/>
      <c r="DT37" s="19"/>
      <c r="DU37" s="19"/>
      <c r="DV37" s="19"/>
      <c r="DW37" s="19"/>
      <c r="DX37" s="19"/>
      <c r="DY37" s="19"/>
      <c r="DZ37" s="19"/>
      <c r="EA37" s="19"/>
      <c r="EB37" s="19"/>
      <c r="EC37" s="19"/>
      <c r="ED37" s="19"/>
      <c r="EE37" s="19"/>
      <c r="EF37" s="19"/>
      <c r="EG37" s="19"/>
      <c r="EH37" s="19"/>
      <c r="EI37" s="19"/>
      <c r="EJ37" s="19"/>
      <c r="EK37" s="19"/>
      <c r="EL37" s="19"/>
      <c r="EM37" s="19"/>
      <c r="EN37" s="19"/>
      <c r="EO37" s="19"/>
      <c r="EP37" s="19"/>
      <c r="EQ37" s="19"/>
      <c r="ER37" s="19"/>
      <c r="ES37" s="19"/>
      <c r="ET37" s="19"/>
      <c r="EU37" s="19"/>
      <c r="EV37" s="19"/>
      <c r="EW37" s="19"/>
      <c r="EX37" s="19"/>
      <c r="EY37" s="19"/>
      <c r="EZ37" s="19"/>
      <c r="FA37" s="19"/>
      <c r="FB37" s="19"/>
      <c r="FC37" s="19"/>
      <c r="FD37" s="19"/>
      <c r="FE37" s="19"/>
      <c r="FF37" s="19"/>
      <c r="FG37" s="19"/>
      <c r="FH37" s="19"/>
      <c r="FI37" s="19"/>
    </row>
    <row r="38" spans="1:165" ht="15.75" thickBot="1" x14ac:dyDescent="0.3">
      <c r="A38" s="36" t="s">
        <v>44</v>
      </c>
      <c r="B38" s="13"/>
      <c r="C38" s="13"/>
      <c r="D38" s="13"/>
      <c r="E38" s="13"/>
      <c r="F38" s="127"/>
      <c r="G38" s="156"/>
      <c r="H38" s="13"/>
      <c r="I38" s="13"/>
      <c r="J38" s="29"/>
      <c r="K38" s="29"/>
      <c r="L38" s="29"/>
      <c r="M38" s="29"/>
      <c r="N38" s="29"/>
      <c r="O38" s="29"/>
      <c r="P38" s="29"/>
      <c r="Q38" s="29"/>
      <c r="R38" s="29"/>
      <c r="S38" s="30"/>
      <c r="T38" s="18"/>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c r="BE38" s="19"/>
      <c r="BF38" s="19"/>
      <c r="BG38" s="19"/>
      <c r="BH38" s="19"/>
      <c r="BI38" s="19"/>
      <c r="BJ38" s="19"/>
      <c r="BK38" s="19"/>
      <c r="BL38" s="19"/>
      <c r="BM38" s="19"/>
      <c r="BN38" s="19"/>
      <c r="BO38" s="19"/>
      <c r="BP38" s="19"/>
      <c r="BQ38" s="19"/>
      <c r="BR38" s="19"/>
      <c r="BS38" s="19"/>
      <c r="BT38" s="19"/>
      <c r="BU38" s="19"/>
      <c r="BV38" s="19"/>
      <c r="BW38" s="19"/>
      <c r="BX38" s="19"/>
      <c r="BY38" s="19"/>
      <c r="BZ38" s="19"/>
      <c r="CA38" s="19"/>
      <c r="CB38" s="19"/>
      <c r="CC38" s="19"/>
      <c r="CD38" s="19"/>
      <c r="CE38" s="19"/>
      <c r="CF38" s="19"/>
      <c r="CG38" s="19"/>
      <c r="CH38" s="19"/>
      <c r="CI38" s="19"/>
      <c r="CJ38" s="19"/>
      <c r="CK38" s="19"/>
      <c r="CL38" s="19"/>
      <c r="CM38" s="19"/>
      <c r="CN38" s="19"/>
      <c r="CO38" s="19"/>
      <c r="CP38" s="19"/>
      <c r="CQ38" s="19"/>
      <c r="CR38" s="19"/>
      <c r="CS38" s="19"/>
      <c r="CT38" s="19"/>
      <c r="CU38" s="19"/>
      <c r="CV38" s="19"/>
      <c r="CW38" s="19"/>
      <c r="CX38" s="19"/>
      <c r="CY38" s="19"/>
      <c r="CZ38" s="19"/>
      <c r="DA38" s="19"/>
      <c r="DB38" s="19"/>
      <c r="DC38" s="19"/>
      <c r="DD38" s="19"/>
      <c r="DE38" s="19"/>
      <c r="DF38" s="19"/>
      <c r="DG38" s="19"/>
      <c r="DH38" s="19"/>
      <c r="DI38" s="19"/>
      <c r="DJ38" s="19"/>
      <c r="DK38" s="19"/>
      <c r="DL38" s="19"/>
      <c r="DM38" s="19"/>
      <c r="DN38" s="19"/>
      <c r="DO38" s="19"/>
      <c r="DP38" s="19"/>
      <c r="DQ38" s="19"/>
      <c r="DR38" s="19"/>
      <c r="DS38" s="19"/>
      <c r="DT38" s="19"/>
      <c r="DU38" s="19"/>
      <c r="DV38" s="19"/>
      <c r="DW38" s="19"/>
      <c r="DX38" s="19"/>
      <c r="DY38" s="19"/>
      <c r="DZ38" s="19"/>
      <c r="EA38" s="19"/>
      <c r="EB38" s="19"/>
      <c r="EC38" s="19"/>
      <c r="ED38" s="19"/>
      <c r="EE38" s="19"/>
      <c r="EF38" s="19"/>
      <c r="EG38" s="19"/>
      <c r="EH38" s="19"/>
      <c r="EI38" s="19"/>
      <c r="EJ38" s="19"/>
      <c r="EK38" s="19"/>
      <c r="EL38" s="19"/>
      <c r="EM38" s="19"/>
      <c r="EN38" s="19"/>
      <c r="EO38" s="19"/>
      <c r="EP38" s="19"/>
      <c r="EQ38" s="19"/>
      <c r="ER38" s="19"/>
      <c r="ES38" s="19"/>
      <c r="ET38" s="19"/>
      <c r="EU38" s="19"/>
      <c r="EV38" s="19"/>
      <c r="EW38" s="19"/>
      <c r="EX38" s="19"/>
      <c r="EY38" s="19"/>
      <c r="EZ38" s="19"/>
      <c r="FA38" s="19"/>
      <c r="FB38" s="19"/>
      <c r="FC38" s="19"/>
      <c r="FD38" s="19"/>
      <c r="FE38" s="19"/>
      <c r="FF38" s="19"/>
      <c r="FG38" s="19"/>
      <c r="FH38" s="19"/>
      <c r="FI38" s="19"/>
    </row>
    <row r="39" spans="1:165" ht="15.75" x14ac:dyDescent="0.3">
      <c r="A39" s="22"/>
      <c r="B39" s="23"/>
      <c r="C39" s="23"/>
      <c r="D39" s="37" t="s">
        <v>45</v>
      </c>
      <c r="E39" s="154" t="str">
        <f>"2-5"</f>
        <v>2-5</v>
      </c>
      <c r="F39" s="72" t="s">
        <v>33</v>
      </c>
      <c r="G39" s="156"/>
      <c r="H39" s="13"/>
      <c r="I39" s="13"/>
      <c r="J39" s="29"/>
      <c r="K39" s="29"/>
      <c r="L39" s="29"/>
      <c r="M39" s="29"/>
      <c r="N39" s="29"/>
      <c r="O39" s="29"/>
      <c r="P39" s="29"/>
      <c r="Q39" s="29"/>
      <c r="R39" s="29"/>
      <c r="S39" s="30"/>
      <c r="T39" s="18"/>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c r="BM39" s="19"/>
      <c r="BN39" s="19"/>
      <c r="BO39" s="19"/>
      <c r="BP39" s="19"/>
      <c r="BQ39" s="19"/>
      <c r="BR39" s="19"/>
      <c r="BS39" s="19"/>
      <c r="BT39" s="19"/>
      <c r="BU39" s="19"/>
      <c r="BV39" s="19"/>
      <c r="BW39" s="19"/>
      <c r="BX39" s="19"/>
      <c r="BY39" s="19"/>
      <c r="BZ39" s="19"/>
      <c r="CA39" s="19"/>
      <c r="CB39" s="19"/>
      <c r="CC39" s="19"/>
      <c r="CD39" s="19"/>
      <c r="CE39" s="19"/>
      <c r="CF39" s="19"/>
      <c r="CG39" s="19"/>
      <c r="CH39" s="19"/>
      <c r="CI39" s="19"/>
      <c r="CJ39" s="19"/>
      <c r="CK39" s="19"/>
      <c r="CL39" s="19"/>
      <c r="CM39" s="19"/>
      <c r="CN39" s="19"/>
      <c r="CO39" s="19"/>
      <c r="CP39" s="19"/>
      <c r="CQ39" s="19"/>
      <c r="CR39" s="19"/>
      <c r="CS39" s="19"/>
      <c r="CT39" s="19"/>
      <c r="CU39" s="19"/>
      <c r="CV39" s="19"/>
      <c r="CW39" s="19"/>
      <c r="CX39" s="19"/>
      <c r="CY39" s="19"/>
      <c r="CZ39" s="19"/>
      <c r="DA39" s="19"/>
      <c r="DB39" s="19"/>
      <c r="DC39" s="19"/>
      <c r="DD39" s="19"/>
      <c r="DE39" s="19"/>
      <c r="DF39" s="19"/>
      <c r="DG39" s="19"/>
      <c r="DH39" s="19"/>
      <c r="DI39" s="19"/>
      <c r="DJ39" s="19"/>
      <c r="DK39" s="19"/>
      <c r="DL39" s="19"/>
      <c r="DM39" s="19"/>
      <c r="DN39" s="19"/>
      <c r="DO39" s="19"/>
      <c r="DP39" s="19"/>
      <c r="DQ39" s="19"/>
      <c r="DR39" s="19"/>
      <c r="DS39" s="19"/>
      <c r="DT39" s="19"/>
      <c r="DU39" s="19"/>
      <c r="DV39" s="19"/>
      <c r="DW39" s="19"/>
      <c r="DX39" s="19"/>
      <c r="DY39" s="19"/>
      <c r="DZ39" s="19"/>
      <c r="EA39" s="19"/>
      <c r="EB39" s="19"/>
      <c r="EC39" s="19"/>
      <c r="ED39" s="19"/>
      <c r="EE39" s="19"/>
      <c r="EF39" s="19"/>
      <c r="EG39" s="19"/>
      <c r="EH39" s="19"/>
      <c r="EI39" s="19"/>
      <c r="EJ39" s="19"/>
      <c r="EK39" s="19"/>
      <c r="EL39" s="19"/>
      <c r="EM39" s="19"/>
      <c r="EN39" s="19"/>
      <c r="EO39" s="19"/>
      <c r="EP39" s="19"/>
      <c r="EQ39" s="19"/>
      <c r="ER39" s="19"/>
      <c r="ES39" s="19"/>
      <c r="ET39" s="19"/>
      <c r="EU39" s="19"/>
      <c r="EV39" s="19"/>
      <c r="EW39" s="19"/>
      <c r="EX39" s="19"/>
      <c r="EY39" s="19"/>
      <c r="EZ39" s="19"/>
      <c r="FA39" s="19"/>
      <c r="FB39" s="19"/>
      <c r="FC39" s="19"/>
      <c r="FD39" s="19"/>
      <c r="FE39" s="19"/>
      <c r="FF39" s="19"/>
      <c r="FG39" s="19"/>
      <c r="FH39" s="19"/>
      <c r="FI39" s="19"/>
    </row>
    <row r="40" spans="1:165" x14ac:dyDescent="0.25">
      <c r="A40" s="36"/>
      <c r="B40" s="13"/>
      <c r="C40" s="13"/>
      <c r="D40" s="32" t="s">
        <v>46</v>
      </c>
      <c r="E40" s="69">
        <v>2</v>
      </c>
      <c r="F40" s="129" t="s">
        <v>33</v>
      </c>
      <c r="G40" s="157" t="str">
        <f>_xlfn.CONCAT(E40, " ",F40)</f>
        <v>2 mΩ</v>
      </c>
      <c r="H40" s="13"/>
      <c r="I40" s="13"/>
      <c r="J40" s="29"/>
      <c r="K40" s="29"/>
      <c r="L40" s="29"/>
      <c r="M40" s="29"/>
      <c r="N40" s="29"/>
      <c r="O40" s="29"/>
      <c r="P40" s="29"/>
      <c r="Q40" s="29"/>
      <c r="R40" s="29"/>
      <c r="S40" s="30"/>
      <c r="T40" s="18"/>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c r="BE40" s="19"/>
      <c r="BF40" s="19"/>
      <c r="BG40" s="19"/>
      <c r="BH40" s="19"/>
      <c r="BI40" s="19"/>
      <c r="BJ40" s="19"/>
      <c r="BK40" s="19"/>
      <c r="BL40" s="19"/>
      <c r="BM40" s="19"/>
      <c r="BN40" s="19"/>
      <c r="BO40" s="19"/>
      <c r="BP40" s="19"/>
      <c r="BQ40" s="19"/>
      <c r="BR40" s="19"/>
      <c r="BS40" s="19"/>
      <c r="BT40" s="19"/>
      <c r="BU40" s="19"/>
      <c r="BV40" s="19"/>
      <c r="BW40" s="19"/>
      <c r="BX40" s="19"/>
      <c r="BY40" s="19"/>
      <c r="BZ40" s="19"/>
      <c r="CA40" s="19"/>
      <c r="CB40" s="19"/>
      <c r="CC40" s="19"/>
      <c r="CD40" s="19"/>
      <c r="CE40" s="19"/>
      <c r="CF40" s="19"/>
      <c r="CG40" s="19"/>
      <c r="CH40" s="19"/>
      <c r="CI40" s="19"/>
      <c r="CJ40" s="19"/>
      <c r="CK40" s="19"/>
      <c r="CL40" s="19"/>
      <c r="CM40" s="19"/>
      <c r="CN40" s="19"/>
      <c r="CO40" s="19"/>
      <c r="CP40" s="19"/>
      <c r="CQ40" s="19"/>
      <c r="CR40" s="19"/>
      <c r="CS40" s="19"/>
      <c r="CT40" s="19"/>
      <c r="CU40" s="19"/>
      <c r="CV40" s="19"/>
      <c r="CW40" s="19"/>
      <c r="CX40" s="19"/>
      <c r="CY40" s="19"/>
      <c r="CZ40" s="19"/>
      <c r="DA40" s="19"/>
      <c r="DB40" s="19"/>
      <c r="DC40" s="19"/>
      <c r="DD40" s="19"/>
      <c r="DE40" s="19"/>
      <c r="DF40" s="19"/>
      <c r="DG40" s="19"/>
      <c r="DH40" s="19"/>
      <c r="DI40" s="19"/>
      <c r="DJ40" s="19"/>
      <c r="DK40" s="19"/>
      <c r="DL40" s="19"/>
      <c r="DM40" s="19"/>
      <c r="DN40" s="19"/>
      <c r="DO40" s="19"/>
      <c r="DP40" s="19"/>
      <c r="DQ40" s="19"/>
      <c r="DR40" s="19"/>
      <c r="DS40" s="19"/>
      <c r="DT40" s="19"/>
      <c r="DU40" s="19"/>
      <c r="DV40" s="19"/>
      <c r="DW40" s="19"/>
      <c r="DX40" s="19"/>
      <c r="DY40" s="19"/>
      <c r="DZ40" s="19"/>
      <c r="EA40" s="19"/>
      <c r="EB40" s="19"/>
      <c r="EC40" s="19"/>
      <c r="ED40" s="19"/>
      <c r="EE40" s="19"/>
      <c r="EF40" s="19"/>
      <c r="EG40" s="19"/>
      <c r="EH40" s="19"/>
      <c r="EI40" s="19"/>
      <c r="EJ40" s="19"/>
      <c r="EK40" s="19"/>
      <c r="EL40" s="19"/>
      <c r="EM40" s="19"/>
      <c r="EN40" s="19"/>
      <c r="EO40" s="19"/>
      <c r="EP40" s="19"/>
      <c r="EQ40" s="19"/>
      <c r="ER40" s="19"/>
      <c r="ES40" s="19"/>
      <c r="ET40" s="19"/>
      <c r="EU40" s="19"/>
      <c r="EV40" s="19"/>
      <c r="EW40" s="19"/>
      <c r="EX40" s="19"/>
      <c r="EY40" s="19"/>
      <c r="EZ40" s="19"/>
      <c r="FA40" s="19"/>
      <c r="FB40" s="19"/>
      <c r="FC40" s="19"/>
      <c r="FD40" s="19"/>
      <c r="FE40" s="19"/>
      <c r="FF40" s="19"/>
      <c r="FG40" s="19"/>
      <c r="FH40" s="19"/>
      <c r="FI40" s="19"/>
    </row>
    <row r="41" spans="1:165" ht="15.75" x14ac:dyDescent="0.3">
      <c r="A41" s="36"/>
      <c r="B41" s="13"/>
      <c r="C41" s="13"/>
      <c r="D41" s="39" t="s">
        <v>47</v>
      </c>
      <c r="E41" s="51">
        <f>IF(RAC_SNS=0, "Disabled", 50*2/RAC_SNS)</f>
        <v>50</v>
      </c>
      <c r="F41" s="73" t="s">
        <v>12</v>
      </c>
      <c r="G41" s="156"/>
      <c r="H41" s="13"/>
      <c r="I41" s="13"/>
      <c r="J41" s="29"/>
      <c r="K41" s="29"/>
      <c r="L41" s="29"/>
      <c r="M41" s="29"/>
      <c r="N41" s="29"/>
      <c r="O41" s="29"/>
      <c r="P41" s="29"/>
      <c r="Q41" s="29"/>
      <c r="R41" s="29"/>
      <c r="S41" s="30"/>
      <c r="T41" s="18"/>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c r="BM41" s="19"/>
      <c r="BN41" s="19"/>
      <c r="BO41" s="19"/>
      <c r="BP41" s="19"/>
      <c r="BQ41" s="19"/>
      <c r="BR41" s="19"/>
      <c r="BS41" s="19"/>
      <c r="BT41" s="19"/>
      <c r="BU41" s="19"/>
      <c r="BV41" s="19"/>
      <c r="BW41" s="19"/>
      <c r="BX41" s="19"/>
      <c r="BY41" s="19"/>
      <c r="BZ41" s="19"/>
      <c r="CA41" s="19"/>
      <c r="CB41" s="19"/>
      <c r="CC41" s="19"/>
      <c r="CD41" s="19"/>
      <c r="CE41" s="19"/>
      <c r="CF41" s="19"/>
      <c r="CG41" s="19"/>
      <c r="CH41" s="19"/>
      <c r="CI41" s="19"/>
      <c r="CJ41" s="19"/>
      <c r="CK41" s="19"/>
      <c r="CL41" s="19"/>
      <c r="CM41" s="19"/>
      <c r="CN41" s="19"/>
      <c r="CO41" s="19"/>
      <c r="CP41" s="19"/>
      <c r="CQ41" s="19"/>
      <c r="CR41" s="19"/>
      <c r="CS41" s="19"/>
      <c r="CT41" s="19"/>
      <c r="CU41" s="19"/>
      <c r="CV41" s="19"/>
      <c r="CW41" s="19"/>
      <c r="CX41" s="19"/>
      <c r="CY41" s="19"/>
      <c r="CZ41" s="19"/>
      <c r="DA41" s="19"/>
      <c r="DB41" s="19"/>
      <c r="DC41" s="19"/>
      <c r="DD41" s="19"/>
      <c r="DE41" s="19"/>
      <c r="DF41" s="19"/>
      <c r="DG41" s="19"/>
      <c r="DH41" s="19"/>
      <c r="DI41" s="19"/>
      <c r="DJ41" s="19"/>
      <c r="DK41" s="19"/>
      <c r="DL41" s="19"/>
      <c r="DM41" s="19"/>
      <c r="DN41" s="19"/>
      <c r="DO41" s="19"/>
      <c r="DP41" s="19"/>
      <c r="DQ41" s="19"/>
      <c r="DR41" s="19"/>
      <c r="DS41" s="19"/>
      <c r="DT41" s="19"/>
      <c r="DU41" s="19"/>
      <c r="DV41" s="19"/>
      <c r="DW41" s="19"/>
      <c r="DX41" s="19"/>
      <c r="DY41" s="19"/>
      <c r="DZ41" s="19"/>
      <c r="EA41" s="19"/>
      <c r="EB41" s="19"/>
      <c r="EC41" s="19"/>
      <c r="ED41" s="19"/>
      <c r="EE41" s="19"/>
      <c r="EF41" s="19"/>
      <c r="EG41" s="19"/>
      <c r="EH41" s="19"/>
      <c r="EI41" s="19"/>
      <c r="EJ41" s="19"/>
      <c r="EK41" s="19"/>
      <c r="EL41" s="19"/>
      <c r="EM41" s="19"/>
      <c r="EN41" s="19"/>
      <c r="EO41" s="19"/>
      <c r="EP41" s="19"/>
      <c r="EQ41" s="19"/>
      <c r="ER41" s="19"/>
      <c r="ES41" s="19"/>
      <c r="ET41" s="19"/>
      <c r="EU41" s="19"/>
      <c r="EV41" s="19"/>
      <c r="EW41" s="19"/>
      <c r="EX41" s="19"/>
      <c r="EY41" s="19"/>
      <c r="EZ41" s="19"/>
      <c r="FA41" s="19"/>
      <c r="FB41" s="19"/>
      <c r="FC41" s="19"/>
      <c r="FD41" s="19"/>
      <c r="FE41" s="19"/>
      <c r="FF41" s="19"/>
      <c r="FG41" s="19"/>
      <c r="FH41" s="19"/>
      <c r="FI41" s="19"/>
    </row>
    <row r="42" spans="1:165" ht="15.75" x14ac:dyDescent="0.3">
      <c r="A42" s="36"/>
      <c r="B42" s="13"/>
      <c r="C42" s="13"/>
      <c r="D42" s="39" t="s">
        <v>48</v>
      </c>
      <c r="E42" s="51">
        <f>IF(RAC_SNS=0,"Disabled",125*2/RAC_SNS)</f>
        <v>125</v>
      </c>
      <c r="F42" s="73" t="s">
        <v>49</v>
      </c>
      <c r="G42" s="156"/>
      <c r="H42" s="13"/>
      <c r="I42" s="13"/>
      <c r="J42" s="29"/>
      <c r="K42" s="29"/>
      <c r="L42" s="29"/>
      <c r="M42" s="29"/>
      <c r="N42" s="29"/>
      <c r="O42" s="29"/>
      <c r="P42" s="29"/>
      <c r="Q42" s="29"/>
      <c r="R42" s="29"/>
      <c r="S42" s="30"/>
      <c r="T42" s="18"/>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c r="BM42" s="19"/>
      <c r="BN42" s="19"/>
      <c r="BO42" s="19"/>
      <c r="BP42" s="19"/>
      <c r="BQ42" s="19"/>
      <c r="BR42" s="19"/>
      <c r="BS42" s="19"/>
      <c r="BT42" s="19"/>
      <c r="BU42" s="19"/>
      <c r="BV42" s="19"/>
      <c r="BW42" s="19"/>
      <c r="BX42" s="19"/>
      <c r="BY42" s="19"/>
      <c r="BZ42" s="19"/>
      <c r="CA42" s="19"/>
      <c r="CB42" s="19"/>
      <c r="CC42" s="19"/>
      <c r="CD42" s="19"/>
      <c r="CE42" s="19"/>
      <c r="CF42" s="19"/>
      <c r="CG42" s="19"/>
      <c r="CH42" s="19"/>
      <c r="CI42" s="19"/>
      <c r="CJ42" s="19"/>
      <c r="CK42" s="19"/>
      <c r="CL42" s="19"/>
      <c r="CM42" s="19"/>
      <c r="CN42" s="19"/>
      <c r="CO42" s="19"/>
      <c r="CP42" s="19"/>
      <c r="CQ42" s="19"/>
      <c r="CR42" s="19"/>
      <c r="CS42" s="19"/>
      <c r="CT42" s="19"/>
      <c r="CU42" s="19"/>
      <c r="CV42" s="19"/>
      <c r="CW42" s="19"/>
      <c r="CX42" s="19"/>
      <c r="CY42" s="19"/>
      <c r="CZ42" s="19"/>
      <c r="DA42" s="19"/>
      <c r="DB42" s="19"/>
      <c r="DC42" s="19"/>
      <c r="DD42" s="19"/>
      <c r="DE42" s="19"/>
      <c r="DF42" s="19"/>
      <c r="DG42" s="19"/>
      <c r="DH42" s="19"/>
      <c r="DI42" s="19"/>
      <c r="DJ42" s="19"/>
      <c r="DK42" s="19"/>
      <c r="DL42" s="19"/>
      <c r="DM42" s="19"/>
      <c r="DN42" s="19"/>
      <c r="DO42" s="19"/>
      <c r="DP42" s="19"/>
      <c r="DQ42" s="19"/>
      <c r="DR42" s="19"/>
      <c r="DS42" s="19"/>
      <c r="DT42" s="19"/>
      <c r="DU42" s="19"/>
      <c r="DV42" s="19"/>
      <c r="DW42" s="19"/>
      <c r="DX42" s="19"/>
      <c r="DY42" s="19"/>
      <c r="DZ42" s="19"/>
      <c r="EA42" s="19"/>
      <c r="EB42" s="19"/>
      <c r="EC42" s="19"/>
      <c r="ED42" s="19"/>
      <c r="EE42" s="19"/>
      <c r="EF42" s="19"/>
      <c r="EG42" s="19"/>
      <c r="EH42" s="19"/>
      <c r="EI42" s="19"/>
      <c r="EJ42" s="19"/>
      <c r="EK42" s="19"/>
      <c r="EL42" s="19"/>
      <c r="EM42" s="19"/>
      <c r="EN42" s="19"/>
      <c r="EO42" s="19"/>
      <c r="EP42" s="19"/>
      <c r="EQ42" s="19"/>
      <c r="ER42" s="19"/>
      <c r="ES42" s="19"/>
      <c r="ET42" s="19"/>
      <c r="EU42" s="19"/>
      <c r="EV42" s="19"/>
      <c r="EW42" s="19"/>
      <c r="EX42" s="19"/>
      <c r="EY42" s="19"/>
      <c r="EZ42" s="19"/>
      <c r="FA42" s="19"/>
      <c r="FB42" s="19"/>
      <c r="FC42" s="19"/>
      <c r="FD42" s="19"/>
      <c r="FE42" s="19"/>
      <c r="FF42" s="19"/>
      <c r="FG42" s="19"/>
      <c r="FH42" s="19"/>
      <c r="FI42" s="19"/>
    </row>
    <row r="43" spans="1:165" x14ac:dyDescent="0.25">
      <c r="A43" s="36"/>
      <c r="B43" s="13"/>
      <c r="C43" s="13"/>
      <c r="D43" s="32" t="s">
        <v>50</v>
      </c>
      <c r="E43" s="69">
        <v>40</v>
      </c>
      <c r="F43" s="73" t="s">
        <v>12</v>
      </c>
      <c r="G43" s="156"/>
      <c r="H43" s="84">
        <f>1*2/RAC_SNS</f>
        <v>1</v>
      </c>
      <c r="I43" s="84">
        <f>E41</f>
        <v>50</v>
      </c>
      <c r="J43" s="29"/>
      <c r="K43" s="29"/>
      <c r="L43" s="29"/>
      <c r="M43" s="29"/>
      <c r="N43" s="29"/>
      <c r="O43" s="29"/>
      <c r="P43" s="29"/>
      <c r="Q43" s="29"/>
      <c r="R43" s="29"/>
      <c r="S43" s="30"/>
      <c r="T43" s="18"/>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c r="BM43" s="19"/>
      <c r="BN43" s="19"/>
      <c r="BO43" s="19"/>
      <c r="BP43" s="19"/>
      <c r="BQ43" s="19"/>
      <c r="BR43" s="19"/>
      <c r="BS43" s="19"/>
      <c r="BT43" s="19"/>
      <c r="BU43" s="19"/>
      <c r="BV43" s="19"/>
      <c r="BW43" s="19"/>
      <c r="BX43" s="19"/>
      <c r="BY43" s="19"/>
      <c r="BZ43" s="19"/>
      <c r="CA43" s="19"/>
      <c r="CB43" s="19"/>
      <c r="CC43" s="19"/>
      <c r="CD43" s="19"/>
      <c r="CE43" s="19"/>
      <c r="CF43" s="19"/>
      <c r="CG43" s="19"/>
      <c r="CH43" s="19"/>
      <c r="CI43" s="19"/>
      <c r="CJ43" s="19"/>
      <c r="CK43" s="19"/>
      <c r="CL43" s="19"/>
      <c r="CM43" s="19"/>
      <c r="CN43" s="19"/>
      <c r="CO43" s="19"/>
      <c r="CP43" s="19"/>
      <c r="CQ43" s="19"/>
      <c r="CR43" s="19"/>
      <c r="CS43" s="19"/>
      <c r="CT43" s="19"/>
      <c r="CU43" s="19"/>
      <c r="CV43" s="19"/>
      <c r="CW43" s="19"/>
      <c r="CX43" s="19"/>
      <c r="CY43" s="19"/>
      <c r="CZ43" s="19"/>
      <c r="DA43" s="19"/>
      <c r="DB43" s="19"/>
      <c r="DC43" s="19"/>
      <c r="DD43" s="19"/>
      <c r="DE43" s="19"/>
      <c r="DF43" s="19"/>
      <c r="DG43" s="19"/>
      <c r="DH43" s="19"/>
      <c r="DI43" s="19"/>
      <c r="DJ43" s="19"/>
      <c r="DK43" s="19"/>
      <c r="DL43" s="19"/>
      <c r="DM43" s="19"/>
      <c r="DN43" s="19"/>
      <c r="DO43" s="19"/>
      <c r="DP43" s="19"/>
      <c r="DQ43" s="19"/>
      <c r="DR43" s="19"/>
      <c r="DS43" s="19"/>
      <c r="DT43" s="19"/>
      <c r="DU43" s="19"/>
      <c r="DV43" s="19"/>
      <c r="DW43" s="19"/>
      <c r="DX43" s="19"/>
      <c r="DY43" s="19"/>
      <c r="DZ43" s="19"/>
      <c r="EA43" s="19"/>
      <c r="EB43" s="19"/>
      <c r="EC43" s="19"/>
      <c r="ED43" s="19"/>
      <c r="EE43" s="19"/>
      <c r="EF43" s="19"/>
      <c r="EG43" s="19"/>
      <c r="EH43" s="19"/>
      <c r="EI43" s="19"/>
      <c r="EJ43" s="19"/>
      <c r="EK43" s="19"/>
      <c r="EL43" s="19"/>
      <c r="EM43" s="19"/>
      <c r="EN43" s="19"/>
      <c r="EO43" s="19"/>
      <c r="EP43" s="19"/>
      <c r="EQ43" s="19"/>
      <c r="ER43" s="19"/>
      <c r="ES43" s="19"/>
      <c r="ET43" s="19"/>
      <c r="EU43" s="19"/>
      <c r="EV43" s="19"/>
      <c r="EW43" s="19"/>
      <c r="EX43" s="19"/>
      <c r="EY43" s="19"/>
      <c r="EZ43" s="19"/>
      <c r="FA43" s="19"/>
      <c r="FB43" s="19"/>
      <c r="FC43" s="19"/>
      <c r="FD43" s="19"/>
      <c r="FE43" s="19"/>
      <c r="FF43" s="19"/>
      <c r="FG43" s="19"/>
      <c r="FH43" s="19"/>
      <c r="FI43" s="19"/>
    </row>
    <row r="44" spans="1:165" ht="15.75" x14ac:dyDescent="0.3">
      <c r="A44" s="36"/>
      <c r="B44" s="13"/>
      <c r="C44" s="13"/>
      <c r="D44" s="39" t="s">
        <v>51</v>
      </c>
      <c r="E44" s="51">
        <f>IF(RAC_SNS=0, "Disabled", MAX(MIN(50*2/RAC_SNS/$E$43, 50), H431))</f>
        <v>1.25</v>
      </c>
      <c r="F44" s="128" t="s">
        <v>18</v>
      </c>
      <c r="G44" s="156"/>
      <c r="H44" s="84"/>
      <c r="I44" s="84"/>
      <c r="J44" s="29"/>
      <c r="K44" s="29"/>
      <c r="L44" s="29"/>
      <c r="M44" s="29"/>
      <c r="N44" s="29"/>
      <c r="O44" s="29"/>
      <c r="P44" s="29"/>
      <c r="Q44" s="29"/>
      <c r="R44" s="29"/>
      <c r="S44" s="30"/>
      <c r="T44" s="18"/>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c r="BL44" s="19"/>
      <c r="BM44" s="19"/>
      <c r="BN44" s="19"/>
      <c r="BO44" s="19"/>
      <c r="BP44" s="19"/>
      <c r="BQ44" s="19"/>
      <c r="BR44" s="19"/>
      <c r="BS44" s="19"/>
      <c r="BT44" s="19"/>
      <c r="BU44" s="19"/>
      <c r="BV44" s="19"/>
      <c r="BW44" s="19"/>
      <c r="BX44" s="19"/>
      <c r="BY44" s="19"/>
      <c r="BZ44" s="19"/>
      <c r="CA44" s="19"/>
      <c r="CB44" s="19"/>
      <c r="CC44" s="19"/>
      <c r="CD44" s="19"/>
      <c r="CE44" s="19"/>
      <c r="CF44" s="19"/>
      <c r="CG44" s="19"/>
      <c r="CH44" s="19"/>
      <c r="CI44" s="19"/>
      <c r="CJ44" s="19"/>
      <c r="CK44" s="19"/>
      <c r="CL44" s="19"/>
      <c r="CM44" s="19"/>
      <c r="CN44" s="19"/>
      <c r="CO44" s="19"/>
      <c r="CP44" s="19"/>
      <c r="CQ44" s="19"/>
      <c r="CR44" s="19"/>
      <c r="CS44" s="19"/>
      <c r="CT44" s="19"/>
      <c r="CU44" s="19"/>
      <c r="CV44" s="19"/>
      <c r="CW44" s="19"/>
      <c r="CX44" s="19"/>
      <c r="CY44" s="19"/>
      <c r="CZ44" s="19"/>
      <c r="DA44" s="19"/>
      <c r="DB44" s="19"/>
      <c r="DC44" s="19"/>
      <c r="DD44" s="19"/>
      <c r="DE44" s="19"/>
      <c r="DF44" s="19"/>
      <c r="DG44" s="19"/>
      <c r="DH44" s="19"/>
      <c r="DI44" s="19"/>
      <c r="DJ44" s="19"/>
      <c r="DK44" s="19"/>
      <c r="DL44" s="19"/>
      <c r="DM44" s="19"/>
      <c r="DN44" s="19"/>
      <c r="DO44" s="19"/>
      <c r="DP44" s="19"/>
      <c r="DQ44" s="19"/>
      <c r="DR44" s="19"/>
      <c r="DS44" s="19"/>
      <c r="DT44" s="19"/>
      <c r="DU44" s="19"/>
      <c r="DV44" s="19"/>
      <c r="DW44" s="19"/>
      <c r="DX44" s="19"/>
      <c r="DY44" s="19"/>
      <c r="DZ44" s="19"/>
      <c r="EA44" s="19"/>
      <c r="EB44" s="19"/>
      <c r="EC44" s="19"/>
      <c r="ED44" s="19"/>
      <c r="EE44" s="19"/>
      <c r="EF44" s="19"/>
      <c r="EG44" s="19"/>
      <c r="EH44" s="19"/>
      <c r="EI44" s="19"/>
      <c r="EJ44" s="19"/>
      <c r="EK44" s="19"/>
      <c r="EL44" s="19"/>
      <c r="EM44" s="19"/>
      <c r="EN44" s="19"/>
      <c r="EO44" s="19"/>
      <c r="EP44" s="19"/>
      <c r="EQ44" s="19"/>
      <c r="ER44" s="19"/>
      <c r="ES44" s="19"/>
      <c r="ET44" s="19"/>
      <c r="EU44" s="19"/>
      <c r="EV44" s="19"/>
      <c r="EW44" s="19"/>
      <c r="EX44" s="19"/>
      <c r="EY44" s="19"/>
      <c r="EZ44" s="19"/>
      <c r="FA44" s="19"/>
      <c r="FB44" s="19"/>
      <c r="FC44" s="19"/>
      <c r="FD44" s="19"/>
      <c r="FE44" s="19"/>
      <c r="FF44" s="19"/>
      <c r="FG44" s="19"/>
      <c r="FH44" s="19"/>
      <c r="FI44" s="19"/>
    </row>
    <row r="45" spans="1:165" x14ac:dyDescent="0.25">
      <c r="A45" s="36"/>
      <c r="B45" s="13"/>
      <c r="C45" s="13"/>
      <c r="D45" s="32" t="s">
        <v>52</v>
      </c>
      <c r="E45" s="69">
        <v>0</v>
      </c>
      <c r="F45" s="130" t="s">
        <v>18</v>
      </c>
      <c r="G45" s="157" t="str">
        <f>_xlfn.CONCAT(E45, " ",F45)</f>
        <v>0 kΩ</v>
      </c>
      <c r="H45" s="84">
        <v>1</v>
      </c>
      <c r="I45" s="84">
        <v>50</v>
      </c>
      <c r="J45" s="29"/>
      <c r="K45" s="29"/>
      <c r="L45" s="29"/>
      <c r="M45" s="29"/>
      <c r="N45" s="29"/>
      <c r="O45" s="29"/>
      <c r="P45" s="29"/>
      <c r="Q45" s="29"/>
      <c r="R45" s="29"/>
      <c r="S45" s="30"/>
      <c r="T45" s="18"/>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c r="BM45" s="19"/>
      <c r="BN45" s="19"/>
      <c r="BO45" s="19"/>
      <c r="BP45" s="19"/>
      <c r="BQ45" s="19"/>
      <c r="BR45" s="19"/>
      <c r="BS45" s="19"/>
      <c r="BT45" s="19"/>
      <c r="BU45" s="19"/>
      <c r="BV45" s="19"/>
      <c r="BW45" s="19"/>
      <c r="BX45" s="19"/>
      <c r="BY45" s="19"/>
      <c r="BZ45" s="19"/>
      <c r="CA45" s="19"/>
      <c r="CB45" s="19"/>
      <c r="CC45" s="19"/>
      <c r="CD45" s="19"/>
      <c r="CE45" s="19"/>
      <c r="CF45" s="19"/>
      <c r="CG45" s="19"/>
      <c r="CH45" s="19"/>
      <c r="CI45" s="19"/>
      <c r="CJ45" s="19"/>
      <c r="CK45" s="19"/>
      <c r="CL45" s="19"/>
      <c r="CM45" s="19"/>
      <c r="CN45" s="19"/>
      <c r="CO45" s="19"/>
      <c r="CP45" s="19"/>
      <c r="CQ45" s="19"/>
      <c r="CR45" s="19"/>
      <c r="CS45" s="19"/>
      <c r="CT45" s="19"/>
      <c r="CU45" s="19"/>
      <c r="CV45" s="19"/>
      <c r="CW45" s="19"/>
      <c r="CX45" s="19"/>
      <c r="CY45" s="19"/>
      <c r="CZ45" s="19"/>
      <c r="DA45" s="19"/>
      <c r="DB45" s="19"/>
      <c r="DC45" s="19"/>
      <c r="DD45" s="19"/>
      <c r="DE45" s="19"/>
      <c r="DF45" s="19"/>
      <c r="DG45" s="19"/>
      <c r="DH45" s="19"/>
      <c r="DI45" s="19"/>
      <c r="DJ45" s="19"/>
      <c r="DK45" s="19"/>
      <c r="DL45" s="19"/>
      <c r="DM45" s="19"/>
      <c r="DN45" s="19"/>
      <c r="DO45" s="19"/>
      <c r="DP45" s="19"/>
      <c r="DQ45" s="19"/>
      <c r="DR45" s="19"/>
      <c r="DS45" s="19"/>
      <c r="DT45" s="19"/>
      <c r="DU45" s="19"/>
      <c r="DV45" s="19"/>
      <c r="DW45" s="19"/>
      <c r="DX45" s="19"/>
      <c r="DY45" s="19"/>
      <c r="DZ45" s="19"/>
      <c r="EA45" s="19"/>
      <c r="EB45" s="19"/>
      <c r="EC45" s="19"/>
      <c r="ED45" s="19"/>
      <c r="EE45" s="19"/>
      <c r="EF45" s="19"/>
      <c r="EG45" s="19"/>
      <c r="EH45" s="19"/>
      <c r="EI45" s="19"/>
      <c r="EJ45" s="19"/>
      <c r="EK45" s="19"/>
      <c r="EL45" s="19"/>
      <c r="EM45" s="19"/>
      <c r="EN45" s="19"/>
      <c r="EO45" s="19"/>
      <c r="EP45" s="19"/>
      <c r="EQ45" s="19"/>
      <c r="ER45" s="19"/>
      <c r="ES45" s="19"/>
      <c r="ET45" s="19"/>
      <c r="EU45" s="19"/>
      <c r="EV45" s="19"/>
      <c r="EW45" s="19"/>
      <c r="EX45" s="19"/>
      <c r="EY45" s="19"/>
      <c r="EZ45" s="19"/>
      <c r="FA45" s="19"/>
      <c r="FB45" s="19"/>
      <c r="FC45" s="19"/>
      <c r="FD45" s="19"/>
      <c r="FE45" s="19"/>
      <c r="FF45" s="19"/>
      <c r="FG45" s="19"/>
      <c r="FH45" s="19"/>
      <c r="FI45" s="19"/>
    </row>
    <row r="46" spans="1:165" ht="16.5" thickBot="1" x14ac:dyDescent="0.35">
      <c r="A46" s="101"/>
      <c r="B46" s="34"/>
      <c r="C46" s="34"/>
      <c r="D46" s="43" t="s">
        <v>53</v>
      </c>
      <c r="E46" s="98" t="str">
        <f>IF(OR(RAC_SNS=0, RIIN=0), "Disabled", 50*2/RAC_SNS/$E$45)</f>
        <v>Disabled</v>
      </c>
      <c r="F46" s="74" t="s">
        <v>12</v>
      </c>
      <c r="G46" s="156"/>
      <c r="H46" s="84">
        <f>$E$43*0.95</f>
        <v>38</v>
      </c>
      <c r="I46" s="84">
        <f>$E$43*1.05</f>
        <v>42</v>
      </c>
      <c r="J46" s="29"/>
      <c r="K46" s="29"/>
      <c r="L46" s="29"/>
      <c r="M46" s="29"/>
      <c r="N46" s="29"/>
      <c r="O46" s="29"/>
      <c r="P46" s="29"/>
      <c r="Q46" s="29"/>
      <c r="R46" s="29"/>
      <c r="S46" s="30"/>
      <c r="T46" s="18"/>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19"/>
      <c r="BL46" s="19"/>
      <c r="BM46" s="19"/>
      <c r="BN46" s="19"/>
      <c r="BO46" s="19"/>
      <c r="BP46" s="19"/>
      <c r="BQ46" s="19"/>
      <c r="BR46" s="19"/>
      <c r="BS46" s="19"/>
      <c r="BT46" s="19"/>
      <c r="BU46" s="19"/>
      <c r="BV46" s="19"/>
      <c r="BW46" s="19"/>
      <c r="BX46" s="19"/>
      <c r="BY46" s="19"/>
      <c r="BZ46" s="19"/>
      <c r="CA46" s="19"/>
      <c r="CB46" s="19"/>
      <c r="CC46" s="19"/>
      <c r="CD46" s="19"/>
      <c r="CE46" s="19"/>
      <c r="CF46" s="19"/>
      <c r="CG46" s="19"/>
      <c r="CH46" s="19"/>
      <c r="CI46" s="19"/>
      <c r="CJ46" s="19"/>
      <c r="CK46" s="19"/>
      <c r="CL46" s="19"/>
      <c r="CM46" s="19"/>
      <c r="CN46" s="19"/>
      <c r="CO46" s="19"/>
      <c r="CP46" s="19"/>
      <c r="CQ46" s="19"/>
      <c r="CR46" s="19"/>
      <c r="CS46" s="19"/>
      <c r="CT46" s="19"/>
      <c r="CU46" s="19"/>
      <c r="CV46" s="19"/>
      <c r="CW46" s="19"/>
      <c r="CX46" s="19"/>
      <c r="CY46" s="19"/>
      <c r="CZ46" s="19"/>
      <c r="DA46" s="19"/>
      <c r="DB46" s="19"/>
      <c r="DC46" s="19"/>
      <c r="DD46" s="19"/>
      <c r="DE46" s="19"/>
      <c r="DF46" s="19"/>
      <c r="DG46" s="19"/>
      <c r="DH46" s="19"/>
      <c r="DI46" s="19"/>
      <c r="DJ46" s="19"/>
      <c r="DK46" s="19"/>
      <c r="DL46" s="19"/>
      <c r="DM46" s="19"/>
      <c r="DN46" s="19"/>
      <c r="DO46" s="19"/>
      <c r="DP46" s="19"/>
      <c r="DQ46" s="19"/>
      <c r="DR46" s="19"/>
      <c r="DS46" s="19"/>
      <c r="DT46" s="19"/>
      <c r="DU46" s="19"/>
      <c r="DV46" s="19"/>
      <c r="DW46" s="19"/>
      <c r="DX46" s="19"/>
      <c r="DY46" s="19"/>
      <c r="DZ46" s="19"/>
      <c r="EA46" s="19"/>
      <c r="EB46" s="19"/>
      <c r="EC46" s="19"/>
      <c r="ED46" s="19"/>
      <c r="EE46" s="19"/>
      <c r="EF46" s="19"/>
      <c r="EG46" s="19"/>
      <c r="EH46" s="19"/>
      <c r="EI46" s="19"/>
      <c r="EJ46" s="19"/>
      <c r="EK46" s="19"/>
      <c r="EL46" s="19"/>
      <c r="EM46" s="19"/>
      <c r="EN46" s="19"/>
      <c r="EO46" s="19"/>
      <c r="EP46" s="19"/>
      <c r="EQ46" s="19"/>
      <c r="ER46" s="19"/>
      <c r="ES46" s="19"/>
      <c r="ET46" s="19"/>
      <c r="EU46" s="19"/>
      <c r="EV46" s="19"/>
      <c r="EW46" s="19"/>
      <c r="EX46" s="19"/>
      <c r="EY46" s="19"/>
      <c r="EZ46" s="19"/>
      <c r="FA46" s="19"/>
      <c r="FB46" s="19"/>
      <c r="FC46" s="19"/>
      <c r="FD46" s="19"/>
      <c r="FE46" s="19"/>
      <c r="FF46" s="19"/>
      <c r="FG46" s="19"/>
      <c r="FH46" s="19"/>
      <c r="FI46" s="19"/>
    </row>
    <row r="47" spans="1:165" x14ac:dyDescent="0.25">
      <c r="A47" s="36"/>
      <c r="B47" s="13"/>
      <c r="C47" s="13"/>
      <c r="D47" s="39"/>
      <c r="E47" s="51"/>
      <c r="F47" s="105"/>
      <c r="G47" s="156"/>
      <c r="H47" s="84"/>
      <c r="I47" s="84"/>
      <c r="J47" s="29"/>
      <c r="K47" s="29"/>
      <c r="L47" s="29"/>
      <c r="M47" s="29"/>
      <c r="N47" s="29"/>
      <c r="O47" s="29"/>
      <c r="P47" s="29"/>
      <c r="Q47" s="29"/>
      <c r="R47" s="29"/>
      <c r="S47" s="30"/>
      <c r="T47" s="18"/>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19"/>
      <c r="BL47" s="19"/>
      <c r="BM47" s="19"/>
      <c r="BN47" s="19"/>
      <c r="BO47" s="19"/>
      <c r="BP47" s="19"/>
      <c r="BQ47" s="19"/>
      <c r="BR47" s="19"/>
      <c r="BS47" s="19"/>
      <c r="BT47" s="19"/>
      <c r="BU47" s="19"/>
      <c r="BV47" s="19"/>
      <c r="BW47" s="19"/>
      <c r="BX47" s="19"/>
      <c r="BY47" s="19"/>
      <c r="BZ47" s="19"/>
      <c r="CA47" s="19"/>
      <c r="CB47" s="19"/>
      <c r="CC47" s="19"/>
      <c r="CD47" s="19"/>
      <c r="CE47" s="19"/>
      <c r="CF47" s="19"/>
      <c r="CG47" s="19"/>
      <c r="CH47" s="19"/>
      <c r="CI47" s="19"/>
      <c r="CJ47" s="19"/>
      <c r="CK47" s="19"/>
      <c r="CL47" s="19"/>
      <c r="CM47" s="19"/>
      <c r="CN47" s="19"/>
      <c r="CO47" s="19"/>
      <c r="CP47" s="19"/>
      <c r="CQ47" s="19"/>
      <c r="CR47" s="19"/>
      <c r="CS47" s="19"/>
      <c r="CT47" s="19"/>
      <c r="CU47" s="19"/>
      <c r="CV47" s="19"/>
      <c r="CW47" s="19"/>
      <c r="CX47" s="19"/>
      <c r="CY47" s="19"/>
      <c r="CZ47" s="19"/>
      <c r="DA47" s="19"/>
      <c r="DB47" s="19"/>
      <c r="DC47" s="19"/>
      <c r="DD47" s="19"/>
      <c r="DE47" s="19"/>
      <c r="DF47" s="19"/>
      <c r="DG47" s="19"/>
      <c r="DH47" s="19"/>
      <c r="DI47" s="19"/>
      <c r="DJ47" s="19"/>
      <c r="DK47" s="19"/>
      <c r="DL47" s="19"/>
      <c r="DM47" s="19"/>
      <c r="DN47" s="19"/>
      <c r="DO47" s="19"/>
      <c r="DP47" s="19"/>
      <c r="DQ47" s="19"/>
      <c r="DR47" s="19"/>
      <c r="DS47" s="19"/>
      <c r="DT47" s="19"/>
      <c r="DU47" s="19"/>
      <c r="DV47" s="19"/>
      <c r="DW47" s="19"/>
      <c r="DX47" s="19"/>
      <c r="DY47" s="19"/>
      <c r="DZ47" s="19"/>
      <c r="EA47" s="19"/>
      <c r="EB47" s="19"/>
      <c r="EC47" s="19"/>
      <c r="ED47" s="19"/>
      <c r="EE47" s="19"/>
      <c r="EF47" s="19"/>
      <c r="EG47" s="19"/>
      <c r="EH47" s="19"/>
      <c r="EI47" s="19"/>
      <c r="EJ47" s="19"/>
      <c r="EK47" s="19"/>
      <c r="EL47" s="19"/>
      <c r="EM47" s="19"/>
      <c r="EN47" s="19"/>
      <c r="EO47" s="19"/>
      <c r="EP47" s="19"/>
      <c r="EQ47" s="19"/>
      <c r="ER47" s="19"/>
      <c r="ES47" s="19"/>
      <c r="ET47" s="19"/>
      <c r="EU47" s="19"/>
      <c r="EV47" s="19"/>
      <c r="EW47" s="19"/>
      <c r="EX47" s="19"/>
      <c r="EY47" s="19"/>
      <c r="EZ47" s="19"/>
      <c r="FA47" s="19"/>
      <c r="FB47" s="19"/>
      <c r="FC47" s="19"/>
      <c r="FD47" s="19"/>
      <c r="FE47" s="19"/>
      <c r="FF47" s="19"/>
      <c r="FG47" s="19"/>
      <c r="FH47" s="19"/>
      <c r="FI47" s="19"/>
    </row>
    <row r="48" spans="1:165" ht="15.75" thickBot="1" x14ac:dyDescent="0.3">
      <c r="A48" s="36" t="s">
        <v>54</v>
      </c>
      <c r="B48" s="13"/>
      <c r="C48" s="13"/>
      <c r="D48" s="39"/>
      <c r="E48" s="51"/>
      <c r="F48" s="105"/>
      <c r="G48" s="156"/>
      <c r="H48" s="84"/>
      <c r="I48" s="84"/>
      <c r="J48" s="29"/>
      <c r="K48" s="29"/>
      <c r="L48" s="29"/>
      <c r="M48" s="29"/>
      <c r="N48" s="29"/>
      <c r="O48" s="29"/>
      <c r="P48" s="29"/>
      <c r="Q48" s="29"/>
      <c r="R48" s="29"/>
      <c r="S48" s="30"/>
      <c r="T48" s="18"/>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c r="BL48" s="19"/>
      <c r="BM48" s="19"/>
      <c r="BN48" s="19"/>
      <c r="BO48" s="19"/>
      <c r="BP48" s="19"/>
      <c r="BQ48" s="19"/>
      <c r="BR48" s="19"/>
      <c r="BS48" s="19"/>
      <c r="BT48" s="19"/>
      <c r="BU48" s="19"/>
      <c r="BV48" s="19"/>
      <c r="BW48" s="19"/>
      <c r="BX48" s="19"/>
      <c r="BY48" s="19"/>
      <c r="BZ48" s="19"/>
      <c r="CA48" s="19"/>
      <c r="CB48" s="19"/>
      <c r="CC48" s="19"/>
      <c r="CD48" s="19"/>
      <c r="CE48" s="19"/>
      <c r="CF48" s="19"/>
      <c r="CG48" s="19"/>
      <c r="CH48" s="19"/>
      <c r="CI48" s="19"/>
      <c r="CJ48" s="19"/>
      <c r="CK48" s="19"/>
      <c r="CL48" s="19"/>
      <c r="CM48" s="19"/>
      <c r="CN48" s="19"/>
      <c r="CO48" s="19"/>
      <c r="CP48" s="19"/>
      <c r="CQ48" s="19"/>
      <c r="CR48" s="19"/>
      <c r="CS48" s="19"/>
      <c r="CT48" s="19"/>
      <c r="CU48" s="19"/>
      <c r="CV48" s="19"/>
      <c r="CW48" s="19"/>
      <c r="CX48" s="19"/>
      <c r="CY48" s="19"/>
      <c r="CZ48" s="19"/>
      <c r="DA48" s="19"/>
      <c r="DB48" s="19"/>
      <c r="DC48" s="19"/>
      <c r="DD48" s="19"/>
      <c r="DE48" s="19"/>
      <c r="DF48" s="19"/>
      <c r="DG48" s="19"/>
      <c r="DH48" s="19"/>
      <c r="DI48" s="19"/>
      <c r="DJ48" s="19"/>
      <c r="DK48" s="19"/>
      <c r="DL48" s="19"/>
      <c r="DM48" s="19"/>
      <c r="DN48" s="19"/>
      <c r="DO48" s="19"/>
      <c r="DP48" s="19"/>
      <c r="DQ48" s="19"/>
      <c r="DR48" s="19"/>
      <c r="DS48" s="19"/>
      <c r="DT48" s="19"/>
      <c r="DU48" s="19"/>
      <c r="DV48" s="19"/>
      <c r="DW48" s="19"/>
      <c r="DX48" s="19"/>
      <c r="DY48" s="19"/>
      <c r="DZ48" s="19"/>
      <c r="EA48" s="19"/>
      <c r="EB48" s="19"/>
      <c r="EC48" s="19"/>
      <c r="ED48" s="19"/>
      <c r="EE48" s="19"/>
      <c r="EF48" s="19"/>
      <c r="EG48" s="19"/>
      <c r="EH48" s="19"/>
      <c r="EI48" s="19"/>
      <c r="EJ48" s="19"/>
      <c r="EK48" s="19"/>
      <c r="EL48" s="19"/>
      <c r="EM48" s="19"/>
      <c r="EN48" s="19"/>
      <c r="EO48" s="19"/>
      <c r="EP48" s="19"/>
      <c r="EQ48" s="19"/>
      <c r="ER48" s="19"/>
      <c r="ES48" s="19"/>
      <c r="ET48" s="19"/>
      <c r="EU48" s="19"/>
      <c r="EV48" s="19"/>
      <c r="EW48" s="19"/>
      <c r="EX48" s="19"/>
      <c r="EY48" s="19"/>
      <c r="EZ48" s="19"/>
      <c r="FA48" s="19"/>
      <c r="FB48" s="19"/>
      <c r="FC48" s="19"/>
      <c r="FD48" s="19"/>
      <c r="FE48" s="19"/>
      <c r="FF48" s="19"/>
      <c r="FG48" s="19"/>
      <c r="FH48" s="19"/>
      <c r="FI48" s="19"/>
    </row>
    <row r="49" spans="1:165" x14ac:dyDescent="0.25">
      <c r="A49" s="22"/>
      <c r="B49" s="23"/>
      <c r="C49" s="23"/>
      <c r="D49" s="28" t="s">
        <v>55</v>
      </c>
      <c r="E49" s="97">
        <v>5</v>
      </c>
      <c r="F49" s="131" t="s">
        <v>33</v>
      </c>
      <c r="G49" s="157" t="str">
        <f>_xlfn.CONCAT(E49, " ",F49)</f>
        <v>5 mΩ</v>
      </c>
      <c r="H49" s="13"/>
      <c r="I49" s="13"/>
      <c r="J49" s="29"/>
      <c r="K49" s="29"/>
      <c r="L49" s="29"/>
      <c r="M49" s="29"/>
      <c r="N49" s="29"/>
      <c r="O49" s="29"/>
      <c r="P49" s="29"/>
      <c r="Q49" s="29"/>
      <c r="R49" s="29"/>
      <c r="S49" s="30"/>
      <c r="T49" s="18"/>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19"/>
      <c r="BL49" s="19"/>
      <c r="BM49" s="19"/>
      <c r="BN49" s="19"/>
      <c r="BO49" s="19"/>
      <c r="BP49" s="19"/>
      <c r="BQ49" s="19"/>
      <c r="BR49" s="19"/>
      <c r="BS49" s="19"/>
      <c r="BT49" s="19"/>
      <c r="BU49" s="19"/>
      <c r="BV49" s="19"/>
      <c r="BW49" s="19"/>
      <c r="BX49" s="19"/>
      <c r="BY49" s="19"/>
      <c r="BZ49" s="19"/>
      <c r="CA49" s="19"/>
      <c r="CB49" s="19"/>
      <c r="CC49" s="19"/>
      <c r="CD49" s="19"/>
      <c r="CE49" s="19"/>
      <c r="CF49" s="19"/>
      <c r="CG49" s="19"/>
      <c r="CH49" s="19"/>
      <c r="CI49" s="19"/>
      <c r="CJ49" s="19"/>
      <c r="CK49" s="19"/>
      <c r="CL49" s="19"/>
      <c r="CM49" s="19"/>
      <c r="CN49" s="19"/>
      <c r="CO49" s="19"/>
      <c r="CP49" s="19"/>
      <c r="CQ49" s="19"/>
      <c r="CR49" s="19"/>
      <c r="CS49" s="19"/>
      <c r="CT49" s="19"/>
      <c r="CU49" s="19"/>
      <c r="CV49" s="19"/>
      <c r="CW49" s="19"/>
      <c r="CX49" s="19"/>
      <c r="CY49" s="19"/>
      <c r="CZ49" s="19"/>
      <c r="DA49" s="19"/>
      <c r="DB49" s="19"/>
      <c r="DC49" s="19"/>
      <c r="DD49" s="19"/>
      <c r="DE49" s="19"/>
      <c r="DF49" s="19"/>
      <c r="DG49" s="19"/>
      <c r="DH49" s="19"/>
      <c r="DI49" s="19"/>
      <c r="DJ49" s="19"/>
      <c r="DK49" s="19"/>
      <c r="DL49" s="19"/>
      <c r="DM49" s="19"/>
      <c r="DN49" s="19"/>
      <c r="DO49" s="19"/>
      <c r="DP49" s="19"/>
      <c r="DQ49" s="19"/>
      <c r="DR49" s="19"/>
      <c r="DS49" s="19"/>
      <c r="DT49" s="19"/>
      <c r="DU49" s="19"/>
      <c r="DV49" s="19"/>
      <c r="DW49" s="19"/>
      <c r="DX49" s="19"/>
      <c r="DY49" s="19"/>
      <c r="DZ49" s="19"/>
      <c r="EA49" s="19"/>
      <c r="EB49" s="19"/>
      <c r="EC49" s="19"/>
      <c r="ED49" s="19"/>
      <c r="EE49" s="19"/>
      <c r="EF49" s="19"/>
      <c r="EG49" s="19"/>
      <c r="EH49" s="19"/>
      <c r="EI49" s="19"/>
      <c r="EJ49" s="19"/>
      <c r="EK49" s="19"/>
      <c r="EL49" s="19"/>
      <c r="EM49" s="19"/>
      <c r="EN49" s="19"/>
      <c r="EO49" s="19"/>
      <c r="EP49" s="19"/>
      <c r="EQ49" s="19"/>
      <c r="ER49" s="19"/>
      <c r="ES49" s="19"/>
      <c r="ET49" s="19"/>
      <c r="EU49" s="19"/>
      <c r="EV49" s="19"/>
      <c r="EW49" s="19"/>
      <c r="EX49" s="19"/>
      <c r="EY49" s="19"/>
      <c r="EZ49" s="19"/>
      <c r="FA49" s="19"/>
      <c r="FB49" s="19"/>
      <c r="FC49" s="19"/>
      <c r="FD49" s="19"/>
      <c r="FE49" s="19"/>
      <c r="FF49" s="19"/>
      <c r="FG49" s="19"/>
      <c r="FH49" s="19"/>
      <c r="FI49" s="19"/>
    </row>
    <row r="50" spans="1:165" ht="15.75" x14ac:dyDescent="0.3">
      <c r="A50" s="36"/>
      <c r="B50" s="13"/>
      <c r="C50" s="13"/>
      <c r="D50" s="39" t="s">
        <v>56</v>
      </c>
      <c r="E50" s="13">
        <f>50/RBAT_SNS</f>
        <v>10</v>
      </c>
      <c r="F50" s="73" t="s">
        <v>12</v>
      </c>
      <c r="G50" s="156"/>
      <c r="H50" s="13"/>
      <c r="I50" s="13"/>
      <c r="J50" s="29"/>
      <c r="K50" s="29"/>
      <c r="L50" s="29"/>
      <c r="M50" s="29"/>
      <c r="N50" s="29"/>
      <c r="O50" s="29"/>
      <c r="P50" s="29"/>
      <c r="Q50" s="29"/>
      <c r="R50" s="29"/>
      <c r="S50" s="30"/>
      <c r="T50" s="18"/>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c r="BE50" s="19"/>
      <c r="BF50" s="19"/>
      <c r="BG50" s="19"/>
      <c r="BH50" s="19"/>
      <c r="BI50" s="19"/>
      <c r="BJ50" s="19"/>
      <c r="BK50" s="19"/>
      <c r="BL50" s="19"/>
      <c r="BM50" s="19"/>
      <c r="BN50" s="19"/>
      <c r="BO50" s="19"/>
      <c r="BP50" s="19"/>
      <c r="BQ50" s="19"/>
      <c r="BR50" s="19"/>
      <c r="BS50" s="19"/>
      <c r="BT50" s="19"/>
      <c r="BU50" s="19"/>
      <c r="BV50" s="19"/>
      <c r="BW50" s="19"/>
      <c r="BX50" s="19"/>
      <c r="BY50" s="19"/>
      <c r="BZ50" s="19"/>
      <c r="CA50" s="19"/>
      <c r="CB50" s="19"/>
      <c r="CC50" s="19"/>
      <c r="CD50" s="19"/>
      <c r="CE50" s="19"/>
      <c r="CF50" s="19"/>
      <c r="CG50" s="19"/>
      <c r="CH50" s="19"/>
      <c r="CI50" s="19"/>
      <c r="CJ50" s="19"/>
      <c r="CK50" s="19"/>
      <c r="CL50" s="19"/>
      <c r="CM50" s="19"/>
      <c r="CN50" s="19"/>
      <c r="CO50" s="19"/>
      <c r="CP50" s="19"/>
      <c r="CQ50" s="19"/>
      <c r="CR50" s="19"/>
      <c r="CS50" s="19"/>
      <c r="CT50" s="19"/>
      <c r="CU50" s="19"/>
      <c r="CV50" s="19"/>
      <c r="CW50" s="19"/>
      <c r="CX50" s="19"/>
      <c r="CY50" s="19"/>
      <c r="CZ50" s="19"/>
      <c r="DA50" s="19"/>
      <c r="DB50" s="19"/>
      <c r="DC50" s="19"/>
      <c r="DD50" s="19"/>
      <c r="DE50" s="19"/>
      <c r="DF50" s="19"/>
      <c r="DG50" s="19"/>
      <c r="DH50" s="19"/>
      <c r="DI50" s="19"/>
      <c r="DJ50" s="19"/>
      <c r="DK50" s="19"/>
      <c r="DL50" s="19"/>
      <c r="DM50" s="19"/>
      <c r="DN50" s="19"/>
      <c r="DO50" s="19"/>
      <c r="DP50" s="19"/>
      <c r="DQ50" s="19"/>
      <c r="DR50" s="19"/>
      <c r="DS50" s="19"/>
      <c r="DT50" s="19"/>
      <c r="DU50" s="19"/>
      <c r="DV50" s="19"/>
      <c r="DW50" s="19"/>
      <c r="DX50" s="19"/>
      <c r="DY50" s="19"/>
      <c r="DZ50" s="19"/>
      <c r="EA50" s="19"/>
      <c r="EB50" s="19"/>
      <c r="EC50" s="19"/>
      <c r="ED50" s="19"/>
      <c r="EE50" s="19"/>
      <c r="EF50" s="19"/>
      <c r="EG50" s="19"/>
      <c r="EH50" s="19"/>
      <c r="EI50" s="19"/>
      <c r="EJ50" s="19"/>
      <c r="EK50" s="19"/>
      <c r="EL50" s="19"/>
      <c r="EM50" s="19"/>
      <c r="EN50" s="19"/>
      <c r="EO50" s="19"/>
      <c r="EP50" s="19"/>
      <c r="EQ50" s="19"/>
      <c r="ER50" s="19"/>
      <c r="ES50" s="19"/>
      <c r="ET50" s="19"/>
      <c r="EU50" s="19"/>
      <c r="EV50" s="19"/>
      <c r="EW50" s="19"/>
      <c r="EX50" s="19"/>
      <c r="EY50" s="19"/>
      <c r="EZ50" s="19"/>
      <c r="FA50" s="19"/>
      <c r="FB50" s="19"/>
      <c r="FC50" s="19"/>
      <c r="FD50" s="19"/>
      <c r="FE50" s="19"/>
      <c r="FF50" s="19"/>
      <c r="FG50" s="19"/>
      <c r="FH50" s="19"/>
      <c r="FI50" s="19"/>
    </row>
    <row r="51" spans="1:165" ht="15.75" x14ac:dyDescent="0.3">
      <c r="A51" s="36"/>
      <c r="B51" s="13"/>
      <c r="C51" s="13"/>
      <c r="D51" s="39" t="s">
        <v>57</v>
      </c>
      <c r="E51" s="13">
        <f>125*2/RBAT_SNS</f>
        <v>50</v>
      </c>
      <c r="F51" s="73" t="s">
        <v>49</v>
      </c>
      <c r="G51" s="156"/>
      <c r="H51" s="13"/>
      <c r="I51" s="13"/>
      <c r="J51" s="29"/>
      <c r="K51" s="29"/>
      <c r="L51" s="29"/>
      <c r="M51" s="29">
        <f>27.28*10^3</f>
        <v>27280</v>
      </c>
      <c r="N51" s="29">
        <f>3.02*10^3</f>
        <v>3020</v>
      </c>
      <c r="O51" s="29">
        <f>0.7325</f>
        <v>0.73250000000000004</v>
      </c>
      <c r="P51" s="29">
        <f>0.34375</f>
        <v>0.34375</v>
      </c>
      <c r="Q51" s="29"/>
      <c r="R51" s="29"/>
      <c r="S51" s="30"/>
      <c r="T51" s="18"/>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c r="BE51" s="19"/>
      <c r="BF51" s="19"/>
      <c r="BG51" s="19"/>
      <c r="BH51" s="19"/>
      <c r="BI51" s="19"/>
      <c r="BJ51" s="19"/>
      <c r="BK51" s="19"/>
      <c r="BL51" s="19"/>
      <c r="BM51" s="19"/>
      <c r="BN51" s="19"/>
      <c r="BO51" s="19"/>
      <c r="BP51" s="19"/>
      <c r="BQ51" s="19"/>
      <c r="BR51" s="19"/>
      <c r="BS51" s="19"/>
      <c r="BT51" s="19"/>
      <c r="BU51" s="19"/>
      <c r="BV51" s="19"/>
      <c r="BW51" s="19"/>
      <c r="BX51" s="19"/>
      <c r="BY51" s="19"/>
      <c r="BZ51" s="19"/>
      <c r="CA51" s="19"/>
      <c r="CB51" s="19"/>
      <c r="CC51" s="19"/>
      <c r="CD51" s="19"/>
      <c r="CE51" s="19"/>
      <c r="CF51" s="19"/>
      <c r="CG51" s="19"/>
      <c r="CH51" s="19"/>
      <c r="CI51" s="19"/>
      <c r="CJ51" s="19"/>
      <c r="CK51" s="19"/>
      <c r="CL51" s="19"/>
      <c r="CM51" s="19"/>
      <c r="CN51" s="19"/>
      <c r="CO51" s="19"/>
      <c r="CP51" s="19"/>
      <c r="CQ51" s="19"/>
      <c r="CR51" s="19"/>
      <c r="CS51" s="19"/>
      <c r="CT51" s="19"/>
      <c r="CU51" s="19"/>
      <c r="CV51" s="19"/>
      <c r="CW51" s="19"/>
      <c r="CX51" s="19"/>
      <c r="CY51" s="19"/>
      <c r="CZ51" s="19"/>
      <c r="DA51" s="19"/>
      <c r="DB51" s="19"/>
      <c r="DC51" s="19"/>
      <c r="DD51" s="19"/>
      <c r="DE51" s="19"/>
      <c r="DF51" s="19"/>
      <c r="DG51" s="19"/>
      <c r="DH51" s="19"/>
      <c r="DI51" s="19"/>
      <c r="DJ51" s="19"/>
      <c r="DK51" s="19"/>
      <c r="DL51" s="19"/>
      <c r="DM51" s="19"/>
      <c r="DN51" s="19"/>
      <c r="DO51" s="19"/>
      <c r="DP51" s="19"/>
      <c r="DQ51" s="19"/>
      <c r="DR51" s="19"/>
      <c r="DS51" s="19"/>
      <c r="DT51" s="19"/>
      <c r="DU51" s="19"/>
      <c r="DV51" s="19"/>
      <c r="DW51" s="19"/>
      <c r="DX51" s="19"/>
      <c r="DY51" s="19"/>
      <c r="DZ51" s="19"/>
      <c r="EA51" s="19"/>
      <c r="EB51" s="19"/>
      <c r="EC51" s="19"/>
      <c r="ED51" s="19"/>
      <c r="EE51" s="19"/>
      <c r="EF51" s="19"/>
      <c r="EG51" s="19"/>
      <c r="EH51" s="19"/>
      <c r="EI51" s="19"/>
      <c r="EJ51" s="19"/>
      <c r="EK51" s="19"/>
      <c r="EL51" s="19"/>
      <c r="EM51" s="19"/>
      <c r="EN51" s="19"/>
      <c r="EO51" s="19"/>
      <c r="EP51" s="19"/>
      <c r="EQ51" s="19"/>
      <c r="ER51" s="19"/>
      <c r="ES51" s="19"/>
      <c r="ET51" s="19"/>
      <c r="EU51" s="19"/>
      <c r="EV51" s="19"/>
      <c r="EW51" s="19"/>
      <c r="EX51" s="19"/>
      <c r="EY51" s="19"/>
      <c r="EZ51" s="19"/>
      <c r="FA51" s="19"/>
      <c r="FB51" s="19"/>
      <c r="FC51" s="19"/>
      <c r="FD51" s="19"/>
      <c r="FE51" s="19"/>
      <c r="FF51" s="19"/>
      <c r="FG51" s="19"/>
      <c r="FH51" s="19"/>
      <c r="FI51" s="19"/>
    </row>
    <row r="52" spans="1:165" x14ac:dyDescent="0.25">
      <c r="A52" s="36"/>
      <c r="B52" s="13"/>
      <c r="C52" s="13"/>
      <c r="D52" s="32" t="s">
        <v>58</v>
      </c>
      <c r="E52" s="69">
        <v>50</v>
      </c>
      <c r="F52" s="73" t="s">
        <v>12</v>
      </c>
      <c r="G52" s="156"/>
      <c r="H52" s="13"/>
      <c r="I52" s="13"/>
      <c r="J52" s="29"/>
      <c r="K52" s="29"/>
      <c r="L52" s="29"/>
      <c r="M52" s="29">
        <f>M51*N51*(1/O51-1/P51)/(N51*(1/P51-1)-M51*(1/O51-1))</f>
        <v>30307.229926440719</v>
      </c>
      <c r="N52" s="29">
        <f>(1/O51-1)/(1/M52+1/M51)</f>
        <v>5243.008702649624</v>
      </c>
      <c r="O52" s="29"/>
      <c r="P52" s="29"/>
      <c r="Q52" s="29"/>
      <c r="R52" s="29"/>
      <c r="S52" s="30"/>
      <c r="T52" s="18"/>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c r="BE52" s="19"/>
      <c r="BF52" s="19"/>
      <c r="BG52" s="19"/>
      <c r="BH52" s="19"/>
      <c r="BI52" s="19"/>
      <c r="BJ52" s="19"/>
      <c r="BK52" s="19"/>
      <c r="BL52" s="19"/>
      <c r="BM52" s="19"/>
      <c r="BN52" s="19"/>
      <c r="BO52" s="19"/>
      <c r="BP52" s="19"/>
      <c r="BQ52" s="19"/>
      <c r="BR52" s="19"/>
      <c r="BS52" s="19"/>
      <c r="BT52" s="19"/>
      <c r="BU52" s="19"/>
      <c r="BV52" s="19"/>
      <c r="BW52" s="19"/>
      <c r="BX52" s="19"/>
      <c r="BY52" s="19"/>
      <c r="BZ52" s="19"/>
      <c r="CA52" s="19"/>
      <c r="CB52" s="19"/>
      <c r="CC52" s="19"/>
      <c r="CD52" s="19"/>
      <c r="CE52" s="19"/>
      <c r="CF52" s="19"/>
      <c r="CG52" s="19"/>
      <c r="CH52" s="19"/>
      <c r="CI52" s="19"/>
      <c r="CJ52" s="19"/>
      <c r="CK52" s="19"/>
      <c r="CL52" s="19"/>
      <c r="CM52" s="19"/>
      <c r="CN52" s="19"/>
      <c r="CO52" s="19"/>
      <c r="CP52" s="19"/>
      <c r="CQ52" s="19"/>
      <c r="CR52" s="19"/>
      <c r="CS52" s="19"/>
      <c r="CT52" s="19"/>
      <c r="CU52" s="19"/>
      <c r="CV52" s="19"/>
      <c r="CW52" s="19"/>
      <c r="CX52" s="19"/>
      <c r="CY52" s="19"/>
      <c r="CZ52" s="19"/>
      <c r="DA52" s="19"/>
      <c r="DB52" s="19"/>
      <c r="DC52" s="19"/>
      <c r="DD52" s="19"/>
      <c r="DE52" s="19"/>
      <c r="DF52" s="19"/>
      <c r="DG52" s="19"/>
      <c r="DH52" s="19"/>
      <c r="DI52" s="19"/>
      <c r="DJ52" s="19"/>
      <c r="DK52" s="19"/>
      <c r="DL52" s="19"/>
      <c r="DM52" s="19"/>
      <c r="DN52" s="19"/>
      <c r="DO52" s="19"/>
      <c r="DP52" s="19"/>
      <c r="DQ52" s="19"/>
      <c r="DR52" s="19"/>
      <c r="DS52" s="19"/>
      <c r="DT52" s="19"/>
      <c r="DU52" s="19"/>
      <c r="DV52" s="19"/>
      <c r="DW52" s="19"/>
      <c r="DX52" s="19"/>
      <c r="DY52" s="19"/>
      <c r="DZ52" s="19"/>
      <c r="EA52" s="19"/>
      <c r="EB52" s="19"/>
      <c r="EC52" s="19"/>
      <c r="ED52" s="19"/>
      <c r="EE52" s="19"/>
      <c r="EF52" s="19"/>
      <c r="EG52" s="19"/>
      <c r="EH52" s="19"/>
      <c r="EI52" s="19"/>
      <c r="EJ52" s="19"/>
      <c r="EK52" s="19"/>
      <c r="EL52" s="19"/>
      <c r="EM52" s="19"/>
      <c r="EN52" s="19"/>
      <c r="EO52" s="19"/>
      <c r="EP52" s="19"/>
      <c r="EQ52" s="19"/>
      <c r="ER52" s="19"/>
      <c r="ES52" s="19"/>
      <c r="ET52" s="19"/>
      <c r="EU52" s="19"/>
      <c r="EV52" s="19"/>
      <c r="EW52" s="19"/>
      <c r="EX52" s="19"/>
      <c r="EY52" s="19"/>
      <c r="EZ52" s="19"/>
      <c r="FA52" s="19"/>
      <c r="FB52" s="19"/>
      <c r="FC52" s="19"/>
      <c r="FD52" s="19"/>
      <c r="FE52" s="19"/>
      <c r="FF52" s="19"/>
      <c r="FG52" s="19"/>
      <c r="FH52" s="19"/>
      <c r="FI52" s="19"/>
    </row>
    <row r="53" spans="1:165" ht="15.75" x14ac:dyDescent="0.3">
      <c r="A53" s="36"/>
      <c r="B53" s="13"/>
      <c r="C53" s="13"/>
      <c r="D53" s="39" t="s">
        <v>59</v>
      </c>
      <c r="E53" s="13">
        <f>50/E52</f>
        <v>1</v>
      </c>
      <c r="F53" s="128" t="s">
        <v>18</v>
      </c>
      <c r="G53" s="156"/>
      <c r="H53" s="13"/>
      <c r="I53" s="13"/>
      <c r="J53" s="29"/>
      <c r="K53" s="29"/>
      <c r="L53" s="29"/>
      <c r="M53" s="29"/>
      <c r="N53" s="29"/>
      <c r="O53" s="29"/>
      <c r="P53" s="29"/>
      <c r="Q53" s="29"/>
      <c r="R53" s="29"/>
      <c r="S53" s="30"/>
      <c r="T53" s="18"/>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c r="BE53" s="19"/>
      <c r="BF53" s="19"/>
      <c r="BG53" s="19"/>
      <c r="BH53" s="19"/>
      <c r="BI53" s="19"/>
      <c r="BJ53" s="19"/>
      <c r="BK53" s="19"/>
      <c r="BL53" s="19"/>
      <c r="BM53" s="19"/>
      <c r="BN53" s="19"/>
      <c r="BO53" s="19"/>
      <c r="BP53" s="19"/>
      <c r="BQ53" s="19"/>
      <c r="BR53" s="19"/>
      <c r="BS53" s="19"/>
      <c r="BT53" s="19"/>
      <c r="BU53" s="19"/>
      <c r="BV53" s="19"/>
      <c r="BW53" s="19"/>
      <c r="BX53" s="19"/>
      <c r="BY53" s="19"/>
      <c r="BZ53" s="19"/>
      <c r="CA53" s="19"/>
      <c r="CB53" s="19"/>
      <c r="CC53" s="19"/>
      <c r="CD53" s="19"/>
      <c r="CE53" s="19"/>
      <c r="CF53" s="19"/>
      <c r="CG53" s="19"/>
      <c r="CH53" s="19"/>
      <c r="CI53" s="19"/>
      <c r="CJ53" s="19"/>
      <c r="CK53" s="19"/>
      <c r="CL53" s="19"/>
      <c r="CM53" s="19"/>
      <c r="CN53" s="19"/>
      <c r="CO53" s="19"/>
      <c r="CP53" s="19"/>
      <c r="CQ53" s="19"/>
      <c r="CR53" s="19"/>
      <c r="CS53" s="19"/>
      <c r="CT53" s="19"/>
      <c r="CU53" s="19"/>
      <c r="CV53" s="19"/>
      <c r="CW53" s="19"/>
      <c r="CX53" s="19"/>
      <c r="CY53" s="19"/>
      <c r="CZ53" s="19"/>
      <c r="DA53" s="19"/>
      <c r="DB53" s="19"/>
      <c r="DC53" s="19"/>
      <c r="DD53" s="19"/>
      <c r="DE53" s="19"/>
      <c r="DF53" s="19"/>
      <c r="DG53" s="19"/>
      <c r="DH53" s="19"/>
      <c r="DI53" s="19"/>
      <c r="DJ53" s="19"/>
      <c r="DK53" s="19"/>
      <c r="DL53" s="19"/>
      <c r="DM53" s="19"/>
      <c r="DN53" s="19"/>
      <c r="DO53" s="19"/>
      <c r="DP53" s="19"/>
      <c r="DQ53" s="19"/>
      <c r="DR53" s="19"/>
      <c r="DS53" s="19"/>
      <c r="DT53" s="19"/>
      <c r="DU53" s="19"/>
      <c r="DV53" s="19"/>
      <c r="DW53" s="19"/>
      <c r="DX53" s="19"/>
      <c r="DY53" s="19"/>
      <c r="DZ53" s="19"/>
      <c r="EA53" s="19"/>
      <c r="EB53" s="19"/>
      <c r="EC53" s="19"/>
      <c r="ED53" s="19"/>
      <c r="EE53" s="19"/>
      <c r="EF53" s="19"/>
      <c r="EG53" s="19"/>
      <c r="EH53" s="19"/>
      <c r="EI53" s="19"/>
      <c r="EJ53" s="19"/>
      <c r="EK53" s="19"/>
      <c r="EL53" s="19"/>
      <c r="EM53" s="19"/>
      <c r="EN53" s="19"/>
      <c r="EO53" s="19"/>
      <c r="EP53" s="19"/>
      <c r="EQ53" s="19"/>
      <c r="ER53" s="19"/>
      <c r="ES53" s="19"/>
      <c r="ET53" s="19"/>
      <c r="EU53" s="19"/>
      <c r="EV53" s="19"/>
      <c r="EW53" s="19"/>
      <c r="EX53" s="19"/>
      <c r="EY53" s="19"/>
      <c r="EZ53" s="19"/>
      <c r="FA53" s="19"/>
      <c r="FB53" s="19"/>
      <c r="FC53" s="19"/>
      <c r="FD53" s="19"/>
      <c r="FE53" s="19"/>
      <c r="FF53" s="19"/>
      <c r="FG53" s="19"/>
      <c r="FH53" s="19"/>
      <c r="FI53" s="19"/>
    </row>
    <row r="54" spans="1:165" x14ac:dyDescent="0.25">
      <c r="A54" s="31"/>
      <c r="B54" s="13"/>
      <c r="C54" s="13"/>
      <c r="D54" s="32" t="s">
        <v>60</v>
      </c>
      <c r="E54" s="69">
        <v>0</v>
      </c>
      <c r="F54" s="130" t="s">
        <v>18</v>
      </c>
      <c r="G54" s="157" t="str">
        <f>_xlfn.CONCAT(E54, " ",F54)</f>
        <v>0 kΩ</v>
      </c>
      <c r="H54" s="84">
        <v>1</v>
      </c>
      <c r="I54" s="84">
        <v>50</v>
      </c>
      <c r="J54" s="29"/>
      <c r="K54" s="29"/>
      <c r="L54" s="29"/>
      <c r="M54" s="29"/>
      <c r="N54" s="29"/>
      <c r="O54" s="29"/>
      <c r="P54" s="29"/>
      <c r="Q54" s="29"/>
      <c r="R54" s="29"/>
      <c r="S54" s="30"/>
      <c r="T54" s="18"/>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c r="BL54" s="19"/>
      <c r="BM54" s="19"/>
      <c r="BN54" s="19"/>
      <c r="BO54" s="19"/>
      <c r="BP54" s="19"/>
      <c r="BQ54" s="19"/>
      <c r="BR54" s="19"/>
      <c r="BS54" s="19"/>
      <c r="BT54" s="19"/>
      <c r="BU54" s="19"/>
      <c r="BV54" s="19"/>
      <c r="BW54" s="19"/>
      <c r="BX54" s="19"/>
      <c r="BY54" s="19"/>
      <c r="BZ54" s="19"/>
      <c r="CA54" s="19"/>
      <c r="CB54" s="19"/>
      <c r="CC54" s="19"/>
      <c r="CD54" s="19"/>
      <c r="CE54" s="19"/>
      <c r="CF54" s="19"/>
      <c r="CG54" s="19"/>
      <c r="CH54" s="19"/>
      <c r="CI54" s="19"/>
      <c r="CJ54" s="19"/>
      <c r="CK54" s="19"/>
      <c r="CL54" s="19"/>
      <c r="CM54" s="19"/>
      <c r="CN54" s="19"/>
      <c r="CO54" s="19"/>
      <c r="CP54" s="19"/>
      <c r="CQ54" s="19"/>
      <c r="CR54" s="19"/>
      <c r="CS54" s="19"/>
      <c r="CT54" s="19"/>
      <c r="CU54" s="19"/>
      <c r="CV54" s="19"/>
      <c r="CW54" s="19"/>
      <c r="CX54" s="19"/>
      <c r="CY54" s="19"/>
      <c r="CZ54" s="19"/>
      <c r="DA54" s="19"/>
      <c r="DB54" s="19"/>
      <c r="DC54" s="19"/>
      <c r="DD54" s="19"/>
      <c r="DE54" s="19"/>
      <c r="DF54" s="19"/>
      <c r="DG54" s="19"/>
      <c r="DH54" s="19"/>
      <c r="DI54" s="19"/>
      <c r="DJ54" s="19"/>
      <c r="DK54" s="19"/>
      <c r="DL54" s="19"/>
      <c r="DM54" s="19"/>
      <c r="DN54" s="19"/>
      <c r="DO54" s="19"/>
      <c r="DP54" s="19"/>
      <c r="DQ54" s="19"/>
      <c r="DR54" s="19"/>
      <c r="DS54" s="19"/>
      <c r="DT54" s="19"/>
      <c r="DU54" s="19"/>
      <c r="DV54" s="19"/>
      <c r="DW54" s="19"/>
      <c r="DX54" s="19"/>
      <c r="DY54" s="19"/>
      <c r="DZ54" s="19"/>
      <c r="EA54" s="19"/>
      <c r="EB54" s="19"/>
      <c r="EC54" s="19"/>
      <c r="ED54" s="19"/>
      <c r="EE54" s="19"/>
      <c r="EF54" s="19"/>
      <c r="EG54" s="19"/>
      <c r="EH54" s="19"/>
      <c r="EI54" s="19"/>
      <c r="EJ54" s="19"/>
      <c r="EK54" s="19"/>
      <c r="EL54" s="19"/>
      <c r="EM54" s="19"/>
      <c r="EN54" s="19"/>
      <c r="EO54" s="19"/>
      <c r="EP54" s="19"/>
      <c r="EQ54" s="19"/>
      <c r="ER54" s="19"/>
      <c r="ES54" s="19"/>
      <c r="ET54" s="19"/>
      <c r="EU54" s="19"/>
      <c r="EV54" s="19"/>
      <c r="EW54" s="19"/>
      <c r="EX54" s="19"/>
      <c r="EY54" s="19"/>
      <c r="EZ54" s="19"/>
      <c r="FA54" s="19"/>
      <c r="FB54" s="19"/>
      <c r="FC54" s="19"/>
      <c r="FD54" s="19"/>
      <c r="FE54" s="19"/>
      <c r="FF54" s="19"/>
      <c r="FG54" s="19"/>
      <c r="FH54" s="19"/>
      <c r="FI54" s="19"/>
    </row>
    <row r="55" spans="1:165" ht="16.5" thickBot="1" x14ac:dyDescent="0.35">
      <c r="A55" s="33"/>
      <c r="B55" s="34"/>
      <c r="C55" s="34"/>
      <c r="D55" s="43" t="s">
        <v>61</v>
      </c>
      <c r="E55" s="98" t="str">
        <f>IF(RIOUT=0, "Disabled", 50/RIOUT)</f>
        <v>Disabled</v>
      </c>
      <c r="F55" s="74" t="s">
        <v>12</v>
      </c>
      <c r="G55" s="156" t="str">
        <f>_xlfn.CONCAT(E55, " ",F55)</f>
        <v>Disabled A</v>
      </c>
      <c r="H55" s="84">
        <f>0.95*$E$52</f>
        <v>47.5</v>
      </c>
      <c r="I55" s="84">
        <f>1.05*$E$52</f>
        <v>52.5</v>
      </c>
      <c r="J55" s="29"/>
      <c r="K55" s="29"/>
      <c r="L55" s="29"/>
      <c r="M55" s="29"/>
      <c r="N55" s="29"/>
      <c r="O55" s="29"/>
      <c r="P55" s="29"/>
      <c r="Q55" s="29"/>
      <c r="R55" s="29"/>
      <c r="S55" s="30"/>
      <c r="T55" s="18"/>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19"/>
      <c r="BO55" s="19"/>
      <c r="BP55" s="19"/>
      <c r="BQ55" s="19"/>
      <c r="BR55" s="19"/>
      <c r="BS55" s="19"/>
      <c r="BT55" s="19"/>
      <c r="BU55" s="19"/>
      <c r="BV55" s="19"/>
      <c r="BW55" s="19"/>
      <c r="BX55" s="19"/>
      <c r="BY55" s="19"/>
      <c r="BZ55" s="19"/>
      <c r="CA55" s="19"/>
      <c r="CB55" s="19"/>
      <c r="CC55" s="19"/>
      <c r="CD55" s="19"/>
      <c r="CE55" s="19"/>
      <c r="CF55" s="19"/>
      <c r="CG55" s="19"/>
      <c r="CH55" s="19"/>
      <c r="CI55" s="19"/>
      <c r="CJ55" s="19"/>
      <c r="CK55" s="19"/>
      <c r="CL55" s="19"/>
      <c r="CM55" s="19"/>
      <c r="CN55" s="19"/>
      <c r="CO55" s="19"/>
      <c r="CP55" s="19"/>
      <c r="CQ55" s="19"/>
      <c r="CR55" s="19"/>
      <c r="CS55" s="19"/>
      <c r="CT55" s="19"/>
      <c r="CU55" s="19"/>
      <c r="CV55" s="19"/>
      <c r="CW55" s="19"/>
      <c r="CX55" s="19"/>
      <c r="CY55" s="19"/>
      <c r="CZ55" s="19"/>
      <c r="DA55" s="19"/>
      <c r="DB55" s="19"/>
      <c r="DC55" s="19"/>
      <c r="DD55" s="19"/>
      <c r="DE55" s="19"/>
      <c r="DF55" s="19"/>
      <c r="DG55" s="19"/>
      <c r="DH55" s="19"/>
      <c r="DI55" s="19"/>
      <c r="DJ55" s="19"/>
      <c r="DK55" s="19"/>
      <c r="DL55" s="19"/>
      <c r="DM55" s="19"/>
      <c r="DN55" s="19"/>
      <c r="DO55" s="19"/>
      <c r="DP55" s="19"/>
      <c r="DQ55" s="19"/>
      <c r="DR55" s="19"/>
      <c r="DS55" s="19"/>
      <c r="DT55" s="19"/>
      <c r="DU55" s="19"/>
      <c r="DV55" s="19"/>
      <c r="DW55" s="19"/>
      <c r="DX55" s="19"/>
      <c r="DY55" s="19"/>
      <c r="DZ55" s="19"/>
      <c r="EA55" s="19"/>
      <c r="EB55" s="19"/>
      <c r="EC55" s="19"/>
      <c r="ED55" s="19"/>
      <c r="EE55" s="19"/>
      <c r="EF55" s="19"/>
      <c r="EG55" s="19"/>
      <c r="EH55" s="19"/>
      <c r="EI55" s="19"/>
      <c r="EJ55" s="19"/>
      <c r="EK55" s="19"/>
      <c r="EL55" s="19"/>
      <c r="EM55" s="19"/>
      <c r="EN55" s="19"/>
      <c r="EO55" s="19"/>
      <c r="EP55" s="19"/>
      <c r="EQ55" s="19"/>
      <c r="ER55" s="19"/>
      <c r="ES55" s="19"/>
      <c r="ET55" s="19"/>
      <c r="EU55" s="19"/>
      <c r="EV55" s="19"/>
      <c r="EW55" s="19"/>
      <c r="EX55" s="19"/>
      <c r="EY55" s="19"/>
      <c r="EZ55" s="19"/>
      <c r="FA55" s="19"/>
      <c r="FB55" s="19"/>
      <c r="FC55" s="19"/>
      <c r="FD55" s="19"/>
      <c r="FE55" s="19"/>
      <c r="FF55" s="19"/>
      <c r="FG55" s="19"/>
      <c r="FH55" s="19"/>
      <c r="FI55" s="19"/>
    </row>
    <row r="56" spans="1:165" x14ac:dyDescent="0.25">
      <c r="A56" s="31"/>
      <c r="B56" s="13"/>
      <c r="C56" s="13"/>
      <c r="D56" s="13"/>
      <c r="E56" s="13"/>
      <c r="F56" s="127"/>
      <c r="G56" s="156"/>
      <c r="H56" s="13"/>
      <c r="I56" s="13"/>
      <c r="J56" s="29"/>
      <c r="K56" s="29"/>
      <c r="L56" s="29"/>
      <c r="M56" s="29"/>
      <c r="N56" s="29"/>
      <c r="O56" s="29"/>
      <c r="P56" s="29"/>
      <c r="Q56" s="29"/>
      <c r="R56" s="29"/>
      <c r="S56" s="30"/>
      <c r="T56" s="18"/>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c r="BM56" s="19"/>
      <c r="BN56" s="19"/>
      <c r="BO56" s="19"/>
      <c r="BP56" s="19"/>
      <c r="BQ56" s="19"/>
      <c r="BR56" s="19"/>
      <c r="BS56" s="19"/>
      <c r="BT56" s="19"/>
      <c r="BU56" s="19"/>
      <c r="BV56" s="19"/>
      <c r="BW56" s="19"/>
      <c r="BX56" s="19"/>
      <c r="BY56" s="19"/>
      <c r="BZ56" s="19"/>
      <c r="CA56" s="19"/>
      <c r="CB56" s="19"/>
      <c r="CC56" s="19"/>
      <c r="CD56" s="19"/>
      <c r="CE56" s="19"/>
      <c r="CF56" s="19"/>
      <c r="CG56" s="19"/>
      <c r="CH56" s="19"/>
      <c r="CI56" s="19"/>
      <c r="CJ56" s="19"/>
      <c r="CK56" s="19"/>
      <c r="CL56" s="19"/>
      <c r="CM56" s="19"/>
      <c r="CN56" s="19"/>
      <c r="CO56" s="19"/>
      <c r="CP56" s="19"/>
      <c r="CQ56" s="19"/>
      <c r="CR56" s="19"/>
      <c r="CS56" s="19"/>
      <c r="CT56" s="19"/>
      <c r="CU56" s="19"/>
      <c r="CV56" s="19"/>
      <c r="CW56" s="19"/>
      <c r="CX56" s="19"/>
      <c r="CY56" s="19"/>
      <c r="CZ56" s="19"/>
      <c r="DA56" s="19"/>
      <c r="DB56" s="19"/>
      <c r="DC56" s="19"/>
      <c r="DD56" s="19"/>
      <c r="DE56" s="19"/>
      <c r="DF56" s="19"/>
      <c r="DG56" s="19"/>
      <c r="DH56" s="19"/>
      <c r="DI56" s="19"/>
      <c r="DJ56" s="19"/>
      <c r="DK56" s="19"/>
      <c r="DL56" s="19"/>
      <c r="DM56" s="19"/>
      <c r="DN56" s="19"/>
      <c r="DO56" s="19"/>
      <c r="DP56" s="19"/>
      <c r="DQ56" s="19"/>
      <c r="DR56" s="19"/>
      <c r="DS56" s="19"/>
      <c r="DT56" s="19"/>
      <c r="DU56" s="19"/>
      <c r="DV56" s="19"/>
      <c r="DW56" s="19"/>
      <c r="DX56" s="19"/>
      <c r="DY56" s="19"/>
      <c r="DZ56" s="19"/>
      <c r="EA56" s="19"/>
      <c r="EB56" s="19"/>
      <c r="EC56" s="19"/>
      <c r="ED56" s="19"/>
      <c r="EE56" s="19"/>
      <c r="EF56" s="19"/>
      <c r="EG56" s="19"/>
      <c r="EH56" s="19"/>
      <c r="EI56" s="19"/>
      <c r="EJ56" s="19"/>
      <c r="EK56" s="19"/>
      <c r="EL56" s="19"/>
      <c r="EM56" s="19"/>
      <c r="EN56" s="19"/>
      <c r="EO56" s="19"/>
      <c r="EP56" s="19"/>
      <c r="EQ56" s="19"/>
      <c r="ER56" s="19"/>
      <c r="ES56" s="19"/>
      <c r="ET56" s="19"/>
      <c r="EU56" s="19"/>
      <c r="EV56" s="19"/>
      <c r="EW56" s="19"/>
      <c r="EX56" s="19"/>
      <c r="EY56" s="19"/>
      <c r="EZ56" s="19"/>
      <c r="FA56" s="19"/>
      <c r="FB56" s="19"/>
      <c r="FC56" s="19"/>
      <c r="FD56" s="19"/>
      <c r="FE56" s="19"/>
      <c r="FF56" s="19"/>
      <c r="FG56" s="19"/>
      <c r="FH56" s="19"/>
      <c r="FI56" s="19"/>
    </row>
    <row r="57" spans="1:165" ht="15.75" thickBot="1" x14ac:dyDescent="0.3">
      <c r="A57" s="36" t="s">
        <v>62</v>
      </c>
      <c r="B57" s="13"/>
      <c r="C57" s="13"/>
      <c r="D57" s="13"/>
      <c r="E57" s="13"/>
      <c r="F57" s="127"/>
      <c r="G57" s="156"/>
      <c r="H57" s="13"/>
      <c r="I57" s="13"/>
      <c r="J57" s="29"/>
      <c r="K57" s="29"/>
      <c r="L57" s="29"/>
      <c r="M57" s="29"/>
      <c r="N57" s="29"/>
      <c r="O57" s="29"/>
      <c r="P57" s="29"/>
      <c r="Q57" s="29"/>
      <c r="R57" s="29"/>
      <c r="S57" s="30"/>
      <c r="T57" s="18"/>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c r="BM57" s="19"/>
      <c r="BN57" s="19"/>
      <c r="BO57" s="19"/>
      <c r="BP57" s="19"/>
      <c r="BQ57" s="19"/>
      <c r="BR57" s="19"/>
      <c r="BS57" s="19"/>
      <c r="BT57" s="19"/>
      <c r="BU57" s="19"/>
      <c r="BV57" s="19"/>
      <c r="BW57" s="19"/>
      <c r="BX57" s="19"/>
      <c r="BY57" s="19"/>
      <c r="BZ57" s="19"/>
      <c r="CA57" s="19"/>
      <c r="CB57" s="19"/>
      <c r="CC57" s="19"/>
      <c r="CD57" s="19"/>
      <c r="CE57" s="19"/>
      <c r="CF57" s="19"/>
      <c r="CG57" s="19"/>
      <c r="CH57" s="19"/>
      <c r="CI57" s="19"/>
      <c r="CJ57" s="19"/>
      <c r="CK57" s="19"/>
      <c r="CL57" s="19"/>
      <c r="CM57" s="19"/>
      <c r="CN57" s="19"/>
      <c r="CO57" s="19"/>
      <c r="CP57" s="19"/>
      <c r="CQ57" s="19"/>
      <c r="CR57" s="19"/>
      <c r="CS57" s="19"/>
      <c r="CT57" s="19"/>
      <c r="CU57" s="19"/>
      <c r="CV57" s="19"/>
      <c r="CW57" s="19"/>
      <c r="CX57" s="19"/>
      <c r="CY57" s="19"/>
      <c r="CZ57" s="19"/>
      <c r="DA57" s="19"/>
      <c r="DB57" s="19"/>
      <c r="DC57" s="19"/>
      <c r="DD57" s="19"/>
      <c r="DE57" s="19"/>
      <c r="DF57" s="19"/>
      <c r="DG57" s="19"/>
      <c r="DH57" s="19"/>
      <c r="DI57" s="19"/>
      <c r="DJ57" s="19"/>
      <c r="DK57" s="19"/>
      <c r="DL57" s="19"/>
      <c r="DM57" s="19"/>
      <c r="DN57" s="19"/>
      <c r="DO57" s="19"/>
      <c r="DP57" s="19"/>
      <c r="DQ57" s="19"/>
      <c r="DR57" s="19"/>
      <c r="DS57" s="19"/>
      <c r="DT57" s="19"/>
      <c r="DU57" s="19"/>
      <c r="DV57" s="19"/>
      <c r="DW57" s="19"/>
      <c r="DX57" s="19"/>
      <c r="DY57" s="19"/>
      <c r="DZ57" s="19"/>
      <c r="EA57" s="19"/>
      <c r="EB57" s="19"/>
      <c r="EC57" s="19"/>
      <c r="ED57" s="19"/>
      <c r="EE57" s="19"/>
      <c r="EF57" s="19"/>
      <c r="EG57" s="19"/>
      <c r="EH57" s="19"/>
      <c r="EI57" s="19"/>
      <c r="EJ57" s="19"/>
      <c r="EK57" s="19"/>
      <c r="EL57" s="19"/>
      <c r="EM57" s="19"/>
      <c r="EN57" s="19"/>
      <c r="EO57" s="19"/>
      <c r="EP57" s="19"/>
      <c r="EQ57" s="19"/>
      <c r="ER57" s="19"/>
      <c r="ES57" s="19"/>
      <c r="ET57" s="19"/>
      <c r="EU57" s="19"/>
      <c r="EV57" s="19"/>
      <c r="EW57" s="19"/>
      <c r="EX57" s="19"/>
      <c r="EY57" s="19"/>
      <c r="EZ57" s="19"/>
      <c r="FA57" s="19"/>
      <c r="FB57" s="19"/>
      <c r="FC57" s="19"/>
      <c r="FD57" s="19"/>
      <c r="FE57" s="19"/>
      <c r="FF57" s="19"/>
      <c r="FG57" s="19"/>
      <c r="FH57" s="19"/>
      <c r="FI57" s="19"/>
    </row>
    <row r="58" spans="1:165" x14ac:dyDescent="0.25">
      <c r="A58" s="27"/>
      <c r="B58" s="23"/>
      <c r="C58" s="23"/>
      <c r="D58" s="28" t="s">
        <v>63</v>
      </c>
      <c r="E58" s="68">
        <v>48</v>
      </c>
      <c r="F58" s="132" t="s">
        <v>7</v>
      </c>
      <c r="G58" s="156"/>
      <c r="H58" s="13"/>
      <c r="I58" s="13"/>
      <c r="J58" s="29"/>
      <c r="K58" s="29"/>
      <c r="L58" s="29"/>
      <c r="M58" s="29"/>
      <c r="N58" s="29"/>
      <c r="O58" s="29"/>
      <c r="P58" s="29"/>
      <c r="Q58" s="29"/>
      <c r="R58" s="29"/>
      <c r="S58" s="30"/>
      <c r="T58" s="18"/>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c r="BM58" s="19"/>
      <c r="BN58" s="19"/>
      <c r="BO58" s="19"/>
      <c r="BP58" s="19"/>
      <c r="BQ58" s="19"/>
      <c r="BR58" s="19"/>
      <c r="BS58" s="19"/>
      <c r="BT58" s="19"/>
      <c r="BU58" s="19"/>
      <c r="BV58" s="19"/>
      <c r="BW58" s="19"/>
      <c r="BX58" s="19"/>
      <c r="BY58" s="19"/>
      <c r="BZ58" s="19"/>
      <c r="CA58" s="19"/>
      <c r="CB58" s="19"/>
      <c r="CC58" s="19"/>
      <c r="CD58" s="19"/>
      <c r="CE58" s="19"/>
      <c r="CF58" s="19"/>
      <c r="CG58" s="19"/>
      <c r="CH58" s="19"/>
      <c r="CI58" s="19"/>
      <c r="CJ58" s="19"/>
      <c r="CK58" s="19"/>
      <c r="CL58" s="19"/>
      <c r="CM58" s="19"/>
      <c r="CN58" s="19"/>
      <c r="CO58" s="19"/>
      <c r="CP58" s="19"/>
      <c r="CQ58" s="19"/>
      <c r="CR58" s="19"/>
      <c r="CS58" s="19"/>
      <c r="CT58" s="19"/>
      <c r="CU58" s="19"/>
      <c r="CV58" s="19"/>
      <c r="CW58" s="19"/>
      <c r="CX58" s="19"/>
      <c r="CY58" s="19"/>
      <c r="CZ58" s="19"/>
      <c r="DA58" s="19"/>
      <c r="DB58" s="19"/>
      <c r="DC58" s="19"/>
      <c r="DD58" s="19"/>
      <c r="DE58" s="19"/>
      <c r="DF58" s="19"/>
      <c r="DG58" s="19"/>
      <c r="DH58" s="19"/>
      <c r="DI58" s="19"/>
      <c r="DJ58" s="19"/>
      <c r="DK58" s="19"/>
      <c r="DL58" s="19"/>
      <c r="DM58" s="19"/>
      <c r="DN58" s="19"/>
      <c r="DO58" s="19"/>
      <c r="DP58" s="19"/>
      <c r="DQ58" s="19"/>
      <c r="DR58" s="19"/>
      <c r="DS58" s="19"/>
      <c r="DT58" s="19"/>
      <c r="DU58" s="19"/>
      <c r="DV58" s="19"/>
      <c r="DW58" s="19"/>
      <c r="DX58" s="19"/>
      <c r="DY58" s="19"/>
      <c r="DZ58" s="19"/>
      <c r="EA58" s="19"/>
      <c r="EB58" s="19"/>
      <c r="EC58" s="19"/>
      <c r="ED58" s="19"/>
      <c r="EE58" s="19"/>
      <c r="EF58" s="19"/>
      <c r="EG58" s="19"/>
      <c r="EH58" s="19"/>
      <c r="EI58" s="19"/>
      <c r="EJ58" s="19"/>
      <c r="EK58" s="19"/>
      <c r="EL58" s="19"/>
      <c r="EM58" s="19"/>
      <c r="EN58" s="19"/>
      <c r="EO58" s="19"/>
      <c r="EP58" s="19"/>
      <c r="EQ58" s="19"/>
      <c r="ER58" s="19"/>
      <c r="ES58" s="19"/>
      <c r="ET58" s="19"/>
      <c r="EU58" s="19"/>
      <c r="EV58" s="19"/>
      <c r="EW58" s="19"/>
      <c r="EX58" s="19"/>
      <c r="EY58" s="19"/>
      <c r="EZ58" s="19"/>
      <c r="FA58" s="19"/>
      <c r="FB58" s="19"/>
      <c r="FC58" s="19"/>
      <c r="FD58" s="19"/>
      <c r="FE58" s="19"/>
      <c r="FF58" s="19"/>
      <c r="FG58" s="19"/>
      <c r="FH58" s="19"/>
      <c r="FI58" s="19"/>
    </row>
    <row r="59" spans="1:165" x14ac:dyDescent="0.25">
      <c r="A59" s="31"/>
      <c r="B59" s="13"/>
      <c r="C59" s="13"/>
      <c r="D59" s="32" t="s">
        <v>64</v>
      </c>
      <c r="E59" s="69">
        <v>24</v>
      </c>
      <c r="F59" s="128" t="s">
        <v>7</v>
      </c>
      <c r="G59" s="156"/>
      <c r="H59" s="13"/>
      <c r="I59" s="13"/>
      <c r="J59" s="29"/>
      <c r="K59" s="29"/>
      <c r="L59" s="29"/>
      <c r="M59" s="29"/>
      <c r="N59" s="29"/>
      <c r="O59" s="29"/>
      <c r="P59" s="29"/>
      <c r="Q59" s="29"/>
      <c r="R59" s="29"/>
      <c r="S59" s="30"/>
      <c r="T59" s="18"/>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c r="BM59" s="19"/>
      <c r="BN59" s="19"/>
      <c r="BO59" s="19"/>
      <c r="BP59" s="19"/>
      <c r="BQ59" s="19"/>
      <c r="BR59" s="19"/>
      <c r="BS59" s="19"/>
      <c r="BT59" s="19"/>
      <c r="BU59" s="19"/>
      <c r="BV59" s="19"/>
      <c r="BW59" s="19"/>
      <c r="BX59" s="19"/>
      <c r="BY59" s="19"/>
      <c r="BZ59" s="19"/>
      <c r="CA59" s="19"/>
      <c r="CB59" s="19"/>
      <c r="CC59" s="19"/>
      <c r="CD59" s="19"/>
      <c r="CE59" s="19"/>
      <c r="CF59" s="19"/>
      <c r="CG59" s="19"/>
      <c r="CH59" s="19"/>
      <c r="CI59" s="19"/>
      <c r="CJ59" s="19"/>
      <c r="CK59" s="19"/>
      <c r="CL59" s="19"/>
      <c r="CM59" s="19"/>
      <c r="CN59" s="19"/>
      <c r="CO59" s="19"/>
      <c r="CP59" s="19"/>
      <c r="CQ59" s="19"/>
      <c r="CR59" s="19"/>
      <c r="CS59" s="19"/>
      <c r="CT59" s="19"/>
      <c r="CU59" s="19"/>
      <c r="CV59" s="19"/>
      <c r="CW59" s="19"/>
      <c r="CX59" s="19"/>
      <c r="CY59" s="19"/>
      <c r="CZ59" s="19"/>
      <c r="DA59" s="19"/>
      <c r="DB59" s="19"/>
      <c r="DC59" s="19"/>
      <c r="DD59" s="19"/>
      <c r="DE59" s="19"/>
      <c r="DF59" s="19"/>
      <c r="DG59" s="19"/>
      <c r="DH59" s="19"/>
      <c r="DI59" s="19"/>
      <c r="DJ59" s="19"/>
      <c r="DK59" s="19"/>
      <c r="DL59" s="19"/>
      <c r="DM59" s="19"/>
      <c r="DN59" s="19"/>
      <c r="DO59" s="19"/>
      <c r="DP59" s="19"/>
      <c r="DQ59" s="19"/>
      <c r="DR59" s="19"/>
      <c r="DS59" s="19"/>
      <c r="DT59" s="19"/>
      <c r="DU59" s="19"/>
      <c r="DV59" s="19"/>
      <c r="DW59" s="19"/>
      <c r="DX59" s="19"/>
      <c r="DY59" s="19"/>
      <c r="DZ59" s="19"/>
      <c r="EA59" s="19"/>
      <c r="EB59" s="19"/>
      <c r="EC59" s="19"/>
      <c r="ED59" s="19"/>
      <c r="EE59" s="19"/>
      <c r="EF59" s="19"/>
      <c r="EG59" s="19"/>
      <c r="EH59" s="19"/>
      <c r="EI59" s="19"/>
      <c r="EJ59" s="19"/>
      <c r="EK59" s="19"/>
      <c r="EL59" s="19"/>
      <c r="EM59" s="19"/>
      <c r="EN59" s="19"/>
      <c r="EO59" s="19"/>
      <c r="EP59" s="19"/>
      <c r="EQ59" s="19"/>
      <c r="ER59" s="19"/>
      <c r="ES59" s="19"/>
      <c r="ET59" s="19"/>
      <c r="EU59" s="19"/>
      <c r="EV59" s="19"/>
      <c r="EW59" s="19"/>
      <c r="EX59" s="19"/>
      <c r="EY59" s="19"/>
      <c r="EZ59" s="19"/>
      <c r="FA59" s="19"/>
      <c r="FB59" s="19"/>
      <c r="FC59" s="19"/>
      <c r="FD59" s="19"/>
      <c r="FE59" s="19"/>
      <c r="FF59" s="19"/>
      <c r="FG59" s="19"/>
      <c r="FH59" s="19"/>
      <c r="FI59" s="19"/>
    </row>
    <row r="60" spans="1:165" ht="15.75" x14ac:dyDescent="0.3">
      <c r="A60" s="96"/>
      <c r="B60" s="13"/>
      <c r="C60" s="13"/>
      <c r="D60" s="39" t="s">
        <v>65</v>
      </c>
      <c r="E60" s="13">
        <v>1000</v>
      </c>
      <c r="F60" s="128" t="s">
        <v>18</v>
      </c>
      <c r="G60" s="156"/>
      <c r="H60" s="13"/>
      <c r="I60" s="13"/>
      <c r="J60" s="29"/>
      <c r="K60" s="29"/>
      <c r="L60" s="29"/>
      <c r="M60" s="29"/>
      <c r="N60" s="29"/>
      <c r="O60" s="29"/>
      <c r="P60" s="29"/>
      <c r="Q60" s="29"/>
      <c r="R60" s="29"/>
      <c r="S60" s="30"/>
      <c r="T60" s="18"/>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c r="BM60" s="19"/>
      <c r="BN60" s="19"/>
      <c r="BO60" s="19"/>
      <c r="BP60" s="19"/>
      <c r="BQ60" s="19"/>
      <c r="BR60" s="19"/>
      <c r="BS60" s="19"/>
      <c r="BT60" s="19"/>
      <c r="BU60" s="19"/>
      <c r="BV60" s="19"/>
      <c r="BW60" s="19"/>
      <c r="BX60" s="19"/>
      <c r="BY60" s="19"/>
      <c r="BZ60" s="19"/>
      <c r="CA60" s="19"/>
      <c r="CB60" s="19"/>
      <c r="CC60" s="19"/>
      <c r="CD60" s="19"/>
      <c r="CE60" s="19"/>
      <c r="CF60" s="19"/>
      <c r="CG60" s="19"/>
      <c r="CH60" s="19"/>
      <c r="CI60" s="19"/>
      <c r="CJ60" s="19"/>
      <c r="CK60" s="19"/>
      <c r="CL60" s="19"/>
      <c r="CM60" s="19"/>
      <c r="CN60" s="19"/>
      <c r="CO60" s="19"/>
      <c r="CP60" s="19"/>
      <c r="CQ60" s="19"/>
      <c r="CR60" s="19"/>
      <c r="CS60" s="19"/>
      <c r="CT60" s="19"/>
      <c r="CU60" s="19"/>
      <c r="CV60" s="19"/>
      <c r="CW60" s="19"/>
      <c r="CX60" s="19"/>
      <c r="CY60" s="19"/>
      <c r="CZ60" s="19"/>
      <c r="DA60" s="19"/>
      <c r="DB60" s="19"/>
      <c r="DC60" s="19"/>
      <c r="DD60" s="19"/>
      <c r="DE60" s="19"/>
      <c r="DF60" s="19"/>
      <c r="DG60" s="19"/>
      <c r="DH60" s="19"/>
      <c r="DI60" s="19"/>
      <c r="DJ60" s="19"/>
      <c r="DK60" s="19"/>
      <c r="DL60" s="19"/>
      <c r="DM60" s="19"/>
      <c r="DN60" s="19"/>
      <c r="DO60" s="19"/>
      <c r="DP60" s="19"/>
      <c r="DQ60" s="19"/>
      <c r="DR60" s="19"/>
      <c r="DS60" s="19"/>
      <c r="DT60" s="19"/>
      <c r="DU60" s="19"/>
      <c r="DV60" s="19"/>
      <c r="DW60" s="19"/>
      <c r="DX60" s="19"/>
      <c r="DY60" s="19"/>
      <c r="DZ60" s="19"/>
      <c r="EA60" s="19"/>
      <c r="EB60" s="19"/>
      <c r="EC60" s="19"/>
      <c r="ED60" s="19"/>
      <c r="EE60" s="19"/>
      <c r="EF60" s="19"/>
      <c r="EG60" s="19"/>
      <c r="EH60" s="19"/>
      <c r="EI60" s="19"/>
      <c r="EJ60" s="19"/>
      <c r="EK60" s="19"/>
      <c r="EL60" s="19"/>
      <c r="EM60" s="19"/>
      <c r="EN60" s="19"/>
      <c r="EO60" s="19"/>
      <c r="EP60" s="19"/>
      <c r="EQ60" s="19"/>
      <c r="ER60" s="19"/>
      <c r="ES60" s="19"/>
      <c r="ET60" s="19"/>
      <c r="EU60" s="19"/>
      <c r="EV60" s="19"/>
      <c r="EW60" s="19"/>
      <c r="EX60" s="19"/>
      <c r="EY60" s="19"/>
      <c r="EZ60" s="19"/>
      <c r="FA60" s="19"/>
      <c r="FB60" s="19"/>
      <c r="FC60" s="19"/>
      <c r="FD60" s="19"/>
      <c r="FE60" s="19"/>
      <c r="FF60" s="19"/>
      <c r="FG60" s="19"/>
      <c r="FH60" s="19"/>
      <c r="FI60" s="19"/>
    </row>
    <row r="61" spans="1:165" ht="15.75" x14ac:dyDescent="0.3">
      <c r="A61" s="31"/>
      <c r="B61" s="13"/>
      <c r="C61" s="13"/>
      <c r="D61" s="39" t="s">
        <v>66</v>
      </c>
      <c r="E61" s="41">
        <f>RAC1_R*(1.1-1.2*ACUV_D/ACOV_D)/(ACUV_D-1.1)</f>
        <v>21.834061135371186</v>
      </c>
      <c r="F61" s="128" t="s">
        <v>18</v>
      </c>
      <c r="G61" s="156"/>
      <c r="H61" s="13"/>
      <c r="I61" s="13"/>
      <c r="J61" s="29"/>
      <c r="K61" s="29"/>
      <c r="L61" s="29"/>
      <c r="M61" s="29"/>
      <c r="N61" s="29"/>
      <c r="O61" s="29"/>
      <c r="P61" s="29"/>
      <c r="Q61" s="29"/>
      <c r="R61" s="29"/>
      <c r="S61" s="30"/>
      <c r="T61" s="18"/>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c r="BM61" s="19"/>
      <c r="BN61" s="19"/>
      <c r="BO61" s="19"/>
      <c r="BP61" s="19"/>
      <c r="BQ61" s="19"/>
      <c r="BR61" s="19"/>
      <c r="BS61" s="19"/>
      <c r="BT61" s="19"/>
      <c r="BU61" s="19"/>
      <c r="BV61" s="19"/>
      <c r="BW61" s="19"/>
      <c r="BX61" s="19"/>
      <c r="BY61" s="19"/>
      <c r="BZ61" s="19"/>
      <c r="CA61" s="19"/>
      <c r="CB61" s="19"/>
      <c r="CC61" s="19"/>
      <c r="CD61" s="19"/>
      <c r="CE61" s="19"/>
      <c r="CF61" s="19"/>
      <c r="CG61" s="19"/>
      <c r="CH61" s="19"/>
      <c r="CI61" s="19"/>
      <c r="CJ61" s="19"/>
      <c r="CK61" s="19"/>
      <c r="CL61" s="19"/>
      <c r="CM61" s="19"/>
      <c r="CN61" s="19"/>
      <c r="CO61" s="19"/>
      <c r="CP61" s="19"/>
      <c r="CQ61" s="19"/>
      <c r="CR61" s="19"/>
      <c r="CS61" s="19"/>
      <c r="CT61" s="19"/>
      <c r="CU61" s="19"/>
      <c r="CV61" s="19"/>
      <c r="CW61" s="19"/>
      <c r="CX61" s="19"/>
      <c r="CY61" s="19"/>
      <c r="CZ61" s="19"/>
      <c r="DA61" s="19"/>
      <c r="DB61" s="19"/>
      <c r="DC61" s="19"/>
      <c r="DD61" s="19"/>
      <c r="DE61" s="19"/>
      <c r="DF61" s="19"/>
      <c r="DG61" s="19"/>
      <c r="DH61" s="19"/>
      <c r="DI61" s="19"/>
      <c r="DJ61" s="19"/>
      <c r="DK61" s="19"/>
      <c r="DL61" s="19"/>
      <c r="DM61" s="19"/>
      <c r="DN61" s="19"/>
      <c r="DO61" s="19"/>
      <c r="DP61" s="19"/>
      <c r="DQ61" s="19"/>
      <c r="DR61" s="19"/>
      <c r="DS61" s="19"/>
      <c r="DT61" s="19"/>
      <c r="DU61" s="19"/>
      <c r="DV61" s="19"/>
      <c r="DW61" s="19"/>
      <c r="DX61" s="19"/>
      <c r="DY61" s="19"/>
      <c r="DZ61" s="19"/>
      <c r="EA61" s="19"/>
      <c r="EB61" s="19"/>
      <c r="EC61" s="19"/>
      <c r="ED61" s="19"/>
      <c r="EE61" s="19"/>
      <c r="EF61" s="19"/>
      <c r="EG61" s="19"/>
      <c r="EH61" s="19"/>
      <c r="EI61" s="19"/>
      <c r="EJ61" s="19"/>
      <c r="EK61" s="19"/>
      <c r="EL61" s="19"/>
      <c r="EM61" s="19"/>
      <c r="EN61" s="19"/>
      <c r="EO61" s="19"/>
      <c r="EP61" s="19"/>
      <c r="EQ61" s="19"/>
      <c r="ER61" s="19"/>
      <c r="ES61" s="19"/>
      <c r="ET61" s="19"/>
      <c r="EU61" s="19"/>
      <c r="EV61" s="19"/>
      <c r="EW61" s="19"/>
      <c r="EX61" s="19"/>
      <c r="EY61" s="19"/>
      <c r="EZ61" s="19"/>
      <c r="FA61" s="19"/>
      <c r="FB61" s="19"/>
      <c r="FC61" s="19"/>
      <c r="FD61" s="19"/>
      <c r="FE61" s="19"/>
      <c r="FF61" s="19"/>
      <c r="FG61" s="19"/>
      <c r="FH61" s="19"/>
      <c r="FI61" s="19"/>
    </row>
    <row r="62" spans="1:165" ht="15.75" x14ac:dyDescent="0.3">
      <c r="A62" s="31"/>
      <c r="B62" s="13"/>
      <c r="C62" s="13"/>
      <c r="D62" s="39" t="s">
        <v>67</v>
      </c>
      <c r="E62" s="41">
        <f>(1.2*(RAC1_R+RAC2_R)/(ACOV_D-1.2))</f>
        <v>26.200873362445414</v>
      </c>
      <c r="F62" s="128" t="s">
        <v>18</v>
      </c>
      <c r="G62" s="156"/>
      <c r="H62" s="13"/>
      <c r="I62" s="13"/>
      <c r="J62" s="29"/>
      <c r="K62" s="29"/>
      <c r="L62" s="29"/>
      <c r="M62" s="29"/>
      <c r="N62" s="29"/>
      <c r="O62" s="29"/>
      <c r="P62" s="29"/>
      <c r="Q62" s="29"/>
      <c r="R62" s="29"/>
      <c r="S62" s="30"/>
      <c r="T62" s="18"/>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c r="BM62" s="19"/>
      <c r="BN62" s="19"/>
      <c r="BO62" s="19"/>
      <c r="BP62" s="19"/>
      <c r="BQ62" s="19"/>
      <c r="BR62" s="19"/>
      <c r="BS62" s="19"/>
      <c r="BT62" s="19"/>
      <c r="BU62" s="19"/>
      <c r="BV62" s="19"/>
      <c r="BW62" s="19"/>
      <c r="BX62" s="19"/>
      <c r="BY62" s="19"/>
      <c r="BZ62" s="19"/>
      <c r="CA62" s="19"/>
      <c r="CB62" s="19"/>
      <c r="CC62" s="19"/>
      <c r="CD62" s="19"/>
      <c r="CE62" s="19"/>
      <c r="CF62" s="19"/>
      <c r="CG62" s="19"/>
      <c r="CH62" s="19"/>
      <c r="CI62" s="19"/>
      <c r="CJ62" s="19"/>
      <c r="CK62" s="19"/>
      <c r="CL62" s="19"/>
      <c r="CM62" s="19"/>
      <c r="CN62" s="19"/>
      <c r="CO62" s="19"/>
      <c r="CP62" s="19"/>
      <c r="CQ62" s="19"/>
      <c r="CR62" s="19"/>
      <c r="CS62" s="19"/>
      <c r="CT62" s="19"/>
      <c r="CU62" s="19"/>
      <c r="CV62" s="19"/>
      <c r="CW62" s="19"/>
      <c r="CX62" s="19"/>
      <c r="CY62" s="19"/>
      <c r="CZ62" s="19"/>
      <c r="DA62" s="19"/>
      <c r="DB62" s="19"/>
      <c r="DC62" s="19"/>
      <c r="DD62" s="19"/>
      <c r="DE62" s="19"/>
      <c r="DF62" s="19"/>
      <c r="DG62" s="19"/>
      <c r="DH62" s="19"/>
      <c r="DI62" s="19"/>
      <c r="DJ62" s="19"/>
      <c r="DK62" s="19"/>
      <c r="DL62" s="19"/>
      <c r="DM62" s="19"/>
      <c r="DN62" s="19"/>
      <c r="DO62" s="19"/>
      <c r="DP62" s="19"/>
      <c r="DQ62" s="19"/>
      <c r="DR62" s="19"/>
      <c r="DS62" s="19"/>
      <c r="DT62" s="19"/>
      <c r="DU62" s="19"/>
      <c r="DV62" s="19"/>
      <c r="DW62" s="19"/>
      <c r="DX62" s="19"/>
      <c r="DY62" s="19"/>
      <c r="DZ62" s="19"/>
      <c r="EA62" s="19"/>
      <c r="EB62" s="19"/>
      <c r="EC62" s="19"/>
      <c r="ED62" s="19"/>
      <c r="EE62" s="19"/>
      <c r="EF62" s="19"/>
      <c r="EG62" s="19"/>
      <c r="EH62" s="19"/>
      <c r="EI62" s="19"/>
      <c r="EJ62" s="19"/>
      <c r="EK62" s="19"/>
      <c r="EL62" s="19"/>
      <c r="EM62" s="19"/>
      <c r="EN62" s="19"/>
      <c r="EO62" s="19"/>
      <c r="EP62" s="19"/>
      <c r="EQ62" s="19"/>
      <c r="ER62" s="19"/>
      <c r="ES62" s="19"/>
      <c r="ET62" s="19"/>
      <c r="EU62" s="19"/>
      <c r="EV62" s="19"/>
      <c r="EW62" s="19"/>
      <c r="EX62" s="19"/>
      <c r="EY62" s="19"/>
      <c r="EZ62" s="19"/>
      <c r="FA62" s="19"/>
      <c r="FB62" s="19"/>
      <c r="FC62" s="19"/>
      <c r="FD62" s="19"/>
      <c r="FE62" s="19"/>
      <c r="FF62" s="19"/>
      <c r="FG62" s="19"/>
      <c r="FH62" s="19"/>
      <c r="FI62" s="19"/>
    </row>
    <row r="63" spans="1:165" x14ac:dyDescent="0.25">
      <c r="A63" s="31"/>
      <c r="B63" s="13"/>
      <c r="C63" s="13"/>
      <c r="D63" s="32" t="s">
        <v>68</v>
      </c>
      <c r="E63" s="69">
        <v>1000</v>
      </c>
      <c r="F63" s="128" t="s">
        <v>18</v>
      </c>
      <c r="G63" s="157" t="str">
        <f>_xlfn.CONCAT(E63, " ",F63)</f>
        <v>1000 kΩ</v>
      </c>
      <c r="H63" s="13"/>
      <c r="I63" s="13"/>
      <c r="J63" s="29"/>
      <c r="K63" s="29"/>
      <c r="L63" s="29"/>
      <c r="M63" s="29"/>
      <c r="N63" s="29"/>
      <c r="O63" s="29"/>
      <c r="P63" s="29"/>
      <c r="Q63" s="29"/>
      <c r="R63" s="29"/>
      <c r="S63" s="30"/>
      <c r="T63" s="18"/>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c r="BM63" s="19"/>
      <c r="BN63" s="19"/>
      <c r="BO63" s="19"/>
      <c r="BP63" s="19"/>
      <c r="BQ63" s="19"/>
      <c r="BR63" s="19"/>
      <c r="BS63" s="19"/>
      <c r="BT63" s="19"/>
      <c r="BU63" s="19"/>
      <c r="BV63" s="19"/>
      <c r="BW63" s="19"/>
      <c r="BX63" s="19"/>
      <c r="BY63" s="19"/>
      <c r="BZ63" s="19"/>
      <c r="CA63" s="19"/>
      <c r="CB63" s="19"/>
      <c r="CC63" s="19"/>
      <c r="CD63" s="19"/>
      <c r="CE63" s="19"/>
      <c r="CF63" s="19"/>
      <c r="CG63" s="19"/>
      <c r="CH63" s="19"/>
      <c r="CI63" s="19"/>
      <c r="CJ63" s="19"/>
      <c r="CK63" s="19"/>
      <c r="CL63" s="19"/>
      <c r="CM63" s="19"/>
      <c r="CN63" s="19"/>
      <c r="CO63" s="19"/>
      <c r="CP63" s="19"/>
      <c r="CQ63" s="19"/>
      <c r="CR63" s="19"/>
      <c r="CS63" s="19"/>
      <c r="CT63" s="19"/>
      <c r="CU63" s="19"/>
      <c r="CV63" s="19"/>
      <c r="CW63" s="19"/>
      <c r="CX63" s="19"/>
      <c r="CY63" s="19"/>
      <c r="CZ63" s="19"/>
      <c r="DA63" s="19"/>
      <c r="DB63" s="19"/>
      <c r="DC63" s="19"/>
      <c r="DD63" s="19"/>
      <c r="DE63" s="19"/>
      <c r="DF63" s="19"/>
      <c r="DG63" s="19"/>
      <c r="DH63" s="19"/>
      <c r="DI63" s="19"/>
      <c r="DJ63" s="19"/>
      <c r="DK63" s="19"/>
      <c r="DL63" s="19"/>
      <c r="DM63" s="19"/>
      <c r="DN63" s="19"/>
      <c r="DO63" s="19"/>
      <c r="DP63" s="19"/>
      <c r="DQ63" s="19"/>
      <c r="DR63" s="19"/>
      <c r="DS63" s="19"/>
      <c r="DT63" s="19"/>
      <c r="DU63" s="19"/>
      <c r="DV63" s="19"/>
      <c r="DW63" s="19"/>
      <c r="DX63" s="19"/>
      <c r="DY63" s="19"/>
      <c r="DZ63" s="19"/>
      <c r="EA63" s="19"/>
      <c r="EB63" s="19"/>
      <c r="EC63" s="19"/>
      <c r="ED63" s="19"/>
      <c r="EE63" s="19"/>
      <c r="EF63" s="19"/>
      <c r="EG63" s="19"/>
      <c r="EH63" s="19"/>
      <c r="EI63" s="19"/>
      <c r="EJ63" s="19"/>
      <c r="EK63" s="19"/>
      <c r="EL63" s="19"/>
      <c r="EM63" s="19"/>
      <c r="EN63" s="19"/>
      <c r="EO63" s="19"/>
      <c r="EP63" s="19"/>
      <c r="EQ63" s="19"/>
      <c r="ER63" s="19"/>
      <c r="ES63" s="19"/>
      <c r="ET63" s="19"/>
      <c r="EU63" s="19"/>
      <c r="EV63" s="19"/>
      <c r="EW63" s="19"/>
      <c r="EX63" s="19"/>
      <c r="EY63" s="19"/>
      <c r="EZ63" s="19"/>
      <c r="FA63" s="19"/>
      <c r="FB63" s="19"/>
      <c r="FC63" s="19"/>
      <c r="FD63" s="19"/>
      <c r="FE63" s="19"/>
      <c r="FF63" s="19"/>
      <c r="FG63" s="19"/>
      <c r="FH63" s="19"/>
      <c r="FI63" s="19"/>
    </row>
    <row r="64" spans="1:165" x14ac:dyDescent="0.25">
      <c r="A64" s="31"/>
      <c r="B64" s="13"/>
      <c r="C64" s="13"/>
      <c r="D64" s="32" t="s">
        <v>69</v>
      </c>
      <c r="E64" s="69">
        <v>22.1</v>
      </c>
      <c r="F64" s="128" t="s">
        <v>18</v>
      </c>
      <c r="G64" s="157" t="str">
        <f>_xlfn.CONCAT(E64, " ",F64)</f>
        <v>22.1 kΩ</v>
      </c>
      <c r="H64" s="13"/>
      <c r="I64" s="13"/>
      <c r="J64" s="29"/>
      <c r="K64" s="29"/>
      <c r="L64" s="29"/>
      <c r="M64" s="29"/>
      <c r="N64" s="29"/>
      <c r="O64" s="29"/>
      <c r="P64" s="29"/>
      <c r="Q64" s="29"/>
      <c r="R64" s="29"/>
      <c r="S64" s="30"/>
      <c r="T64" s="18"/>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c r="BM64" s="19"/>
      <c r="BN64" s="19"/>
      <c r="BO64" s="19"/>
      <c r="BP64" s="19"/>
      <c r="BQ64" s="19"/>
      <c r="BR64" s="19"/>
      <c r="BS64" s="19"/>
      <c r="BT64" s="19"/>
      <c r="BU64" s="19"/>
      <c r="BV64" s="19"/>
      <c r="BW64" s="19"/>
      <c r="BX64" s="19"/>
      <c r="BY64" s="19"/>
      <c r="BZ64" s="19"/>
      <c r="CA64" s="19"/>
      <c r="CB64" s="19"/>
      <c r="CC64" s="19"/>
      <c r="CD64" s="19"/>
      <c r="CE64" s="19"/>
      <c r="CF64" s="19"/>
      <c r="CG64" s="19"/>
      <c r="CH64" s="19"/>
      <c r="CI64" s="19"/>
      <c r="CJ64" s="19"/>
      <c r="CK64" s="19"/>
      <c r="CL64" s="19"/>
      <c r="CM64" s="19"/>
      <c r="CN64" s="19"/>
      <c r="CO64" s="19"/>
      <c r="CP64" s="19"/>
      <c r="CQ64" s="19"/>
      <c r="CR64" s="19"/>
      <c r="CS64" s="19"/>
      <c r="CT64" s="19"/>
      <c r="CU64" s="19"/>
      <c r="CV64" s="19"/>
      <c r="CW64" s="19"/>
      <c r="CX64" s="19"/>
      <c r="CY64" s="19"/>
      <c r="CZ64" s="19"/>
      <c r="DA64" s="19"/>
      <c r="DB64" s="19"/>
      <c r="DC64" s="19"/>
      <c r="DD64" s="19"/>
      <c r="DE64" s="19"/>
      <c r="DF64" s="19"/>
      <c r="DG64" s="19"/>
      <c r="DH64" s="19"/>
      <c r="DI64" s="19"/>
      <c r="DJ64" s="19"/>
      <c r="DK64" s="19"/>
      <c r="DL64" s="19"/>
      <c r="DM64" s="19"/>
      <c r="DN64" s="19"/>
      <c r="DO64" s="19"/>
      <c r="DP64" s="19"/>
      <c r="DQ64" s="19"/>
      <c r="DR64" s="19"/>
      <c r="DS64" s="19"/>
      <c r="DT64" s="19"/>
      <c r="DU64" s="19"/>
      <c r="DV64" s="19"/>
      <c r="DW64" s="19"/>
      <c r="DX64" s="19"/>
      <c r="DY64" s="19"/>
      <c r="DZ64" s="19"/>
      <c r="EA64" s="19"/>
      <c r="EB64" s="19"/>
      <c r="EC64" s="19"/>
      <c r="ED64" s="19"/>
      <c r="EE64" s="19"/>
      <c r="EF64" s="19"/>
      <c r="EG64" s="19"/>
      <c r="EH64" s="19"/>
      <c r="EI64" s="19"/>
      <c r="EJ64" s="19"/>
      <c r="EK64" s="19"/>
      <c r="EL64" s="19"/>
      <c r="EM64" s="19"/>
      <c r="EN64" s="19"/>
      <c r="EO64" s="19"/>
      <c r="EP64" s="19"/>
      <c r="EQ64" s="19"/>
      <c r="ER64" s="19"/>
      <c r="ES64" s="19"/>
      <c r="ET64" s="19"/>
      <c r="EU64" s="19"/>
      <c r="EV64" s="19"/>
      <c r="EW64" s="19"/>
      <c r="EX64" s="19"/>
      <c r="EY64" s="19"/>
      <c r="EZ64" s="19"/>
      <c r="FA64" s="19"/>
      <c r="FB64" s="19"/>
      <c r="FC64" s="19"/>
      <c r="FD64" s="19"/>
      <c r="FE64" s="19"/>
      <c r="FF64" s="19"/>
      <c r="FG64" s="19"/>
      <c r="FH64" s="19"/>
      <c r="FI64" s="19"/>
    </row>
    <row r="65" spans="1:165" x14ac:dyDescent="0.25">
      <c r="A65" s="31"/>
      <c r="B65" s="13"/>
      <c r="C65" s="13"/>
      <c r="D65" s="32" t="s">
        <v>70</v>
      </c>
      <c r="E65" s="69">
        <v>26.1</v>
      </c>
      <c r="F65" s="128" t="s">
        <v>18</v>
      </c>
      <c r="G65" s="157" t="str">
        <f>_xlfn.CONCAT(E65, " ",F65)</f>
        <v>26.1 kΩ</v>
      </c>
      <c r="H65" s="13"/>
      <c r="I65" s="13"/>
      <c r="J65" s="29"/>
      <c r="K65" s="29"/>
      <c r="L65" s="29"/>
      <c r="M65" s="29"/>
      <c r="N65" s="29"/>
      <c r="O65" s="29"/>
      <c r="P65" s="29"/>
      <c r="Q65" s="29"/>
      <c r="R65" s="29"/>
      <c r="S65" s="30"/>
      <c r="T65" s="18"/>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19"/>
      <c r="BM65" s="19"/>
      <c r="BN65" s="19"/>
      <c r="BO65" s="19"/>
      <c r="BP65" s="19"/>
      <c r="BQ65" s="19"/>
      <c r="BR65" s="19"/>
      <c r="BS65" s="19"/>
      <c r="BT65" s="19"/>
      <c r="BU65" s="19"/>
      <c r="BV65" s="19"/>
      <c r="BW65" s="19"/>
      <c r="BX65" s="19"/>
      <c r="BY65" s="19"/>
      <c r="BZ65" s="19"/>
      <c r="CA65" s="19"/>
      <c r="CB65" s="19"/>
      <c r="CC65" s="19"/>
      <c r="CD65" s="19"/>
      <c r="CE65" s="19"/>
      <c r="CF65" s="19"/>
      <c r="CG65" s="19"/>
      <c r="CH65" s="19"/>
      <c r="CI65" s="19"/>
      <c r="CJ65" s="19"/>
      <c r="CK65" s="19"/>
      <c r="CL65" s="19"/>
      <c r="CM65" s="19"/>
      <c r="CN65" s="19"/>
      <c r="CO65" s="19"/>
      <c r="CP65" s="19"/>
      <c r="CQ65" s="19"/>
      <c r="CR65" s="19"/>
      <c r="CS65" s="19"/>
      <c r="CT65" s="19"/>
      <c r="CU65" s="19"/>
      <c r="CV65" s="19"/>
      <c r="CW65" s="19"/>
      <c r="CX65" s="19"/>
      <c r="CY65" s="19"/>
      <c r="CZ65" s="19"/>
      <c r="DA65" s="19"/>
      <c r="DB65" s="19"/>
      <c r="DC65" s="19"/>
      <c r="DD65" s="19"/>
      <c r="DE65" s="19"/>
      <c r="DF65" s="19"/>
      <c r="DG65" s="19"/>
      <c r="DH65" s="19"/>
      <c r="DI65" s="19"/>
      <c r="DJ65" s="19"/>
      <c r="DK65" s="19"/>
      <c r="DL65" s="19"/>
      <c r="DM65" s="19"/>
      <c r="DN65" s="19"/>
      <c r="DO65" s="19"/>
      <c r="DP65" s="19"/>
      <c r="DQ65" s="19"/>
      <c r="DR65" s="19"/>
      <c r="DS65" s="19"/>
      <c r="DT65" s="19"/>
      <c r="DU65" s="19"/>
      <c r="DV65" s="19"/>
      <c r="DW65" s="19"/>
      <c r="DX65" s="19"/>
      <c r="DY65" s="19"/>
      <c r="DZ65" s="19"/>
      <c r="EA65" s="19"/>
      <c r="EB65" s="19"/>
      <c r="EC65" s="19"/>
      <c r="ED65" s="19"/>
      <c r="EE65" s="19"/>
      <c r="EF65" s="19"/>
      <c r="EG65" s="19"/>
      <c r="EH65" s="19"/>
      <c r="EI65" s="19"/>
      <c r="EJ65" s="19"/>
      <c r="EK65" s="19"/>
      <c r="EL65" s="19"/>
      <c r="EM65" s="19"/>
      <c r="EN65" s="19"/>
      <c r="EO65" s="19"/>
      <c r="EP65" s="19"/>
      <c r="EQ65" s="19"/>
      <c r="ER65" s="19"/>
      <c r="ES65" s="19"/>
      <c r="ET65" s="19"/>
      <c r="EU65" s="19"/>
      <c r="EV65" s="19"/>
      <c r="EW65" s="19"/>
      <c r="EX65" s="19"/>
      <c r="EY65" s="19"/>
      <c r="EZ65" s="19"/>
      <c r="FA65" s="19"/>
      <c r="FB65" s="19"/>
      <c r="FC65" s="19"/>
      <c r="FD65" s="19"/>
      <c r="FE65" s="19"/>
      <c r="FF65" s="19"/>
      <c r="FG65" s="19"/>
      <c r="FH65" s="19"/>
      <c r="FI65" s="19"/>
    </row>
    <row r="66" spans="1:165" x14ac:dyDescent="0.25">
      <c r="A66" s="31"/>
      <c r="B66" s="13"/>
      <c r="C66" s="13"/>
      <c r="D66" s="39" t="s">
        <v>71</v>
      </c>
      <c r="E66" s="41">
        <f>1.2*(RAC1_S+RAC2_S+RAC3_S)/RAC3_S</f>
        <v>48.193103448275856</v>
      </c>
      <c r="F66" s="73" t="s">
        <v>7</v>
      </c>
      <c r="G66" s="156"/>
      <c r="H66" s="84">
        <f>ACOV_D*0.95</f>
        <v>45.599999999999994</v>
      </c>
      <c r="I66" s="84">
        <f>ACOV_D*1.05</f>
        <v>50.400000000000006</v>
      </c>
      <c r="J66" s="29"/>
      <c r="K66" s="29"/>
      <c r="L66" s="29"/>
      <c r="M66" s="29"/>
      <c r="N66" s="29"/>
      <c r="O66" s="29"/>
      <c r="P66" s="29"/>
      <c r="Q66" s="29"/>
      <c r="R66" s="29"/>
      <c r="S66" s="30"/>
      <c r="T66" s="18"/>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c r="BM66" s="19"/>
      <c r="BN66" s="19"/>
      <c r="BO66" s="19"/>
      <c r="BP66" s="19"/>
      <c r="BQ66" s="19"/>
      <c r="BR66" s="19"/>
      <c r="BS66" s="19"/>
      <c r="BT66" s="19"/>
      <c r="BU66" s="19"/>
      <c r="BV66" s="19"/>
      <c r="BW66" s="19"/>
      <c r="BX66" s="19"/>
      <c r="BY66" s="19"/>
      <c r="BZ66" s="19"/>
      <c r="CA66" s="19"/>
      <c r="CB66" s="19"/>
      <c r="CC66" s="19"/>
      <c r="CD66" s="19"/>
      <c r="CE66" s="19"/>
      <c r="CF66" s="19"/>
      <c r="CG66" s="19"/>
      <c r="CH66" s="19"/>
      <c r="CI66" s="19"/>
      <c r="CJ66" s="19"/>
      <c r="CK66" s="19"/>
      <c r="CL66" s="19"/>
      <c r="CM66" s="19"/>
      <c r="CN66" s="19"/>
      <c r="CO66" s="19"/>
      <c r="CP66" s="19"/>
      <c r="CQ66" s="19"/>
      <c r="CR66" s="19"/>
      <c r="CS66" s="19"/>
      <c r="CT66" s="19"/>
      <c r="CU66" s="19"/>
      <c r="CV66" s="19"/>
      <c r="CW66" s="19"/>
      <c r="CX66" s="19"/>
      <c r="CY66" s="19"/>
      <c r="CZ66" s="19"/>
      <c r="DA66" s="19"/>
      <c r="DB66" s="19"/>
      <c r="DC66" s="19"/>
      <c r="DD66" s="19"/>
      <c r="DE66" s="19"/>
      <c r="DF66" s="19"/>
      <c r="DG66" s="19"/>
      <c r="DH66" s="19"/>
      <c r="DI66" s="19"/>
      <c r="DJ66" s="19"/>
      <c r="DK66" s="19"/>
      <c r="DL66" s="19"/>
      <c r="DM66" s="19"/>
      <c r="DN66" s="19"/>
      <c r="DO66" s="19"/>
      <c r="DP66" s="19"/>
      <c r="DQ66" s="19"/>
      <c r="DR66" s="19"/>
      <c r="DS66" s="19"/>
      <c r="DT66" s="19"/>
      <c r="DU66" s="19"/>
      <c r="DV66" s="19"/>
      <c r="DW66" s="19"/>
      <c r="DX66" s="19"/>
      <c r="DY66" s="19"/>
      <c r="DZ66" s="19"/>
      <c r="EA66" s="19"/>
      <c r="EB66" s="19"/>
      <c r="EC66" s="19"/>
      <c r="ED66" s="19"/>
      <c r="EE66" s="19"/>
      <c r="EF66" s="19"/>
      <c r="EG66" s="19"/>
      <c r="EH66" s="19"/>
      <c r="EI66" s="19"/>
      <c r="EJ66" s="19"/>
      <c r="EK66" s="19"/>
      <c r="EL66" s="19"/>
      <c r="EM66" s="19"/>
      <c r="EN66" s="19"/>
      <c r="EO66" s="19"/>
      <c r="EP66" s="19"/>
      <c r="EQ66" s="19"/>
      <c r="ER66" s="19"/>
      <c r="ES66" s="19"/>
      <c r="ET66" s="19"/>
      <c r="EU66" s="19"/>
      <c r="EV66" s="19"/>
      <c r="EW66" s="19"/>
      <c r="EX66" s="19"/>
      <c r="EY66" s="19"/>
      <c r="EZ66" s="19"/>
      <c r="FA66" s="19"/>
      <c r="FB66" s="19"/>
      <c r="FC66" s="19"/>
      <c r="FD66" s="19"/>
      <c r="FE66" s="19"/>
      <c r="FF66" s="19"/>
      <c r="FG66" s="19"/>
      <c r="FH66" s="19"/>
      <c r="FI66" s="19"/>
    </row>
    <row r="67" spans="1:165" ht="15.75" thickBot="1" x14ac:dyDescent="0.3">
      <c r="A67" s="33"/>
      <c r="B67" s="34"/>
      <c r="C67" s="34"/>
      <c r="D67" s="43" t="s">
        <v>72</v>
      </c>
      <c r="E67" s="44">
        <f>1.1*(RAC1_S+RAC2_S+RAC3_S)/(RAC2_S+RAC3_S)</f>
        <v>23.921576763485479</v>
      </c>
      <c r="F67" s="74" t="s">
        <v>7</v>
      </c>
      <c r="G67" s="156"/>
      <c r="H67" s="84">
        <f>ACUV_D*0.95</f>
        <v>22.799999999999997</v>
      </c>
      <c r="I67" s="84">
        <f>ACUV_D*1.05</f>
        <v>25.200000000000003</v>
      </c>
      <c r="J67" s="29"/>
      <c r="K67" s="29"/>
      <c r="L67" s="29"/>
      <c r="M67" s="29"/>
      <c r="N67" s="29"/>
      <c r="O67" s="29"/>
      <c r="P67" s="29"/>
      <c r="Q67" s="29"/>
      <c r="R67" s="29"/>
      <c r="S67" s="30"/>
      <c r="T67" s="18"/>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c r="BM67" s="19"/>
      <c r="BN67" s="19"/>
      <c r="BO67" s="19"/>
      <c r="BP67" s="19"/>
      <c r="BQ67" s="19"/>
      <c r="BR67" s="19"/>
      <c r="BS67" s="19"/>
      <c r="BT67" s="19"/>
      <c r="BU67" s="19"/>
      <c r="BV67" s="19"/>
      <c r="BW67" s="19"/>
      <c r="BX67" s="19"/>
      <c r="BY67" s="19"/>
      <c r="BZ67" s="19"/>
      <c r="CA67" s="19"/>
      <c r="CB67" s="19"/>
      <c r="CC67" s="19"/>
      <c r="CD67" s="19"/>
      <c r="CE67" s="19"/>
      <c r="CF67" s="19"/>
      <c r="CG67" s="19"/>
      <c r="CH67" s="19"/>
      <c r="CI67" s="19"/>
      <c r="CJ67" s="19"/>
      <c r="CK67" s="19"/>
      <c r="CL67" s="19"/>
      <c r="CM67" s="19"/>
      <c r="CN67" s="19"/>
      <c r="CO67" s="19"/>
      <c r="CP67" s="19"/>
      <c r="CQ67" s="19"/>
      <c r="CR67" s="19"/>
      <c r="CS67" s="19"/>
      <c r="CT67" s="19"/>
      <c r="CU67" s="19"/>
      <c r="CV67" s="19"/>
      <c r="CW67" s="19"/>
      <c r="CX67" s="19"/>
      <c r="CY67" s="19"/>
      <c r="CZ67" s="19"/>
      <c r="DA67" s="19"/>
      <c r="DB67" s="19"/>
      <c r="DC67" s="19"/>
      <c r="DD67" s="19"/>
      <c r="DE67" s="19"/>
      <c r="DF67" s="19"/>
      <c r="DG67" s="19"/>
      <c r="DH67" s="19"/>
      <c r="DI67" s="19"/>
      <c r="DJ67" s="19"/>
      <c r="DK67" s="19"/>
      <c r="DL67" s="19"/>
      <c r="DM67" s="19"/>
      <c r="DN67" s="19"/>
      <c r="DO67" s="19"/>
      <c r="DP67" s="19"/>
      <c r="DQ67" s="19"/>
      <c r="DR67" s="19"/>
      <c r="DS67" s="19"/>
      <c r="DT67" s="19"/>
      <c r="DU67" s="19"/>
      <c r="DV67" s="19"/>
      <c r="DW67" s="19"/>
      <c r="DX67" s="19"/>
      <c r="DY67" s="19"/>
      <c r="DZ67" s="19"/>
      <c r="EA67" s="19"/>
      <c r="EB67" s="19"/>
      <c r="EC67" s="19"/>
      <c r="ED67" s="19"/>
      <c r="EE67" s="19"/>
      <c r="EF67" s="19"/>
      <c r="EG67" s="19"/>
      <c r="EH67" s="19"/>
      <c r="EI67" s="19"/>
      <c r="EJ67" s="19"/>
      <c r="EK67" s="19"/>
      <c r="EL67" s="19"/>
      <c r="EM67" s="19"/>
      <c r="EN67" s="19"/>
      <c r="EO67" s="19"/>
      <c r="EP67" s="19"/>
      <c r="EQ67" s="19"/>
      <c r="ER67" s="19"/>
      <c r="ES67" s="19"/>
      <c r="ET67" s="19"/>
      <c r="EU67" s="19"/>
      <c r="EV67" s="19"/>
      <c r="EW67" s="19"/>
      <c r="EX67" s="19"/>
      <c r="EY67" s="19"/>
      <c r="EZ67" s="19"/>
      <c r="FA67" s="19"/>
      <c r="FB67" s="19"/>
      <c r="FC67" s="19"/>
      <c r="FD67" s="19"/>
      <c r="FE67" s="19"/>
      <c r="FF67" s="19"/>
      <c r="FG67" s="19"/>
      <c r="FH67" s="19"/>
      <c r="FI67" s="19"/>
    </row>
    <row r="68" spans="1:165" x14ac:dyDescent="0.25">
      <c r="A68" s="31"/>
      <c r="B68" s="13"/>
      <c r="C68" s="13"/>
      <c r="D68" s="13"/>
      <c r="E68" s="13"/>
      <c r="F68" s="127"/>
      <c r="G68" s="156"/>
      <c r="H68" s="13"/>
      <c r="I68" s="13"/>
      <c r="J68" s="29"/>
      <c r="K68" s="29"/>
      <c r="L68" s="29"/>
      <c r="M68" s="29"/>
      <c r="N68" s="29"/>
      <c r="O68" s="29"/>
      <c r="P68" s="29"/>
      <c r="Q68" s="29"/>
      <c r="R68" s="29"/>
      <c r="S68" s="30"/>
      <c r="T68" s="18"/>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c r="BM68" s="19"/>
      <c r="BN68" s="19"/>
      <c r="BO68" s="19"/>
      <c r="BP68" s="19"/>
      <c r="BQ68" s="19"/>
      <c r="BR68" s="19"/>
      <c r="BS68" s="19"/>
      <c r="BT68" s="19"/>
      <c r="BU68" s="19"/>
      <c r="BV68" s="19"/>
      <c r="BW68" s="19"/>
      <c r="BX68" s="19"/>
      <c r="BY68" s="19"/>
      <c r="BZ68" s="19"/>
      <c r="CA68" s="19"/>
      <c r="CB68" s="19"/>
      <c r="CC68" s="19"/>
      <c r="CD68" s="19"/>
      <c r="CE68" s="19"/>
      <c r="CF68" s="19"/>
      <c r="CG68" s="19"/>
      <c r="CH68" s="19"/>
      <c r="CI68" s="19"/>
      <c r="CJ68" s="19"/>
      <c r="CK68" s="19"/>
      <c r="CL68" s="19"/>
      <c r="CM68" s="19"/>
      <c r="CN68" s="19"/>
      <c r="CO68" s="19"/>
      <c r="CP68" s="19"/>
      <c r="CQ68" s="19"/>
      <c r="CR68" s="19"/>
      <c r="CS68" s="19"/>
      <c r="CT68" s="19"/>
      <c r="CU68" s="19"/>
      <c r="CV68" s="19"/>
      <c r="CW68" s="19"/>
      <c r="CX68" s="19"/>
      <c r="CY68" s="19"/>
      <c r="CZ68" s="19"/>
      <c r="DA68" s="19"/>
      <c r="DB68" s="19"/>
      <c r="DC68" s="19"/>
      <c r="DD68" s="19"/>
      <c r="DE68" s="19"/>
      <c r="DF68" s="19"/>
      <c r="DG68" s="19"/>
      <c r="DH68" s="19"/>
      <c r="DI68" s="19"/>
      <c r="DJ68" s="19"/>
      <c r="DK68" s="19"/>
      <c r="DL68" s="19"/>
      <c r="DM68" s="19"/>
      <c r="DN68" s="19"/>
      <c r="DO68" s="19"/>
      <c r="DP68" s="19"/>
      <c r="DQ68" s="19"/>
      <c r="DR68" s="19"/>
      <c r="DS68" s="19"/>
      <c r="DT68" s="19"/>
      <c r="DU68" s="19"/>
      <c r="DV68" s="19"/>
      <c r="DW68" s="19"/>
      <c r="DX68" s="19"/>
      <c r="DY68" s="19"/>
      <c r="DZ68" s="19"/>
      <c r="EA68" s="19"/>
      <c r="EB68" s="19"/>
      <c r="EC68" s="19"/>
      <c r="ED68" s="19"/>
      <c r="EE68" s="19"/>
      <c r="EF68" s="19"/>
      <c r="EG68" s="19"/>
      <c r="EH68" s="19"/>
      <c r="EI68" s="19"/>
      <c r="EJ68" s="19"/>
      <c r="EK68" s="19"/>
      <c r="EL68" s="19"/>
      <c r="EM68" s="19"/>
      <c r="EN68" s="19"/>
      <c r="EO68" s="19"/>
      <c r="EP68" s="19"/>
      <c r="EQ68" s="19"/>
      <c r="ER68" s="19"/>
      <c r="ES68" s="19"/>
      <c r="ET68" s="19"/>
      <c r="EU68" s="19"/>
      <c r="EV68" s="19"/>
      <c r="EW68" s="19"/>
      <c r="EX68" s="19"/>
      <c r="EY68" s="19"/>
      <c r="EZ68" s="19"/>
      <c r="FA68" s="19"/>
      <c r="FB68" s="19"/>
      <c r="FC68" s="19"/>
      <c r="FD68" s="19"/>
      <c r="FE68" s="19"/>
      <c r="FF68" s="19"/>
      <c r="FG68" s="19"/>
      <c r="FH68" s="19"/>
      <c r="FI68" s="19"/>
    </row>
    <row r="69" spans="1:165" ht="15.75" thickBot="1" x14ac:dyDescent="0.3">
      <c r="A69" s="36" t="s">
        <v>73</v>
      </c>
      <c r="B69" s="13"/>
      <c r="C69" s="13"/>
      <c r="D69" s="13"/>
      <c r="E69" s="13"/>
      <c r="F69" s="127"/>
      <c r="G69" s="156"/>
      <c r="H69" s="13"/>
      <c r="I69" s="13"/>
      <c r="J69" s="29"/>
      <c r="K69" s="29"/>
      <c r="L69" s="29"/>
      <c r="M69" s="29"/>
      <c r="N69" s="29"/>
      <c r="O69" s="29"/>
      <c r="P69" s="29"/>
      <c r="Q69" s="29"/>
      <c r="R69" s="29"/>
      <c r="S69" s="30"/>
      <c r="T69" s="18"/>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c r="BM69" s="19"/>
      <c r="BN69" s="19"/>
      <c r="BO69" s="19"/>
      <c r="BP69" s="19"/>
      <c r="BQ69" s="19"/>
      <c r="BR69" s="19"/>
      <c r="BS69" s="19"/>
      <c r="BT69" s="19"/>
      <c r="BU69" s="19"/>
      <c r="BV69" s="19"/>
      <c r="BW69" s="19"/>
      <c r="BX69" s="19"/>
      <c r="BY69" s="19"/>
      <c r="BZ69" s="19"/>
      <c r="CA69" s="19"/>
      <c r="CB69" s="19"/>
      <c r="CC69" s="19"/>
      <c r="CD69" s="19"/>
      <c r="CE69" s="19"/>
      <c r="CF69" s="19"/>
      <c r="CG69" s="19"/>
      <c r="CH69" s="19"/>
      <c r="CI69" s="19"/>
      <c r="CJ69" s="19"/>
      <c r="CK69" s="19"/>
      <c r="CL69" s="19"/>
      <c r="CM69" s="19"/>
      <c r="CN69" s="19"/>
      <c r="CO69" s="19"/>
      <c r="CP69" s="19"/>
      <c r="CQ69" s="19"/>
      <c r="CR69" s="19"/>
      <c r="CS69" s="19"/>
      <c r="CT69" s="19"/>
      <c r="CU69" s="19"/>
      <c r="CV69" s="19"/>
      <c r="CW69" s="19"/>
      <c r="CX69" s="19"/>
      <c r="CY69" s="19"/>
      <c r="CZ69" s="19"/>
      <c r="DA69" s="19"/>
      <c r="DB69" s="19"/>
      <c r="DC69" s="19"/>
      <c r="DD69" s="19"/>
      <c r="DE69" s="19"/>
      <c r="DF69" s="19"/>
      <c r="DG69" s="19"/>
      <c r="DH69" s="19"/>
      <c r="DI69" s="19"/>
      <c r="DJ69" s="19"/>
      <c r="DK69" s="19"/>
      <c r="DL69" s="19"/>
      <c r="DM69" s="19"/>
      <c r="DN69" s="19"/>
      <c r="DO69" s="19"/>
      <c r="DP69" s="19"/>
      <c r="DQ69" s="19"/>
      <c r="DR69" s="19"/>
      <c r="DS69" s="19"/>
      <c r="DT69" s="19"/>
      <c r="DU69" s="19"/>
      <c r="DV69" s="19"/>
      <c r="DW69" s="19"/>
      <c r="DX69" s="19"/>
      <c r="DY69" s="19"/>
      <c r="DZ69" s="19"/>
      <c r="EA69" s="19"/>
      <c r="EB69" s="19"/>
      <c r="EC69" s="19"/>
      <c r="ED69" s="19"/>
      <c r="EE69" s="19"/>
      <c r="EF69" s="19"/>
      <c r="EG69" s="19"/>
      <c r="EH69" s="19"/>
      <c r="EI69" s="19"/>
      <c r="EJ69" s="19"/>
      <c r="EK69" s="19"/>
      <c r="EL69" s="19"/>
      <c r="EM69" s="19"/>
      <c r="EN69" s="19"/>
      <c r="EO69" s="19"/>
      <c r="EP69" s="19"/>
      <c r="EQ69" s="19"/>
      <c r="ER69" s="19"/>
      <c r="ES69" s="19"/>
      <c r="ET69" s="19"/>
      <c r="EU69" s="19"/>
      <c r="EV69" s="19"/>
      <c r="EW69" s="19"/>
      <c r="EX69" s="19"/>
      <c r="EY69" s="19"/>
      <c r="EZ69" s="19"/>
      <c r="FA69" s="19"/>
      <c r="FB69" s="19"/>
      <c r="FC69" s="19"/>
      <c r="FD69" s="19"/>
      <c r="FE69" s="19"/>
      <c r="FF69" s="19"/>
      <c r="FG69" s="19"/>
      <c r="FH69" s="19"/>
      <c r="FI69" s="19"/>
    </row>
    <row r="70" spans="1:165" x14ac:dyDescent="0.25">
      <c r="A70" s="22"/>
      <c r="B70" s="23"/>
      <c r="C70" s="23"/>
      <c r="D70" s="28" t="s">
        <v>74</v>
      </c>
      <c r="E70" s="68">
        <v>43.2</v>
      </c>
      <c r="F70" s="133" t="s">
        <v>7</v>
      </c>
      <c r="G70" s="156"/>
      <c r="H70" s="84">
        <v>70</v>
      </c>
      <c r="I70" s="13"/>
      <c r="J70" s="29"/>
      <c r="K70" s="29"/>
      <c r="L70" s="29"/>
      <c r="M70" s="29"/>
      <c r="N70" s="29"/>
      <c r="O70" s="29"/>
      <c r="P70" s="29"/>
      <c r="Q70" s="29"/>
      <c r="R70" s="29"/>
      <c r="S70" s="30"/>
      <c r="T70" s="18"/>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c r="BM70" s="19"/>
      <c r="BN70" s="19"/>
      <c r="BO70" s="19"/>
      <c r="BP70" s="19"/>
      <c r="BQ70" s="19"/>
      <c r="BR70" s="19"/>
      <c r="BS70" s="19"/>
      <c r="BT70" s="19"/>
      <c r="BU70" s="19"/>
      <c r="BV70" s="19"/>
      <c r="BW70" s="19"/>
      <c r="BX70" s="19"/>
      <c r="BY70" s="19"/>
      <c r="BZ70" s="19"/>
      <c r="CA70" s="19"/>
      <c r="CB70" s="19"/>
      <c r="CC70" s="19"/>
      <c r="CD70" s="19"/>
      <c r="CE70" s="19"/>
      <c r="CF70" s="19"/>
      <c r="CG70" s="19"/>
      <c r="CH70" s="19"/>
      <c r="CI70" s="19"/>
      <c r="CJ70" s="19"/>
      <c r="CK70" s="19"/>
      <c r="CL70" s="19"/>
      <c r="CM70" s="19"/>
      <c r="CN70" s="19"/>
      <c r="CO70" s="19"/>
      <c r="CP70" s="19"/>
      <c r="CQ70" s="19"/>
      <c r="CR70" s="19"/>
      <c r="CS70" s="19"/>
      <c r="CT70" s="19"/>
      <c r="CU70" s="19"/>
      <c r="CV70" s="19"/>
      <c r="CW70" s="19"/>
      <c r="CX70" s="19"/>
      <c r="CY70" s="19"/>
      <c r="CZ70" s="19"/>
      <c r="DA70" s="19"/>
      <c r="DB70" s="19"/>
      <c r="DC70" s="19"/>
      <c r="DD70" s="19"/>
      <c r="DE70" s="19"/>
      <c r="DF70" s="19"/>
      <c r="DG70" s="19"/>
      <c r="DH70" s="19"/>
      <c r="DI70" s="19"/>
      <c r="DJ70" s="19"/>
      <c r="DK70" s="19"/>
      <c r="DL70" s="19"/>
      <c r="DM70" s="19"/>
      <c r="DN70" s="19"/>
      <c r="DO70" s="19"/>
      <c r="DP70" s="19"/>
      <c r="DQ70" s="19"/>
      <c r="DR70" s="19"/>
      <c r="DS70" s="19"/>
      <c r="DT70" s="19"/>
      <c r="DU70" s="19"/>
      <c r="DV70" s="19"/>
      <c r="DW70" s="19"/>
      <c r="DX70" s="19"/>
      <c r="DY70" s="19"/>
      <c r="DZ70" s="19"/>
      <c r="EA70" s="19"/>
      <c r="EB70" s="19"/>
      <c r="EC70" s="19"/>
      <c r="ED70" s="19"/>
      <c r="EE70" s="19"/>
      <c r="EF70" s="19"/>
      <c r="EG70" s="19"/>
      <c r="EH70" s="19"/>
      <c r="EI70" s="19"/>
      <c r="EJ70" s="19"/>
      <c r="EK70" s="19"/>
      <c r="EL70" s="19"/>
      <c r="EM70" s="19"/>
      <c r="EN70" s="19"/>
      <c r="EO70" s="19"/>
      <c r="EP70" s="19"/>
      <c r="EQ70" s="19"/>
      <c r="ER70" s="19"/>
      <c r="ES70" s="19"/>
      <c r="ET70" s="19"/>
      <c r="EU70" s="19"/>
      <c r="EV70" s="19"/>
      <c r="EW70" s="19"/>
      <c r="EX70" s="19"/>
      <c r="EY70" s="19"/>
      <c r="EZ70" s="19"/>
      <c r="FA70" s="19"/>
      <c r="FB70" s="19"/>
      <c r="FC70" s="19"/>
      <c r="FD70" s="19"/>
      <c r="FE70" s="19"/>
      <c r="FF70" s="19"/>
      <c r="FG70" s="19"/>
      <c r="FH70" s="19"/>
      <c r="FI70" s="19"/>
    </row>
    <row r="71" spans="1:165" ht="15.75" x14ac:dyDescent="0.3">
      <c r="A71" s="36"/>
      <c r="B71" s="13"/>
      <c r="C71" s="13"/>
      <c r="D71" s="39" t="s">
        <v>75</v>
      </c>
      <c r="E71" s="13">
        <v>249</v>
      </c>
      <c r="F71" s="128" t="s">
        <v>18</v>
      </c>
      <c r="G71" s="156"/>
      <c r="H71" s="13">
        <v>33</v>
      </c>
      <c r="I71" s="13">
        <v>1.536</v>
      </c>
      <c r="J71" s="29"/>
      <c r="K71" s="29"/>
      <c r="L71" s="29"/>
      <c r="M71" s="29"/>
      <c r="N71" s="29"/>
      <c r="O71" s="29"/>
      <c r="P71" s="29"/>
      <c r="Q71" s="29"/>
      <c r="R71" s="29"/>
      <c r="S71" s="30"/>
      <c r="T71" s="18"/>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c r="BM71" s="19"/>
      <c r="BN71" s="19"/>
      <c r="BO71" s="19"/>
      <c r="BP71" s="19"/>
      <c r="BQ71" s="19"/>
      <c r="BR71" s="19"/>
      <c r="BS71" s="19"/>
      <c r="BT71" s="19"/>
      <c r="BU71" s="19"/>
      <c r="BV71" s="19"/>
      <c r="BW71" s="19"/>
      <c r="BX71" s="19"/>
      <c r="BY71" s="19"/>
      <c r="BZ71" s="19"/>
      <c r="CA71" s="19"/>
      <c r="CB71" s="19"/>
      <c r="CC71" s="19"/>
      <c r="CD71" s="19"/>
      <c r="CE71" s="19"/>
      <c r="CF71" s="19"/>
      <c r="CG71" s="19"/>
      <c r="CH71" s="19"/>
      <c r="CI71" s="19"/>
      <c r="CJ71" s="19"/>
      <c r="CK71" s="19"/>
      <c r="CL71" s="19"/>
      <c r="CM71" s="19"/>
      <c r="CN71" s="19"/>
      <c r="CO71" s="19"/>
      <c r="CP71" s="19"/>
      <c r="CQ71" s="19"/>
      <c r="CR71" s="19"/>
      <c r="CS71" s="19"/>
      <c r="CT71" s="19"/>
      <c r="CU71" s="19"/>
      <c r="CV71" s="19"/>
      <c r="CW71" s="19"/>
      <c r="CX71" s="19"/>
      <c r="CY71" s="19"/>
      <c r="CZ71" s="19"/>
      <c r="DA71" s="19"/>
      <c r="DB71" s="19"/>
      <c r="DC71" s="19"/>
      <c r="DD71" s="19"/>
      <c r="DE71" s="19"/>
      <c r="DF71" s="19"/>
      <c r="DG71" s="19"/>
      <c r="DH71" s="19"/>
      <c r="DI71" s="19"/>
      <c r="DJ71" s="19"/>
      <c r="DK71" s="19"/>
      <c r="DL71" s="19"/>
      <c r="DM71" s="19"/>
      <c r="DN71" s="19"/>
      <c r="DO71" s="19"/>
      <c r="DP71" s="19"/>
      <c r="DQ71" s="19"/>
      <c r="DR71" s="19"/>
      <c r="DS71" s="19"/>
      <c r="DT71" s="19"/>
      <c r="DU71" s="19"/>
      <c r="DV71" s="19"/>
      <c r="DW71" s="19"/>
      <c r="DX71" s="19"/>
      <c r="DY71" s="19"/>
      <c r="DZ71" s="19"/>
      <c r="EA71" s="19"/>
      <c r="EB71" s="19"/>
      <c r="EC71" s="19"/>
      <c r="ED71" s="19"/>
      <c r="EE71" s="19"/>
      <c r="EF71" s="19"/>
      <c r="EG71" s="19"/>
      <c r="EH71" s="19"/>
      <c r="EI71" s="19"/>
      <c r="EJ71" s="19"/>
      <c r="EK71" s="19"/>
      <c r="EL71" s="19"/>
      <c r="EM71" s="19"/>
      <c r="EN71" s="19"/>
      <c r="EO71" s="19"/>
      <c r="EP71" s="19"/>
      <c r="EQ71" s="19"/>
      <c r="ER71" s="19"/>
      <c r="ES71" s="19"/>
      <c r="ET71" s="19"/>
      <c r="EU71" s="19"/>
      <c r="EV71" s="19"/>
      <c r="EW71" s="19"/>
      <c r="EX71" s="19"/>
      <c r="EY71" s="19"/>
      <c r="EZ71" s="19"/>
      <c r="FA71" s="19"/>
      <c r="FB71" s="19"/>
      <c r="FC71" s="19"/>
      <c r="FD71" s="19"/>
      <c r="FE71" s="19"/>
      <c r="FF71" s="19"/>
      <c r="FG71" s="19"/>
      <c r="FH71" s="19"/>
      <c r="FI71" s="19"/>
    </row>
    <row r="72" spans="1:165" ht="15.75" x14ac:dyDescent="0.3">
      <c r="A72" s="36"/>
      <c r="B72" s="13"/>
      <c r="C72" s="13"/>
      <c r="D72" s="39" t="s">
        <v>76</v>
      </c>
      <c r="E72" s="155">
        <f>IF(K72&lt;L72,I72,J72)</f>
        <v>9.1947868631887939</v>
      </c>
      <c r="F72" s="128" t="s">
        <v>18</v>
      </c>
      <c r="G72" s="156"/>
      <c r="H72" s="20">
        <f>(RFB_TOP_R*10^3*VFB_Default/(VBATREG_D-VFB_Default)+R_FBG)/10^3</f>
        <v>9.2127235023041472</v>
      </c>
      <c r="I72" s="13">
        <f>INDEX(stdres_0p1pct[Resistance], (MATCH(R_FB_BOT_Ideal*10^3, stdres_0p1pct[Resistance],1)))/10^3</f>
        <v>9.1947868631887939</v>
      </c>
      <c r="J72" s="13">
        <f>INDEX(stdres_0p1pct[Resistance], (MATCH(R_FB_BOT_Ideal*10^3, stdres_0p1pct[Resistance],1)+1))/10^3</f>
        <v>9.3057204092969901</v>
      </c>
      <c r="K72" s="29">
        <f>ABS(R_FB_BOT_Ideal-$I$72)</f>
        <v>1.7936639115353259E-2</v>
      </c>
      <c r="L72" s="29">
        <f>ABS(R_FB_BOT_Ideal-$J$72)</f>
        <v>9.2996906992842909E-2</v>
      </c>
      <c r="M72" s="29"/>
      <c r="N72" s="29"/>
      <c r="O72" s="29"/>
      <c r="P72" s="29"/>
      <c r="Q72" s="29"/>
      <c r="R72" s="29"/>
      <c r="S72" s="30"/>
      <c r="T72" s="18"/>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c r="BM72" s="19"/>
      <c r="BN72" s="19"/>
      <c r="BO72" s="19"/>
      <c r="BP72" s="19"/>
      <c r="BQ72" s="19"/>
      <c r="BR72" s="19"/>
      <c r="BS72" s="19"/>
      <c r="BT72" s="19"/>
      <c r="BU72" s="19"/>
      <c r="BV72" s="19"/>
      <c r="BW72" s="19"/>
      <c r="BX72" s="19"/>
      <c r="BY72" s="19"/>
      <c r="BZ72" s="19"/>
      <c r="CA72" s="19"/>
      <c r="CB72" s="19"/>
      <c r="CC72" s="19"/>
      <c r="CD72" s="19"/>
      <c r="CE72" s="19"/>
      <c r="CF72" s="19"/>
      <c r="CG72" s="19"/>
      <c r="CH72" s="19"/>
      <c r="CI72" s="19"/>
      <c r="CJ72" s="19"/>
      <c r="CK72" s="19"/>
      <c r="CL72" s="19"/>
      <c r="CM72" s="19"/>
      <c r="CN72" s="19"/>
      <c r="CO72" s="19"/>
      <c r="CP72" s="19"/>
      <c r="CQ72" s="19"/>
      <c r="CR72" s="19"/>
      <c r="CS72" s="19"/>
      <c r="CT72" s="19"/>
      <c r="CU72" s="19"/>
      <c r="CV72" s="19"/>
      <c r="CW72" s="19"/>
      <c r="CX72" s="19"/>
      <c r="CY72" s="19"/>
      <c r="CZ72" s="19"/>
      <c r="DA72" s="19"/>
      <c r="DB72" s="19"/>
      <c r="DC72" s="19"/>
      <c r="DD72" s="19"/>
      <c r="DE72" s="19"/>
      <c r="DF72" s="19"/>
      <c r="DG72" s="19"/>
      <c r="DH72" s="19"/>
      <c r="DI72" s="19"/>
      <c r="DJ72" s="19"/>
      <c r="DK72" s="19"/>
      <c r="DL72" s="19"/>
      <c r="DM72" s="19"/>
      <c r="DN72" s="19"/>
      <c r="DO72" s="19"/>
      <c r="DP72" s="19"/>
      <c r="DQ72" s="19"/>
      <c r="DR72" s="19"/>
      <c r="DS72" s="19"/>
      <c r="DT72" s="19"/>
      <c r="DU72" s="19"/>
      <c r="DV72" s="19"/>
      <c r="DW72" s="19"/>
      <c r="DX72" s="19"/>
      <c r="DY72" s="19"/>
      <c r="DZ72" s="19"/>
      <c r="EA72" s="19"/>
      <c r="EB72" s="19"/>
      <c r="EC72" s="19"/>
      <c r="ED72" s="19"/>
      <c r="EE72" s="19"/>
      <c r="EF72" s="19"/>
      <c r="EG72" s="19"/>
      <c r="EH72" s="19"/>
      <c r="EI72" s="19"/>
      <c r="EJ72" s="19"/>
      <c r="EK72" s="19"/>
      <c r="EL72" s="19"/>
      <c r="EM72" s="19"/>
      <c r="EN72" s="19"/>
      <c r="EO72" s="19"/>
      <c r="EP72" s="19"/>
      <c r="EQ72" s="19"/>
      <c r="ER72" s="19"/>
      <c r="ES72" s="19"/>
      <c r="ET72" s="19"/>
      <c r="EU72" s="19"/>
      <c r="EV72" s="19"/>
      <c r="EW72" s="19"/>
      <c r="EX72" s="19"/>
      <c r="EY72" s="19"/>
      <c r="EZ72" s="19"/>
      <c r="FA72" s="19"/>
      <c r="FB72" s="19"/>
      <c r="FC72" s="19"/>
      <c r="FD72" s="19"/>
      <c r="FE72" s="19"/>
      <c r="FF72" s="19"/>
      <c r="FG72" s="19"/>
      <c r="FH72" s="19"/>
      <c r="FI72" s="19"/>
    </row>
    <row r="73" spans="1:165" ht="15.75" x14ac:dyDescent="0.3">
      <c r="A73" s="36"/>
      <c r="B73" s="13"/>
      <c r="C73" s="13"/>
      <c r="D73" s="39" t="s">
        <v>77</v>
      </c>
      <c r="E73" s="155">
        <f>IF(N73&lt;O73,V_FB_FLOOR,V_FB_CEILING)</f>
        <v>1.534</v>
      </c>
      <c r="F73" s="128" t="s">
        <v>7</v>
      </c>
      <c r="G73" s="79"/>
      <c r="H73" s="13">
        <f>((RFB_BOT_R*10^3-R_FBG)*VBATREG_D)/(RFB_TOP_R*10^3+RFB_BOT_R*10^3-R_FBG)</f>
        <v>1.5331052565866454</v>
      </c>
      <c r="I73" s="13">
        <v>2E-3</v>
      </c>
      <c r="J73" s="13">
        <f>FLOOR(V_FB_Ideal/V_FB_Step,1)*V_FB_Step</f>
        <v>1.532</v>
      </c>
      <c r="K73" s="29">
        <f>V_FB_FLOOR+V_FB_Step</f>
        <v>1.534</v>
      </c>
      <c r="L73" s="29">
        <f>RFB_TOP_R*10^3*V_FB_FLOOR/(RFB_BOT_R*10^3-R_FBG)+V_FB_FLOOR</f>
        <v>43.16885596449562</v>
      </c>
      <c r="M73" s="29">
        <f>RFB_TOP_R*10^3*V_FB_CEILING/(RFB_BOT_R*10^3-R_FBG)+V_FB_CEILING</f>
        <v>43.225212173326561</v>
      </c>
      <c r="N73" s="29">
        <f>ABS(VBATREG_D-VBATREG_FLOOR)</f>
        <v>3.1144035504382828E-2</v>
      </c>
      <c r="O73" s="29">
        <f>ABS(VBATREG_D-VBATREG_CEILING)</f>
        <v>2.5212173326558229E-2</v>
      </c>
      <c r="P73" s="29"/>
      <c r="Q73" s="29"/>
      <c r="R73" s="29"/>
      <c r="S73" s="30"/>
      <c r="T73" s="18"/>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c r="BM73" s="19"/>
      <c r="BN73" s="19"/>
      <c r="BO73" s="19"/>
      <c r="BP73" s="19"/>
      <c r="BQ73" s="19"/>
      <c r="BR73" s="19"/>
      <c r="BS73" s="19"/>
      <c r="BT73" s="19"/>
      <c r="BU73" s="19"/>
      <c r="BV73" s="19"/>
      <c r="BW73" s="19"/>
      <c r="BX73" s="19"/>
      <c r="BY73" s="19"/>
      <c r="BZ73" s="19"/>
      <c r="CA73" s="19"/>
      <c r="CB73" s="19"/>
      <c r="CC73" s="19"/>
      <c r="CD73" s="19"/>
      <c r="CE73" s="19"/>
      <c r="CF73" s="19"/>
      <c r="CG73" s="19"/>
      <c r="CH73" s="19"/>
      <c r="CI73" s="19"/>
      <c r="CJ73" s="19"/>
      <c r="CK73" s="19"/>
      <c r="CL73" s="19"/>
      <c r="CM73" s="19"/>
      <c r="CN73" s="19"/>
      <c r="CO73" s="19"/>
      <c r="CP73" s="19"/>
      <c r="CQ73" s="19"/>
      <c r="CR73" s="19"/>
      <c r="CS73" s="19"/>
      <c r="CT73" s="19"/>
      <c r="CU73" s="19"/>
      <c r="CV73" s="19"/>
      <c r="CW73" s="19"/>
      <c r="CX73" s="19"/>
      <c r="CY73" s="19"/>
      <c r="CZ73" s="19"/>
      <c r="DA73" s="19"/>
      <c r="DB73" s="19"/>
      <c r="DC73" s="19"/>
      <c r="DD73" s="19"/>
      <c r="DE73" s="19"/>
      <c r="DF73" s="19"/>
      <c r="DG73" s="19"/>
      <c r="DH73" s="19"/>
      <c r="DI73" s="19"/>
      <c r="DJ73" s="19"/>
      <c r="DK73" s="19"/>
      <c r="DL73" s="19"/>
      <c r="DM73" s="19"/>
      <c r="DN73" s="19"/>
      <c r="DO73" s="19"/>
      <c r="DP73" s="19"/>
      <c r="DQ73" s="19"/>
      <c r="DR73" s="19"/>
      <c r="DS73" s="19"/>
      <c r="DT73" s="19"/>
      <c r="DU73" s="19"/>
      <c r="DV73" s="19"/>
      <c r="DW73" s="19"/>
      <c r="DX73" s="19"/>
      <c r="DY73" s="19"/>
      <c r="DZ73" s="19"/>
      <c r="EA73" s="19"/>
      <c r="EB73" s="19"/>
      <c r="EC73" s="19"/>
      <c r="ED73" s="19"/>
      <c r="EE73" s="19"/>
      <c r="EF73" s="19"/>
      <c r="EG73" s="19"/>
      <c r="EH73" s="19"/>
      <c r="EI73" s="19"/>
      <c r="EJ73" s="19"/>
      <c r="EK73" s="19"/>
      <c r="EL73" s="19"/>
      <c r="EM73" s="19"/>
      <c r="EN73" s="19"/>
      <c r="EO73" s="19"/>
      <c r="EP73" s="19"/>
      <c r="EQ73" s="19"/>
      <c r="ER73" s="19"/>
      <c r="ES73" s="19"/>
      <c r="ET73" s="19"/>
      <c r="EU73" s="19"/>
      <c r="EV73" s="19"/>
      <c r="EW73" s="19"/>
      <c r="EX73" s="19"/>
      <c r="EY73" s="19"/>
      <c r="EZ73" s="19"/>
      <c r="FA73" s="19"/>
      <c r="FB73" s="19"/>
      <c r="FC73" s="19"/>
      <c r="FD73" s="19"/>
      <c r="FE73" s="19"/>
      <c r="FF73" s="19"/>
      <c r="FG73" s="19"/>
      <c r="FH73" s="19"/>
      <c r="FI73" s="19"/>
    </row>
    <row r="74" spans="1:165" x14ac:dyDescent="0.25">
      <c r="A74" s="36"/>
      <c r="B74" s="13"/>
      <c r="C74" s="13"/>
      <c r="D74" s="32" t="s">
        <v>78</v>
      </c>
      <c r="E74" s="69">
        <v>249</v>
      </c>
      <c r="F74" s="130" t="s">
        <v>18</v>
      </c>
      <c r="G74" s="157" t="str">
        <f>_xlfn.CONCAT(E74, " ",F74)</f>
        <v>249 kΩ</v>
      </c>
      <c r="H74" s="84">
        <f>IF(OR(VBATREG&lt;$H$77,VBATREG&gt;$I$77), 1, 0)</f>
        <v>0</v>
      </c>
      <c r="I74" s="84"/>
      <c r="J74" s="29"/>
      <c r="K74" s="29"/>
      <c r="L74" s="29"/>
      <c r="M74" s="29"/>
      <c r="N74" s="29"/>
      <c r="O74" s="29"/>
      <c r="P74" s="29"/>
      <c r="Q74" s="29"/>
      <c r="R74" s="29"/>
      <c r="S74" s="30"/>
      <c r="T74" s="18"/>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c r="BM74" s="19"/>
      <c r="BN74" s="19"/>
      <c r="BO74" s="19"/>
      <c r="BP74" s="19"/>
      <c r="BQ74" s="19"/>
      <c r="BR74" s="19"/>
      <c r="BS74" s="19"/>
      <c r="BT74" s="19"/>
      <c r="BU74" s="19"/>
      <c r="BV74" s="19"/>
      <c r="BW74" s="19"/>
      <c r="BX74" s="19"/>
      <c r="BY74" s="19"/>
      <c r="BZ74" s="19"/>
      <c r="CA74" s="19"/>
      <c r="CB74" s="19"/>
      <c r="CC74" s="19"/>
      <c r="CD74" s="19"/>
      <c r="CE74" s="19"/>
      <c r="CF74" s="19"/>
      <c r="CG74" s="19"/>
      <c r="CH74" s="19"/>
      <c r="CI74" s="19"/>
      <c r="CJ74" s="19"/>
      <c r="CK74" s="19"/>
      <c r="CL74" s="19"/>
      <c r="CM74" s="19"/>
      <c r="CN74" s="19"/>
      <c r="CO74" s="19"/>
      <c r="CP74" s="19"/>
      <c r="CQ74" s="19"/>
      <c r="CR74" s="19"/>
      <c r="CS74" s="19"/>
      <c r="CT74" s="19"/>
      <c r="CU74" s="19"/>
      <c r="CV74" s="19"/>
      <c r="CW74" s="19"/>
      <c r="CX74" s="19"/>
      <c r="CY74" s="19"/>
      <c r="CZ74" s="19"/>
      <c r="DA74" s="19"/>
      <c r="DB74" s="19"/>
      <c r="DC74" s="19"/>
      <c r="DD74" s="19"/>
      <c r="DE74" s="19"/>
      <c r="DF74" s="19"/>
      <c r="DG74" s="19"/>
      <c r="DH74" s="19"/>
      <c r="DI74" s="19"/>
      <c r="DJ74" s="19"/>
      <c r="DK74" s="19"/>
      <c r="DL74" s="19"/>
      <c r="DM74" s="19"/>
      <c r="DN74" s="19"/>
      <c r="DO74" s="19"/>
      <c r="DP74" s="19"/>
      <c r="DQ74" s="19"/>
      <c r="DR74" s="19"/>
      <c r="DS74" s="19"/>
      <c r="DT74" s="19"/>
      <c r="DU74" s="19"/>
      <c r="DV74" s="19"/>
      <c r="DW74" s="19"/>
      <c r="DX74" s="19"/>
      <c r="DY74" s="19"/>
      <c r="DZ74" s="19"/>
      <c r="EA74" s="19"/>
      <c r="EB74" s="19"/>
      <c r="EC74" s="19"/>
      <c r="ED74" s="19"/>
      <c r="EE74" s="19"/>
      <c r="EF74" s="19"/>
      <c r="EG74" s="19"/>
      <c r="EH74" s="19"/>
      <c r="EI74" s="19"/>
      <c r="EJ74" s="19"/>
      <c r="EK74" s="19"/>
      <c r="EL74" s="19"/>
      <c r="EM74" s="19"/>
      <c r="EN74" s="19"/>
      <c r="EO74" s="19"/>
      <c r="EP74" s="19"/>
      <c r="EQ74" s="19"/>
      <c r="ER74" s="19"/>
      <c r="ES74" s="19"/>
      <c r="ET74" s="19"/>
      <c r="EU74" s="19"/>
      <c r="EV74" s="19"/>
      <c r="EW74" s="19"/>
      <c r="EX74" s="19"/>
      <c r="EY74" s="19"/>
      <c r="EZ74" s="19"/>
      <c r="FA74" s="19"/>
      <c r="FB74" s="19"/>
      <c r="FC74" s="19"/>
      <c r="FD74" s="19"/>
      <c r="FE74" s="19"/>
      <c r="FF74" s="19"/>
      <c r="FG74" s="19"/>
      <c r="FH74" s="19"/>
      <c r="FI74" s="19"/>
    </row>
    <row r="75" spans="1:165" x14ac:dyDescent="0.25">
      <c r="A75" s="36"/>
      <c r="B75" s="13"/>
      <c r="C75" s="13"/>
      <c r="D75" s="32" t="s">
        <v>79</v>
      </c>
      <c r="E75" s="69">
        <v>9.1999999999999993</v>
      </c>
      <c r="F75" s="130" t="s">
        <v>18</v>
      </c>
      <c r="G75" s="157" t="str">
        <f>_xlfn.CONCAT(FIXED(E75,2), " ",F75)</f>
        <v>9.20 kΩ</v>
      </c>
      <c r="H75" s="84">
        <f>IF(OR(VBATREG&lt;$H$77,VBATREG&gt;$I$77), 1, 0)</f>
        <v>0</v>
      </c>
      <c r="I75" s="84"/>
      <c r="J75" s="29"/>
      <c r="K75" s="29"/>
      <c r="L75" s="29"/>
      <c r="M75" s="29"/>
      <c r="N75" s="29"/>
      <c r="O75" s="29"/>
      <c r="P75" s="29"/>
      <c r="Q75" s="29"/>
      <c r="R75" s="29"/>
      <c r="S75" s="30"/>
      <c r="T75" s="18"/>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c r="BM75" s="19"/>
      <c r="BN75" s="19"/>
      <c r="BO75" s="19"/>
      <c r="BP75" s="19"/>
      <c r="BQ75" s="19"/>
      <c r="BR75" s="19"/>
      <c r="BS75" s="19"/>
      <c r="BT75" s="19"/>
      <c r="BU75" s="19"/>
      <c r="BV75" s="19"/>
      <c r="BW75" s="19"/>
      <c r="BX75" s="19"/>
      <c r="BY75" s="19"/>
      <c r="BZ75" s="19"/>
      <c r="CA75" s="19"/>
      <c r="CB75" s="19"/>
      <c r="CC75" s="19"/>
      <c r="CD75" s="19"/>
      <c r="CE75" s="19"/>
      <c r="CF75" s="19"/>
      <c r="CG75" s="19"/>
      <c r="CH75" s="19"/>
      <c r="CI75" s="19"/>
      <c r="CJ75" s="19"/>
      <c r="CK75" s="19"/>
      <c r="CL75" s="19"/>
      <c r="CM75" s="19"/>
      <c r="CN75" s="19"/>
      <c r="CO75" s="19"/>
      <c r="CP75" s="19"/>
      <c r="CQ75" s="19"/>
      <c r="CR75" s="19"/>
      <c r="CS75" s="19"/>
      <c r="CT75" s="19"/>
      <c r="CU75" s="19"/>
      <c r="CV75" s="19"/>
      <c r="CW75" s="19"/>
      <c r="CX75" s="19"/>
      <c r="CY75" s="19"/>
      <c r="CZ75" s="19"/>
      <c r="DA75" s="19"/>
      <c r="DB75" s="19"/>
      <c r="DC75" s="19"/>
      <c r="DD75" s="19"/>
      <c r="DE75" s="19"/>
      <c r="DF75" s="19"/>
      <c r="DG75" s="19"/>
      <c r="DH75" s="19"/>
      <c r="DI75" s="19"/>
      <c r="DJ75" s="19"/>
      <c r="DK75" s="19"/>
      <c r="DL75" s="19"/>
      <c r="DM75" s="19"/>
      <c r="DN75" s="19"/>
      <c r="DO75" s="19"/>
      <c r="DP75" s="19"/>
      <c r="DQ75" s="19"/>
      <c r="DR75" s="19"/>
      <c r="DS75" s="19"/>
      <c r="DT75" s="19"/>
      <c r="DU75" s="19"/>
      <c r="DV75" s="19"/>
      <c r="DW75" s="19"/>
      <c r="DX75" s="19"/>
      <c r="DY75" s="19"/>
      <c r="DZ75" s="19"/>
      <c r="EA75" s="19"/>
      <c r="EB75" s="19"/>
      <c r="EC75" s="19"/>
      <c r="ED75" s="19"/>
      <c r="EE75" s="19"/>
      <c r="EF75" s="19"/>
      <c r="EG75" s="19"/>
      <c r="EH75" s="19"/>
      <c r="EI75" s="19"/>
      <c r="EJ75" s="19"/>
      <c r="EK75" s="19"/>
      <c r="EL75" s="19"/>
      <c r="EM75" s="19"/>
      <c r="EN75" s="19"/>
      <c r="EO75" s="19"/>
      <c r="EP75" s="19"/>
      <c r="EQ75" s="19"/>
      <c r="ER75" s="19"/>
      <c r="ES75" s="19"/>
      <c r="ET75" s="19"/>
      <c r="EU75" s="19"/>
      <c r="EV75" s="19"/>
      <c r="EW75" s="19"/>
      <c r="EX75" s="19"/>
      <c r="EY75" s="19"/>
      <c r="EZ75" s="19"/>
      <c r="FA75" s="19"/>
      <c r="FB75" s="19"/>
      <c r="FC75" s="19"/>
      <c r="FD75" s="19"/>
      <c r="FE75" s="19"/>
      <c r="FF75" s="19"/>
      <c r="FG75" s="19"/>
      <c r="FH75" s="19"/>
      <c r="FI75" s="19"/>
    </row>
    <row r="76" spans="1:165" x14ac:dyDescent="0.25">
      <c r="A76" s="36"/>
      <c r="B76" s="13"/>
      <c r="C76" s="13"/>
      <c r="D76" s="32" t="s">
        <v>80</v>
      </c>
      <c r="E76" s="69">
        <v>1.532</v>
      </c>
      <c r="F76" s="130" t="s">
        <v>7</v>
      </c>
      <c r="G76" s="156"/>
      <c r="H76" s="13">
        <v>1.504</v>
      </c>
      <c r="I76" s="13">
        <f>H76+0.002</f>
        <v>1.506</v>
      </c>
      <c r="J76" s="29">
        <f t="shared" ref="J76:AM76" si="0">I76+0.002</f>
        <v>1.508</v>
      </c>
      <c r="K76" s="29">
        <f t="shared" si="0"/>
        <v>1.51</v>
      </c>
      <c r="L76" s="29">
        <f t="shared" si="0"/>
        <v>1.512</v>
      </c>
      <c r="M76" s="29">
        <f t="shared" si="0"/>
        <v>1.514</v>
      </c>
      <c r="N76" s="29">
        <f t="shared" si="0"/>
        <v>1.516</v>
      </c>
      <c r="O76" s="29">
        <f t="shared" si="0"/>
        <v>1.518</v>
      </c>
      <c r="P76" s="29">
        <f t="shared" si="0"/>
        <v>1.52</v>
      </c>
      <c r="Q76" s="29">
        <f t="shared" si="0"/>
        <v>1.522</v>
      </c>
      <c r="R76" s="29">
        <f t="shared" si="0"/>
        <v>1.524</v>
      </c>
      <c r="S76" s="30">
        <f t="shared" si="0"/>
        <v>1.526</v>
      </c>
      <c r="T76" s="18">
        <f t="shared" si="0"/>
        <v>1.528</v>
      </c>
      <c r="U76" s="19">
        <f t="shared" si="0"/>
        <v>1.53</v>
      </c>
      <c r="V76" s="19">
        <f t="shared" si="0"/>
        <v>1.532</v>
      </c>
      <c r="W76" s="19">
        <f t="shared" si="0"/>
        <v>1.534</v>
      </c>
      <c r="X76" s="19">
        <f t="shared" si="0"/>
        <v>1.536</v>
      </c>
      <c r="Y76" s="19">
        <f t="shared" si="0"/>
        <v>1.538</v>
      </c>
      <c r="Z76" s="19">
        <f t="shared" si="0"/>
        <v>1.54</v>
      </c>
      <c r="AA76" s="19">
        <f t="shared" si="0"/>
        <v>1.542</v>
      </c>
      <c r="AB76" s="19">
        <f t="shared" si="0"/>
        <v>1.544</v>
      </c>
      <c r="AC76" s="19">
        <f t="shared" si="0"/>
        <v>1.546</v>
      </c>
      <c r="AD76" s="19">
        <f t="shared" si="0"/>
        <v>1.548</v>
      </c>
      <c r="AE76" s="19">
        <f t="shared" si="0"/>
        <v>1.55</v>
      </c>
      <c r="AF76" s="19">
        <f t="shared" si="0"/>
        <v>1.552</v>
      </c>
      <c r="AG76" s="19">
        <f t="shared" si="0"/>
        <v>1.554</v>
      </c>
      <c r="AH76" s="19">
        <f t="shared" si="0"/>
        <v>1.556</v>
      </c>
      <c r="AI76" s="19">
        <f t="shared" si="0"/>
        <v>1.5580000000000001</v>
      </c>
      <c r="AJ76" s="19">
        <f t="shared" si="0"/>
        <v>1.56</v>
      </c>
      <c r="AK76" s="19">
        <f t="shared" si="0"/>
        <v>1.5620000000000001</v>
      </c>
      <c r="AL76" s="19">
        <f t="shared" si="0"/>
        <v>1.5640000000000001</v>
      </c>
      <c r="AM76" s="19">
        <f t="shared" si="0"/>
        <v>1.5660000000000001</v>
      </c>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c r="BM76" s="19"/>
      <c r="BN76" s="19"/>
      <c r="BO76" s="19"/>
      <c r="BP76" s="19"/>
      <c r="BQ76" s="19"/>
      <c r="BR76" s="19"/>
      <c r="BS76" s="19"/>
      <c r="BT76" s="19"/>
      <c r="BU76" s="19"/>
      <c r="BV76" s="19"/>
      <c r="BW76" s="19"/>
      <c r="BX76" s="19"/>
      <c r="BY76" s="19"/>
      <c r="BZ76" s="19"/>
      <c r="CA76" s="19"/>
      <c r="CB76" s="19"/>
      <c r="CC76" s="19"/>
      <c r="CD76" s="19"/>
      <c r="CE76" s="19"/>
      <c r="CF76" s="19"/>
      <c r="CG76" s="19"/>
      <c r="CH76" s="19"/>
      <c r="CI76" s="19"/>
      <c r="CJ76" s="19"/>
      <c r="CK76" s="19"/>
      <c r="CL76" s="19"/>
      <c r="CM76" s="19"/>
      <c r="CN76" s="19"/>
      <c r="CO76" s="19"/>
      <c r="CP76" s="19"/>
      <c r="CQ76" s="19"/>
      <c r="CR76" s="19"/>
      <c r="CS76" s="19"/>
      <c r="CT76" s="19"/>
      <c r="CU76" s="19"/>
      <c r="CV76" s="19"/>
      <c r="CW76" s="19"/>
      <c r="CX76" s="19"/>
      <c r="CY76" s="19"/>
      <c r="CZ76" s="19"/>
      <c r="DA76" s="19"/>
      <c r="DB76" s="19"/>
      <c r="DC76" s="19"/>
      <c r="DD76" s="19"/>
      <c r="DE76" s="19"/>
      <c r="DF76" s="19"/>
      <c r="DG76" s="19"/>
      <c r="DH76" s="19"/>
      <c r="DI76" s="19"/>
      <c r="DJ76" s="19"/>
      <c r="DK76" s="19"/>
      <c r="DL76" s="19"/>
      <c r="DM76" s="19"/>
      <c r="DN76" s="19"/>
      <c r="DO76" s="19"/>
      <c r="DP76" s="19"/>
      <c r="DQ76" s="19"/>
      <c r="DR76" s="19"/>
      <c r="DS76" s="19"/>
      <c r="DT76" s="19"/>
      <c r="DU76" s="19"/>
      <c r="DV76" s="19"/>
      <c r="DW76" s="19"/>
      <c r="DX76" s="19"/>
      <c r="DY76" s="19"/>
      <c r="DZ76" s="19"/>
      <c r="EA76" s="19"/>
      <c r="EB76" s="19"/>
      <c r="EC76" s="19"/>
      <c r="ED76" s="19"/>
      <c r="EE76" s="19"/>
      <c r="EF76" s="19"/>
      <c r="EG76" s="19"/>
      <c r="EH76" s="19"/>
      <c r="EI76" s="19"/>
      <c r="EJ76" s="19"/>
      <c r="EK76" s="19"/>
      <c r="EL76" s="19"/>
      <c r="EM76" s="19"/>
      <c r="EN76" s="19"/>
      <c r="EO76" s="19"/>
      <c r="EP76" s="19"/>
      <c r="EQ76" s="19"/>
      <c r="ER76" s="19"/>
      <c r="ES76" s="19"/>
      <c r="ET76" s="19"/>
      <c r="EU76" s="19"/>
      <c r="EV76" s="19"/>
      <c r="EW76" s="19"/>
      <c r="EX76" s="19"/>
      <c r="EY76" s="19"/>
      <c r="EZ76" s="19"/>
      <c r="FA76" s="19"/>
      <c r="FB76" s="19"/>
      <c r="FC76" s="19"/>
      <c r="FD76" s="19"/>
      <c r="FE76" s="19"/>
      <c r="FF76" s="19"/>
      <c r="FG76" s="19"/>
      <c r="FH76" s="19"/>
      <c r="FI76" s="19"/>
    </row>
    <row r="77" spans="1:165" ht="16.5" thickBot="1" x14ac:dyDescent="0.35">
      <c r="A77" s="101"/>
      <c r="B77" s="34"/>
      <c r="C77" s="34"/>
      <c r="D77" s="43" t="s">
        <v>81</v>
      </c>
      <c r="E77" s="44">
        <f>R_FB_TOP*10^3*VFB_S/(R_FB_BOT*10^3-R_FBG)+VFB_S</f>
        <v>43.145177702628999</v>
      </c>
      <c r="F77" s="134" t="s">
        <v>7</v>
      </c>
      <c r="G77" s="156"/>
      <c r="H77" s="84">
        <f>VBATREG_D*0.995</f>
        <v>42.984000000000002</v>
      </c>
      <c r="I77" s="84">
        <f>VBATREG_D*1.005</f>
        <v>43.415999999999997</v>
      </c>
      <c r="J77" s="29"/>
      <c r="K77" s="29"/>
      <c r="L77" s="29"/>
      <c r="M77" s="29"/>
      <c r="N77" s="29"/>
      <c r="O77" s="29"/>
      <c r="P77" s="29"/>
      <c r="Q77" s="29"/>
      <c r="R77" s="29"/>
      <c r="S77" s="30"/>
      <c r="T77" s="18"/>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19"/>
      <c r="BM77" s="19"/>
      <c r="BN77" s="19"/>
      <c r="BO77" s="19"/>
      <c r="BP77" s="19"/>
      <c r="BQ77" s="19"/>
      <c r="BR77" s="19"/>
      <c r="BS77" s="19"/>
      <c r="BT77" s="19"/>
      <c r="BU77" s="19"/>
      <c r="BV77" s="19"/>
      <c r="BW77" s="19"/>
      <c r="BX77" s="19"/>
      <c r="BY77" s="19"/>
      <c r="BZ77" s="19"/>
      <c r="CA77" s="19"/>
      <c r="CB77" s="19"/>
      <c r="CC77" s="19"/>
      <c r="CD77" s="19"/>
      <c r="CE77" s="19"/>
      <c r="CF77" s="19"/>
      <c r="CG77" s="19"/>
      <c r="CH77" s="19"/>
      <c r="CI77" s="19"/>
      <c r="CJ77" s="19"/>
      <c r="CK77" s="19"/>
      <c r="CL77" s="19"/>
      <c r="CM77" s="19"/>
      <c r="CN77" s="19"/>
      <c r="CO77" s="19"/>
      <c r="CP77" s="19"/>
      <c r="CQ77" s="19"/>
      <c r="CR77" s="19"/>
      <c r="CS77" s="19"/>
      <c r="CT77" s="19"/>
      <c r="CU77" s="19"/>
      <c r="CV77" s="19"/>
      <c r="CW77" s="19"/>
      <c r="CX77" s="19"/>
      <c r="CY77" s="19"/>
      <c r="CZ77" s="19"/>
      <c r="DA77" s="19"/>
      <c r="DB77" s="19"/>
      <c r="DC77" s="19"/>
      <c r="DD77" s="19"/>
      <c r="DE77" s="19"/>
      <c r="DF77" s="19"/>
      <c r="DG77" s="19"/>
      <c r="DH77" s="19"/>
      <c r="DI77" s="19"/>
      <c r="DJ77" s="19"/>
      <c r="DK77" s="19"/>
      <c r="DL77" s="19"/>
      <c r="DM77" s="19"/>
      <c r="DN77" s="19"/>
      <c r="DO77" s="19"/>
      <c r="DP77" s="19"/>
      <c r="DQ77" s="19"/>
      <c r="DR77" s="19"/>
      <c r="DS77" s="19"/>
      <c r="DT77" s="19"/>
      <c r="DU77" s="19"/>
      <c r="DV77" s="19"/>
      <c r="DW77" s="19"/>
      <c r="DX77" s="19"/>
      <c r="DY77" s="19"/>
      <c r="DZ77" s="19"/>
      <c r="EA77" s="19"/>
      <c r="EB77" s="19"/>
      <c r="EC77" s="19"/>
      <c r="ED77" s="19"/>
      <c r="EE77" s="19"/>
      <c r="EF77" s="19"/>
      <c r="EG77" s="19"/>
      <c r="EH77" s="19"/>
      <c r="EI77" s="19"/>
      <c r="EJ77" s="19"/>
      <c r="EK77" s="19"/>
      <c r="EL77" s="19"/>
      <c r="EM77" s="19"/>
      <c r="EN77" s="19"/>
      <c r="EO77" s="19"/>
      <c r="EP77" s="19"/>
      <c r="EQ77" s="19"/>
      <c r="ER77" s="19"/>
      <c r="ES77" s="19"/>
      <c r="ET77" s="19"/>
      <c r="EU77" s="19"/>
      <c r="EV77" s="19"/>
      <c r="EW77" s="19"/>
      <c r="EX77" s="19"/>
      <c r="EY77" s="19"/>
      <c r="EZ77" s="19"/>
      <c r="FA77" s="19"/>
      <c r="FB77" s="19"/>
      <c r="FC77" s="19"/>
      <c r="FD77" s="19"/>
      <c r="FE77" s="19"/>
      <c r="FF77" s="19"/>
      <c r="FG77" s="19"/>
      <c r="FH77" s="19"/>
      <c r="FI77" s="19"/>
    </row>
    <row r="78" spans="1:165" x14ac:dyDescent="0.25">
      <c r="A78" s="31"/>
      <c r="B78" s="13"/>
      <c r="C78" s="13"/>
      <c r="D78" s="13"/>
      <c r="E78" s="13"/>
      <c r="F78" s="127"/>
      <c r="G78" s="156"/>
      <c r="H78" s="13"/>
      <c r="I78" s="13"/>
      <c r="J78" s="29"/>
      <c r="K78" s="29"/>
      <c r="L78" s="29"/>
      <c r="M78" s="29"/>
      <c r="N78" s="29"/>
      <c r="O78" s="29"/>
      <c r="P78" s="29"/>
      <c r="Q78" s="29"/>
      <c r="R78" s="29"/>
      <c r="S78" s="30"/>
      <c r="T78" s="18"/>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c r="BM78" s="19"/>
      <c r="BN78" s="19"/>
      <c r="BO78" s="19"/>
      <c r="BP78" s="19"/>
      <c r="BQ78" s="19"/>
      <c r="BR78" s="19"/>
      <c r="BS78" s="19"/>
      <c r="BT78" s="19"/>
      <c r="BU78" s="19"/>
      <c r="BV78" s="19"/>
      <c r="BW78" s="19"/>
      <c r="BX78" s="19"/>
      <c r="BY78" s="19"/>
      <c r="BZ78" s="19"/>
      <c r="CA78" s="19"/>
      <c r="CB78" s="19"/>
      <c r="CC78" s="19"/>
      <c r="CD78" s="19"/>
      <c r="CE78" s="19"/>
      <c r="CF78" s="19"/>
      <c r="CG78" s="19"/>
      <c r="CH78" s="19"/>
      <c r="CI78" s="19"/>
      <c r="CJ78" s="19"/>
      <c r="CK78" s="19"/>
      <c r="CL78" s="19"/>
      <c r="CM78" s="19"/>
      <c r="CN78" s="19"/>
      <c r="CO78" s="19"/>
      <c r="CP78" s="19"/>
      <c r="CQ78" s="19"/>
      <c r="CR78" s="19"/>
      <c r="CS78" s="19"/>
      <c r="CT78" s="19"/>
      <c r="CU78" s="19"/>
      <c r="CV78" s="19"/>
      <c r="CW78" s="19"/>
      <c r="CX78" s="19"/>
      <c r="CY78" s="19"/>
      <c r="CZ78" s="19"/>
      <c r="DA78" s="19"/>
      <c r="DB78" s="19"/>
      <c r="DC78" s="19"/>
      <c r="DD78" s="19"/>
      <c r="DE78" s="19"/>
      <c r="DF78" s="19"/>
      <c r="DG78" s="19"/>
      <c r="DH78" s="19"/>
      <c r="DI78" s="19"/>
      <c r="DJ78" s="19"/>
      <c r="DK78" s="19"/>
      <c r="DL78" s="19"/>
      <c r="DM78" s="19"/>
      <c r="DN78" s="19"/>
      <c r="DO78" s="19"/>
      <c r="DP78" s="19"/>
      <c r="DQ78" s="19"/>
      <c r="DR78" s="19"/>
      <c r="DS78" s="19"/>
      <c r="DT78" s="19"/>
      <c r="DU78" s="19"/>
      <c r="DV78" s="19"/>
      <c r="DW78" s="19"/>
      <c r="DX78" s="19"/>
      <c r="DY78" s="19"/>
      <c r="DZ78" s="19"/>
      <c r="EA78" s="19"/>
      <c r="EB78" s="19"/>
      <c r="EC78" s="19"/>
      <c r="ED78" s="19"/>
      <c r="EE78" s="19"/>
      <c r="EF78" s="19"/>
      <c r="EG78" s="19"/>
      <c r="EH78" s="19"/>
      <c r="EI78" s="19"/>
      <c r="EJ78" s="19"/>
      <c r="EK78" s="19"/>
      <c r="EL78" s="19"/>
      <c r="EM78" s="19"/>
      <c r="EN78" s="19"/>
      <c r="EO78" s="19"/>
      <c r="EP78" s="19"/>
      <c r="EQ78" s="19"/>
      <c r="ER78" s="19"/>
      <c r="ES78" s="19"/>
      <c r="ET78" s="19"/>
      <c r="EU78" s="19"/>
      <c r="EV78" s="19"/>
      <c r="EW78" s="19"/>
      <c r="EX78" s="19"/>
      <c r="EY78" s="19"/>
      <c r="EZ78" s="19"/>
      <c r="FA78" s="19"/>
      <c r="FB78" s="19"/>
      <c r="FC78" s="19"/>
      <c r="FD78" s="19"/>
      <c r="FE78" s="19"/>
      <c r="FF78" s="19"/>
      <c r="FG78" s="19"/>
      <c r="FH78" s="19"/>
      <c r="FI78" s="19"/>
    </row>
    <row r="79" spans="1:165" ht="15.75" thickBot="1" x14ac:dyDescent="0.3">
      <c r="A79" s="212" t="s">
        <v>82</v>
      </c>
      <c r="B79" s="213"/>
      <c r="C79" s="213"/>
      <c r="D79" s="13"/>
      <c r="E79" s="13"/>
      <c r="F79" s="127"/>
      <c r="G79" s="156"/>
      <c r="H79" s="13"/>
      <c r="I79" s="13"/>
      <c r="J79" s="29"/>
      <c r="K79" s="29"/>
      <c r="L79" s="29"/>
      <c r="M79" s="29"/>
      <c r="N79" s="29"/>
      <c r="O79" s="29"/>
      <c r="P79" s="29"/>
      <c r="Q79" s="29"/>
      <c r="R79" s="29"/>
      <c r="S79" s="30"/>
      <c r="T79" s="18"/>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19"/>
      <c r="BO79" s="19"/>
      <c r="BP79" s="19"/>
      <c r="BQ79" s="19"/>
      <c r="BR79" s="19"/>
      <c r="BS79" s="19"/>
      <c r="BT79" s="19"/>
      <c r="BU79" s="19"/>
      <c r="BV79" s="19"/>
      <c r="BW79" s="19"/>
      <c r="BX79" s="19"/>
      <c r="BY79" s="19"/>
      <c r="BZ79" s="19"/>
      <c r="CA79" s="19"/>
      <c r="CB79" s="19"/>
      <c r="CC79" s="19"/>
      <c r="CD79" s="19"/>
      <c r="CE79" s="19"/>
      <c r="CF79" s="19"/>
      <c r="CG79" s="19"/>
      <c r="CH79" s="19"/>
      <c r="CI79" s="19"/>
      <c r="CJ79" s="19"/>
      <c r="CK79" s="19"/>
      <c r="CL79" s="19"/>
      <c r="CM79" s="19"/>
      <c r="CN79" s="19"/>
      <c r="CO79" s="19"/>
      <c r="CP79" s="19"/>
      <c r="CQ79" s="19"/>
      <c r="CR79" s="19"/>
      <c r="CS79" s="19"/>
      <c r="CT79" s="19"/>
      <c r="CU79" s="19"/>
      <c r="CV79" s="19"/>
      <c r="CW79" s="19"/>
      <c r="CX79" s="19"/>
      <c r="CY79" s="19"/>
      <c r="CZ79" s="19"/>
      <c r="DA79" s="19"/>
      <c r="DB79" s="19"/>
      <c r="DC79" s="19"/>
      <c r="DD79" s="19"/>
      <c r="DE79" s="19"/>
      <c r="DF79" s="19"/>
      <c r="DG79" s="19"/>
      <c r="DH79" s="19"/>
      <c r="DI79" s="19"/>
      <c r="DJ79" s="19"/>
      <c r="DK79" s="19"/>
      <c r="DL79" s="19"/>
      <c r="DM79" s="19"/>
      <c r="DN79" s="19"/>
      <c r="DO79" s="19"/>
      <c r="DP79" s="19"/>
      <c r="DQ79" s="19"/>
      <c r="DR79" s="19"/>
      <c r="DS79" s="19"/>
      <c r="DT79" s="19"/>
      <c r="DU79" s="19"/>
      <c r="DV79" s="19"/>
      <c r="DW79" s="19"/>
      <c r="DX79" s="19"/>
      <c r="DY79" s="19"/>
      <c r="DZ79" s="19"/>
      <c r="EA79" s="19"/>
      <c r="EB79" s="19"/>
      <c r="EC79" s="19"/>
      <c r="ED79" s="19"/>
      <c r="EE79" s="19"/>
      <c r="EF79" s="19"/>
      <c r="EG79" s="19"/>
      <c r="EH79" s="19"/>
      <c r="EI79" s="19"/>
      <c r="EJ79" s="19"/>
      <c r="EK79" s="19"/>
      <c r="EL79" s="19"/>
      <c r="EM79" s="19"/>
      <c r="EN79" s="19"/>
      <c r="EO79" s="19"/>
      <c r="EP79" s="19"/>
      <c r="EQ79" s="19"/>
      <c r="ER79" s="19"/>
      <c r="ES79" s="19"/>
      <c r="ET79" s="19"/>
      <c r="EU79" s="19"/>
      <c r="EV79" s="19"/>
      <c r="EW79" s="19"/>
      <c r="EX79" s="19"/>
      <c r="EY79" s="19"/>
      <c r="EZ79" s="19"/>
      <c r="FA79" s="19"/>
      <c r="FB79" s="19"/>
      <c r="FC79" s="19"/>
      <c r="FD79" s="19"/>
      <c r="FE79" s="19"/>
      <c r="FF79" s="19"/>
      <c r="FG79" s="19"/>
      <c r="FH79" s="19"/>
      <c r="FI79" s="19"/>
    </row>
    <row r="80" spans="1:165" x14ac:dyDescent="0.25">
      <c r="A80" s="27"/>
      <c r="B80" s="23"/>
      <c r="C80" s="23"/>
      <c r="D80" s="28" t="s">
        <v>83</v>
      </c>
      <c r="E80" s="68">
        <v>-10</v>
      </c>
      <c r="F80" s="132" t="s">
        <v>84</v>
      </c>
      <c r="G80" s="156"/>
      <c r="H80" s="13">
        <v>-10</v>
      </c>
      <c r="I80" s="13">
        <v>-5</v>
      </c>
      <c r="J80" s="29">
        <v>0</v>
      </c>
      <c r="K80" s="29">
        <v>5</v>
      </c>
      <c r="L80" s="29">
        <v>0.77149999999999996</v>
      </c>
      <c r="M80" s="29">
        <v>0.75319999999999998</v>
      </c>
      <c r="N80" s="29">
        <v>0.73250000000000004</v>
      </c>
      <c r="O80" s="29">
        <v>0.71099999999999997</v>
      </c>
      <c r="P80" s="29">
        <f>IF(TCOLD=T1_N10, T1_N10_P, IF(TCOLD=T1_N5, T1_N5_P, IF(TCOLD=T1_0, T1_0_P, IF(TCOLD=T1_5, T1_5_P, "Error"))))</f>
        <v>0.77149999999999996</v>
      </c>
      <c r="Q80" s="29"/>
      <c r="R80" s="29"/>
      <c r="S80" s="30"/>
      <c r="T80" s="18"/>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c r="BM80" s="19"/>
      <c r="BN80" s="19"/>
      <c r="BO80" s="19"/>
      <c r="BP80" s="19"/>
      <c r="BQ80" s="19"/>
      <c r="BR80" s="19"/>
      <c r="BS80" s="19"/>
      <c r="BT80" s="19"/>
      <c r="BU80" s="19"/>
      <c r="BV80" s="19"/>
      <c r="BW80" s="19"/>
      <c r="BX80" s="19"/>
      <c r="BY80" s="19"/>
      <c r="BZ80" s="19"/>
      <c r="CA80" s="19"/>
      <c r="CB80" s="19"/>
      <c r="CC80" s="19"/>
      <c r="CD80" s="19"/>
      <c r="CE80" s="19"/>
      <c r="CF80" s="19"/>
      <c r="CG80" s="19"/>
      <c r="CH80" s="19"/>
      <c r="CI80" s="19"/>
      <c r="CJ80" s="19"/>
      <c r="CK80" s="19"/>
      <c r="CL80" s="19"/>
      <c r="CM80" s="19"/>
      <c r="CN80" s="19"/>
      <c r="CO80" s="19"/>
      <c r="CP80" s="19"/>
      <c r="CQ80" s="19"/>
      <c r="CR80" s="19"/>
      <c r="CS80" s="19"/>
      <c r="CT80" s="19"/>
      <c r="CU80" s="19"/>
      <c r="CV80" s="19"/>
      <c r="CW80" s="19"/>
      <c r="CX80" s="19"/>
      <c r="CY80" s="19"/>
      <c r="CZ80" s="19"/>
      <c r="DA80" s="19"/>
      <c r="DB80" s="19"/>
      <c r="DC80" s="19"/>
      <c r="DD80" s="19"/>
      <c r="DE80" s="19"/>
      <c r="DF80" s="19"/>
      <c r="DG80" s="19"/>
      <c r="DH80" s="19"/>
      <c r="DI80" s="19"/>
      <c r="DJ80" s="19"/>
      <c r="DK80" s="19"/>
      <c r="DL80" s="19"/>
      <c r="DM80" s="19"/>
      <c r="DN80" s="19"/>
      <c r="DO80" s="19"/>
      <c r="DP80" s="19"/>
      <c r="DQ80" s="19"/>
      <c r="DR80" s="19"/>
      <c r="DS80" s="19"/>
      <c r="DT80" s="19"/>
      <c r="DU80" s="19"/>
      <c r="DV80" s="19"/>
      <c r="DW80" s="19"/>
      <c r="DX80" s="19"/>
      <c r="DY80" s="19"/>
      <c r="DZ80" s="19"/>
      <c r="EA80" s="19"/>
      <c r="EB80" s="19"/>
      <c r="EC80" s="19"/>
      <c r="ED80" s="19"/>
      <c r="EE80" s="19"/>
      <c r="EF80" s="19"/>
      <c r="EG80" s="19"/>
      <c r="EH80" s="19"/>
      <c r="EI80" s="19"/>
      <c r="EJ80" s="19"/>
      <c r="EK80" s="19"/>
      <c r="EL80" s="19"/>
      <c r="EM80" s="19"/>
      <c r="EN80" s="19"/>
      <c r="EO80" s="19"/>
      <c r="EP80" s="19"/>
      <c r="EQ80" s="19"/>
      <c r="ER80" s="19"/>
      <c r="ES80" s="19"/>
      <c r="ET80" s="19"/>
      <c r="EU80" s="19"/>
      <c r="EV80" s="19"/>
      <c r="EW80" s="19"/>
      <c r="EX80" s="19"/>
      <c r="EY80" s="19"/>
      <c r="EZ80" s="19"/>
      <c r="FA80" s="19"/>
      <c r="FB80" s="19"/>
      <c r="FC80" s="19"/>
      <c r="FD80" s="19"/>
      <c r="FE80" s="19"/>
      <c r="FF80" s="19"/>
      <c r="FG80" s="19"/>
      <c r="FH80" s="19"/>
      <c r="FI80" s="19"/>
    </row>
    <row r="81" spans="1:165" x14ac:dyDescent="0.25">
      <c r="A81" s="31"/>
      <c r="B81" s="13"/>
      <c r="C81" s="13"/>
      <c r="D81" s="32" t="s">
        <v>85</v>
      </c>
      <c r="E81" s="69">
        <v>60</v>
      </c>
      <c r="F81" s="128" t="s">
        <v>84</v>
      </c>
      <c r="G81" s="156"/>
      <c r="H81" s="13">
        <v>50</v>
      </c>
      <c r="I81" s="13">
        <v>55</v>
      </c>
      <c r="J81" s="29">
        <v>60</v>
      </c>
      <c r="K81" s="29">
        <v>65</v>
      </c>
      <c r="L81" s="29">
        <v>0.41199999999999998</v>
      </c>
      <c r="M81" s="29">
        <v>0.377</v>
      </c>
      <c r="N81" s="29">
        <v>0.34375</v>
      </c>
      <c r="O81" s="29">
        <v>0.3125</v>
      </c>
      <c r="P81" s="29">
        <f>IF(THOT=T5_50,T_50_P,IF(THOT=T5_55,T5_55_P,IF(THOT=T_60,T5_60_P,IF(THOT=T5_65_P,"Error"))))</f>
        <v>0.34375</v>
      </c>
      <c r="Q81" s="29"/>
      <c r="R81" s="29"/>
      <c r="S81" s="30"/>
      <c r="T81" s="18"/>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c r="BM81" s="19"/>
      <c r="BN81" s="19"/>
      <c r="BO81" s="19"/>
      <c r="BP81" s="19"/>
      <c r="BQ81" s="19"/>
      <c r="BR81" s="19"/>
      <c r="BS81" s="19"/>
      <c r="BT81" s="19"/>
      <c r="BU81" s="19"/>
      <c r="BV81" s="19"/>
      <c r="BW81" s="19"/>
      <c r="BX81" s="19"/>
      <c r="BY81" s="19"/>
      <c r="BZ81" s="19"/>
      <c r="CA81" s="19"/>
      <c r="CB81" s="19"/>
      <c r="CC81" s="19"/>
      <c r="CD81" s="19"/>
      <c r="CE81" s="19"/>
      <c r="CF81" s="19"/>
      <c r="CG81" s="19"/>
      <c r="CH81" s="19"/>
      <c r="CI81" s="19"/>
      <c r="CJ81" s="19"/>
      <c r="CK81" s="19"/>
      <c r="CL81" s="19"/>
      <c r="CM81" s="19"/>
      <c r="CN81" s="19"/>
      <c r="CO81" s="19"/>
      <c r="CP81" s="19"/>
      <c r="CQ81" s="19"/>
      <c r="CR81" s="19"/>
      <c r="CS81" s="19"/>
      <c r="CT81" s="19"/>
      <c r="CU81" s="19"/>
      <c r="CV81" s="19"/>
      <c r="CW81" s="19"/>
      <c r="CX81" s="19"/>
      <c r="CY81" s="19"/>
      <c r="CZ81" s="19"/>
      <c r="DA81" s="19"/>
      <c r="DB81" s="19"/>
      <c r="DC81" s="19"/>
      <c r="DD81" s="19"/>
      <c r="DE81" s="19"/>
      <c r="DF81" s="19"/>
      <c r="DG81" s="19"/>
      <c r="DH81" s="19"/>
      <c r="DI81" s="19"/>
      <c r="DJ81" s="19"/>
      <c r="DK81" s="19"/>
      <c r="DL81" s="19"/>
      <c r="DM81" s="19"/>
      <c r="DN81" s="19"/>
      <c r="DO81" s="19"/>
      <c r="DP81" s="19"/>
      <c r="DQ81" s="19"/>
      <c r="DR81" s="19"/>
      <c r="DS81" s="19"/>
      <c r="DT81" s="19"/>
      <c r="DU81" s="19"/>
      <c r="DV81" s="19"/>
      <c r="DW81" s="19"/>
      <c r="DX81" s="19"/>
      <c r="DY81" s="19"/>
      <c r="DZ81" s="19"/>
      <c r="EA81" s="19"/>
      <c r="EB81" s="19"/>
      <c r="EC81" s="19"/>
      <c r="ED81" s="19"/>
      <c r="EE81" s="19"/>
      <c r="EF81" s="19"/>
      <c r="EG81" s="19"/>
      <c r="EH81" s="19"/>
      <c r="EI81" s="19"/>
      <c r="EJ81" s="19"/>
      <c r="EK81" s="19"/>
      <c r="EL81" s="19"/>
      <c r="EM81" s="19"/>
      <c r="EN81" s="19"/>
      <c r="EO81" s="19"/>
      <c r="EP81" s="19"/>
      <c r="EQ81" s="19"/>
      <c r="ER81" s="19"/>
      <c r="ES81" s="19"/>
      <c r="ET81" s="19"/>
      <c r="EU81" s="19"/>
      <c r="EV81" s="19"/>
      <c r="EW81" s="19"/>
      <c r="EX81" s="19"/>
      <c r="EY81" s="19"/>
      <c r="EZ81" s="19"/>
      <c r="FA81" s="19"/>
      <c r="FB81" s="19"/>
      <c r="FC81" s="19"/>
      <c r="FD81" s="19"/>
      <c r="FE81" s="19"/>
      <c r="FF81" s="19"/>
      <c r="FG81" s="19"/>
      <c r="FH81" s="19"/>
      <c r="FI81" s="19"/>
    </row>
    <row r="82" spans="1:165" x14ac:dyDescent="0.25">
      <c r="A82" s="31"/>
      <c r="B82" s="13"/>
      <c r="C82" s="13"/>
      <c r="D82" s="32" t="s">
        <v>86</v>
      </c>
      <c r="E82" s="69">
        <v>27.28</v>
      </c>
      <c r="F82" s="130" t="s">
        <v>18</v>
      </c>
      <c r="G82" s="157" t="str">
        <f>_xlfn.CONCAT(FIXED(E82,2), " ",F82)</f>
        <v>27.28 kΩ</v>
      </c>
      <c r="H82" s="13"/>
      <c r="I82" s="13"/>
      <c r="J82" s="29"/>
      <c r="K82" s="29"/>
      <c r="L82" s="29"/>
      <c r="M82" s="29"/>
      <c r="N82" s="29"/>
      <c r="O82" s="29"/>
      <c r="P82" s="29"/>
      <c r="Q82" s="29"/>
      <c r="R82" s="29"/>
      <c r="S82" s="30"/>
      <c r="T82" s="18"/>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c r="BM82" s="19"/>
      <c r="BN82" s="19"/>
      <c r="BO82" s="19"/>
      <c r="BP82" s="19"/>
      <c r="BQ82" s="19"/>
      <c r="BR82" s="19"/>
      <c r="BS82" s="19"/>
      <c r="BT82" s="19"/>
      <c r="BU82" s="19"/>
      <c r="BV82" s="19"/>
      <c r="BW82" s="19"/>
      <c r="BX82" s="19"/>
      <c r="BY82" s="19"/>
      <c r="BZ82" s="19"/>
      <c r="CA82" s="19"/>
      <c r="CB82" s="19"/>
      <c r="CC82" s="19"/>
      <c r="CD82" s="19"/>
      <c r="CE82" s="19"/>
      <c r="CF82" s="19"/>
      <c r="CG82" s="19"/>
      <c r="CH82" s="19"/>
      <c r="CI82" s="19"/>
      <c r="CJ82" s="19"/>
      <c r="CK82" s="19"/>
      <c r="CL82" s="19"/>
      <c r="CM82" s="19"/>
      <c r="CN82" s="19"/>
      <c r="CO82" s="19"/>
      <c r="CP82" s="19"/>
      <c r="CQ82" s="19"/>
      <c r="CR82" s="19"/>
      <c r="CS82" s="19"/>
      <c r="CT82" s="19"/>
      <c r="CU82" s="19"/>
      <c r="CV82" s="19"/>
      <c r="CW82" s="19"/>
      <c r="CX82" s="19"/>
      <c r="CY82" s="19"/>
      <c r="CZ82" s="19"/>
      <c r="DA82" s="19"/>
      <c r="DB82" s="19"/>
      <c r="DC82" s="19"/>
      <c r="DD82" s="19"/>
      <c r="DE82" s="19"/>
      <c r="DF82" s="19"/>
      <c r="DG82" s="19"/>
      <c r="DH82" s="19"/>
      <c r="DI82" s="19"/>
      <c r="DJ82" s="19"/>
      <c r="DK82" s="19"/>
      <c r="DL82" s="19"/>
      <c r="DM82" s="19"/>
      <c r="DN82" s="19"/>
      <c r="DO82" s="19"/>
      <c r="DP82" s="19"/>
      <c r="DQ82" s="19"/>
      <c r="DR82" s="19"/>
      <c r="DS82" s="19"/>
      <c r="DT82" s="19"/>
      <c r="DU82" s="19"/>
      <c r="DV82" s="19"/>
      <c r="DW82" s="19"/>
      <c r="DX82" s="19"/>
      <c r="DY82" s="19"/>
      <c r="DZ82" s="19"/>
      <c r="EA82" s="19"/>
      <c r="EB82" s="19"/>
      <c r="EC82" s="19"/>
      <c r="ED82" s="19"/>
      <c r="EE82" s="19"/>
      <c r="EF82" s="19"/>
      <c r="EG82" s="19"/>
      <c r="EH82" s="19"/>
      <c r="EI82" s="19"/>
      <c r="EJ82" s="19"/>
      <c r="EK82" s="19"/>
      <c r="EL82" s="19"/>
      <c r="EM82" s="19"/>
      <c r="EN82" s="19"/>
      <c r="EO82" s="19"/>
      <c r="EP82" s="19"/>
      <c r="EQ82" s="19"/>
      <c r="ER82" s="19"/>
      <c r="ES82" s="19"/>
      <c r="ET82" s="19"/>
      <c r="EU82" s="19"/>
      <c r="EV82" s="19"/>
      <c r="EW82" s="19"/>
      <c r="EX82" s="19"/>
      <c r="EY82" s="19"/>
      <c r="EZ82" s="19"/>
      <c r="FA82" s="19"/>
      <c r="FB82" s="19"/>
      <c r="FC82" s="19"/>
      <c r="FD82" s="19"/>
      <c r="FE82" s="19"/>
      <c r="FF82" s="19"/>
      <c r="FG82" s="19"/>
      <c r="FH82" s="19"/>
      <c r="FI82" s="19"/>
    </row>
    <row r="83" spans="1:165" x14ac:dyDescent="0.25">
      <c r="A83" s="31"/>
      <c r="B83" s="13"/>
      <c r="C83" s="13"/>
      <c r="D83" s="32" t="s">
        <v>87</v>
      </c>
      <c r="E83" s="69">
        <v>3.02</v>
      </c>
      <c r="F83" s="130" t="s">
        <v>18</v>
      </c>
      <c r="G83" s="157" t="str">
        <f>_xlfn.CONCAT(FIXED(E83,2), " ",F83)</f>
        <v>3.02 kΩ</v>
      </c>
      <c r="H83" s="13"/>
      <c r="I83" s="13"/>
      <c r="J83" s="29"/>
      <c r="K83" s="29"/>
      <c r="L83" s="29"/>
      <c r="M83" s="29"/>
      <c r="N83" s="29"/>
      <c r="O83" s="29"/>
      <c r="P83" s="29"/>
      <c r="Q83" s="29"/>
      <c r="R83" s="29"/>
      <c r="S83" s="30"/>
      <c r="T83" s="18"/>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c r="BM83" s="19"/>
      <c r="BN83" s="19"/>
      <c r="BO83" s="19"/>
      <c r="BP83" s="19"/>
      <c r="BQ83" s="19"/>
      <c r="BR83" s="19"/>
      <c r="BS83" s="19"/>
      <c r="BT83" s="19"/>
      <c r="BU83" s="19"/>
      <c r="BV83" s="19"/>
      <c r="BW83" s="19"/>
      <c r="BX83" s="19"/>
      <c r="BY83" s="19"/>
      <c r="BZ83" s="19"/>
      <c r="CA83" s="19"/>
      <c r="CB83" s="19"/>
      <c r="CC83" s="19"/>
      <c r="CD83" s="19"/>
      <c r="CE83" s="19"/>
      <c r="CF83" s="19"/>
      <c r="CG83" s="19"/>
      <c r="CH83" s="19"/>
      <c r="CI83" s="19"/>
      <c r="CJ83" s="19"/>
      <c r="CK83" s="19"/>
      <c r="CL83" s="19"/>
      <c r="CM83" s="19"/>
      <c r="CN83" s="19"/>
      <c r="CO83" s="19"/>
      <c r="CP83" s="19"/>
      <c r="CQ83" s="19"/>
      <c r="CR83" s="19"/>
      <c r="CS83" s="19"/>
      <c r="CT83" s="19"/>
      <c r="CU83" s="19"/>
      <c r="CV83" s="19"/>
      <c r="CW83" s="19"/>
      <c r="CX83" s="19"/>
      <c r="CY83" s="19"/>
      <c r="CZ83" s="19"/>
      <c r="DA83" s="19"/>
      <c r="DB83" s="19"/>
      <c r="DC83" s="19"/>
      <c r="DD83" s="19"/>
      <c r="DE83" s="19"/>
      <c r="DF83" s="19"/>
      <c r="DG83" s="19"/>
      <c r="DH83" s="19"/>
      <c r="DI83" s="19"/>
      <c r="DJ83" s="19"/>
      <c r="DK83" s="19"/>
      <c r="DL83" s="19"/>
      <c r="DM83" s="19"/>
      <c r="DN83" s="19"/>
      <c r="DO83" s="19"/>
      <c r="DP83" s="19"/>
      <c r="DQ83" s="19"/>
      <c r="DR83" s="19"/>
      <c r="DS83" s="19"/>
      <c r="DT83" s="19"/>
      <c r="DU83" s="19"/>
      <c r="DV83" s="19"/>
      <c r="DW83" s="19"/>
      <c r="DX83" s="19"/>
      <c r="DY83" s="19"/>
      <c r="DZ83" s="19"/>
      <c r="EA83" s="19"/>
      <c r="EB83" s="19"/>
      <c r="EC83" s="19"/>
      <c r="ED83" s="19"/>
      <c r="EE83" s="19"/>
      <c r="EF83" s="19"/>
      <c r="EG83" s="19"/>
      <c r="EH83" s="19"/>
      <c r="EI83" s="19"/>
      <c r="EJ83" s="19"/>
      <c r="EK83" s="19"/>
      <c r="EL83" s="19"/>
      <c r="EM83" s="19"/>
      <c r="EN83" s="19"/>
      <c r="EO83" s="19"/>
      <c r="EP83" s="19"/>
      <c r="EQ83" s="19"/>
      <c r="ER83" s="19"/>
      <c r="ES83" s="19"/>
      <c r="ET83" s="19"/>
      <c r="EU83" s="19"/>
      <c r="EV83" s="19"/>
      <c r="EW83" s="19"/>
      <c r="EX83" s="19"/>
      <c r="EY83" s="19"/>
      <c r="EZ83" s="19"/>
      <c r="FA83" s="19"/>
      <c r="FB83" s="19"/>
      <c r="FC83" s="19"/>
      <c r="FD83" s="19"/>
      <c r="FE83" s="19"/>
      <c r="FF83" s="19"/>
      <c r="FG83" s="19"/>
      <c r="FH83" s="19"/>
      <c r="FI83" s="19"/>
    </row>
    <row r="84" spans="1:165" x14ac:dyDescent="0.25">
      <c r="A84" s="31"/>
      <c r="B84" s="13"/>
      <c r="C84" s="13"/>
      <c r="D84" s="39" t="s">
        <v>88</v>
      </c>
      <c r="E84" s="41">
        <f>(1/T1_P_Select-1)/(1/(RT2_R*10^3)+1/(RTHCOLD*10^3))/10^3</f>
        <v>5.4773676615238136</v>
      </c>
      <c r="F84" s="128" t="s">
        <v>18</v>
      </c>
      <c r="G84" s="157" t="str">
        <f>_xlfn.CONCAT(FIXED(E84,2), " ",F84)</f>
        <v>5.48 kΩ</v>
      </c>
      <c r="H84" s="13"/>
      <c r="I84" s="13"/>
      <c r="J84" s="29"/>
      <c r="K84" s="29"/>
      <c r="L84" s="29"/>
      <c r="M84" s="29"/>
      <c r="N84" s="29"/>
      <c r="O84" s="29"/>
      <c r="P84" s="29"/>
      <c r="Q84" s="29"/>
      <c r="R84" s="29"/>
      <c r="S84" s="30"/>
      <c r="T84" s="18"/>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c r="BM84" s="19"/>
      <c r="BN84" s="19"/>
      <c r="BO84" s="19"/>
      <c r="BP84" s="19"/>
      <c r="BQ84" s="19"/>
      <c r="BR84" s="19"/>
      <c r="BS84" s="19"/>
      <c r="BT84" s="19"/>
      <c r="BU84" s="19"/>
      <c r="BV84" s="19"/>
      <c r="BW84" s="19"/>
      <c r="BX84" s="19"/>
      <c r="BY84" s="19"/>
      <c r="BZ84" s="19"/>
      <c r="CA84" s="19"/>
      <c r="CB84" s="19"/>
      <c r="CC84" s="19"/>
      <c r="CD84" s="19"/>
      <c r="CE84" s="19"/>
      <c r="CF84" s="19"/>
      <c r="CG84" s="19"/>
      <c r="CH84" s="19"/>
      <c r="CI84" s="19"/>
      <c r="CJ84" s="19"/>
      <c r="CK84" s="19"/>
      <c r="CL84" s="19"/>
      <c r="CM84" s="19"/>
      <c r="CN84" s="19"/>
      <c r="CO84" s="19"/>
      <c r="CP84" s="19"/>
      <c r="CQ84" s="19"/>
      <c r="CR84" s="19"/>
      <c r="CS84" s="19"/>
      <c r="CT84" s="19"/>
      <c r="CU84" s="19"/>
      <c r="CV84" s="19"/>
      <c r="CW84" s="19"/>
      <c r="CX84" s="19"/>
      <c r="CY84" s="19"/>
      <c r="CZ84" s="19"/>
      <c r="DA84" s="19"/>
      <c r="DB84" s="19"/>
      <c r="DC84" s="19"/>
      <c r="DD84" s="19"/>
      <c r="DE84" s="19"/>
      <c r="DF84" s="19"/>
      <c r="DG84" s="19"/>
      <c r="DH84" s="19"/>
      <c r="DI84" s="19"/>
      <c r="DJ84" s="19"/>
      <c r="DK84" s="19"/>
      <c r="DL84" s="19"/>
      <c r="DM84" s="19"/>
      <c r="DN84" s="19"/>
      <c r="DO84" s="19"/>
      <c r="DP84" s="19"/>
      <c r="DQ84" s="19"/>
      <c r="DR84" s="19"/>
      <c r="DS84" s="19"/>
      <c r="DT84" s="19"/>
      <c r="DU84" s="19"/>
      <c r="DV84" s="19"/>
      <c r="DW84" s="19"/>
      <c r="DX84" s="19"/>
      <c r="DY84" s="19"/>
      <c r="DZ84" s="19"/>
      <c r="EA84" s="19"/>
      <c r="EB84" s="19"/>
      <c r="EC84" s="19"/>
      <c r="ED84" s="19"/>
      <c r="EE84" s="19"/>
      <c r="EF84" s="19"/>
      <c r="EG84" s="19"/>
      <c r="EH84" s="19"/>
      <c r="EI84" s="19"/>
      <c r="EJ84" s="19"/>
      <c r="EK84" s="19"/>
      <c r="EL84" s="19"/>
      <c r="EM84" s="19"/>
      <c r="EN84" s="19"/>
      <c r="EO84" s="19"/>
      <c r="EP84" s="19"/>
      <c r="EQ84" s="19"/>
      <c r="ER84" s="19"/>
      <c r="ES84" s="19"/>
      <c r="ET84" s="19"/>
      <c r="EU84" s="19"/>
      <c r="EV84" s="19"/>
      <c r="EW84" s="19"/>
      <c r="EX84" s="19"/>
      <c r="EY84" s="19"/>
      <c r="EZ84" s="19"/>
      <c r="FA84" s="19"/>
      <c r="FB84" s="19"/>
      <c r="FC84" s="19"/>
      <c r="FD84" s="19"/>
      <c r="FE84" s="19"/>
      <c r="FF84" s="19"/>
      <c r="FG84" s="19"/>
      <c r="FH84" s="19"/>
      <c r="FI84" s="19"/>
    </row>
    <row r="85" spans="1:165" ht="15.75" thickBot="1" x14ac:dyDescent="0.3">
      <c r="A85" s="33"/>
      <c r="B85" s="34"/>
      <c r="C85" s="34"/>
      <c r="D85" s="43" t="s">
        <v>89</v>
      </c>
      <c r="E85" s="44">
        <f>(RTHCOLD*10^3*RTHHOT*10^3*(1/T1_P_Select-1/T5_P_Select))/(RTHHOT*10^3*(1/T5_P_Select-1)-RTHCOLD*10^3*(1/T1_P_Select-1))/10^3</f>
        <v>57.418963724079937</v>
      </c>
      <c r="F85" s="134" t="s">
        <v>18</v>
      </c>
      <c r="G85" s="157" t="str">
        <f>_xlfn.CONCAT(FIXED(E85,2), " ",F85)</f>
        <v>57.42 kΩ</v>
      </c>
      <c r="H85" s="13"/>
      <c r="I85" s="13"/>
      <c r="J85" s="29"/>
      <c r="K85" s="29"/>
      <c r="L85" s="29"/>
      <c r="M85" s="29"/>
      <c r="N85" s="29"/>
      <c r="O85" s="29"/>
      <c r="P85" s="29"/>
      <c r="Q85" s="29"/>
      <c r="R85" s="29"/>
      <c r="S85" s="30"/>
      <c r="T85" s="18"/>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c r="BM85" s="19"/>
      <c r="BN85" s="19"/>
      <c r="BO85" s="19"/>
      <c r="BP85" s="19"/>
      <c r="BQ85" s="19"/>
      <c r="BR85" s="19"/>
      <c r="BS85" s="19"/>
      <c r="BT85" s="19"/>
      <c r="BU85" s="19"/>
      <c r="BV85" s="19"/>
      <c r="BW85" s="19"/>
      <c r="BX85" s="19"/>
      <c r="BY85" s="19"/>
      <c r="BZ85" s="19"/>
      <c r="CA85" s="19"/>
      <c r="CB85" s="19"/>
      <c r="CC85" s="19"/>
      <c r="CD85" s="19"/>
      <c r="CE85" s="19"/>
      <c r="CF85" s="19"/>
      <c r="CG85" s="19"/>
      <c r="CH85" s="19"/>
      <c r="CI85" s="19"/>
      <c r="CJ85" s="19"/>
      <c r="CK85" s="19"/>
      <c r="CL85" s="19"/>
      <c r="CM85" s="19"/>
      <c r="CN85" s="19"/>
      <c r="CO85" s="19"/>
      <c r="CP85" s="19"/>
      <c r="CQ85" s="19"/>
      <c r="CR85" s="19"/>
      <c r="CS85" s="19"/>
      <c r="CT85" s="19"/>
      <c r="CU85" s="19"/>
      <c r="CV85" s="19"/>
      <c r="CW85" s="19"/>
      <c r="CX85" s="19"/>
      <c r="CY85" s="19"/>
      <c r="CZ85" s="19"/>
      <c r="DA85" s="19"/>
      <c r="DB85" s="19"/>
      <c r="DC85" s="19"/>
      <c r="DD85" s="19"/>
      <c r="DE85" s="19"/>
      <c r="DF85" s="19"/>
      <c r="DG85" s="19"/>
      <c r="DH85" s="19"/>
      <c r="DI85" s="19"/>
      <c r="DJ85" s="19"/>
      <c r="DK85" s="19"/>
      <c r="DL85" s="19"/>
      <c r="DM85" s="19"/>
      <c r="DN85" s="19"/>
      <c r="DO85" s="19"/>
      <c r="DP85" s="19"/>
      <c r="DQ85" s="19"/>
      <c r="DR85" s="19"/>
      <c r="DS85" s="19"/>
      <c r="DT85" s="19"/>
      <c r="DU85" s="19"/>
      <c r="DV85" s="19"/>
      <c r="DW85" s="19"/>
      <c r="DX85" s="19"/>
      <c r="DY85" s="19"/>
      <c r="DZ85" s="19"/>
      <c r="EA85" s="19"/>
      <c r="EB85" s="19"/>
      <c r="EC85" s="19"/>
      <c r="ED85" s="19"/>
      <c r="EE85" s="19"/>
      <c r="EF85" s="19"/>
      <c r="EG85" s="19"/>
      <c r="EH85" s="19"/>
      <c r="EI85" s="19"/>
      <c r="EJ85" s="19"/>
      <c r="EK85" s="19"/>
      <c r="EL85" s="19"/>
      <c r="EM85" s="19"/>
      <c r="EN85" s="19"/>
      <c r="EO85" s="19"/>
      <c r="EP85" s="19"/>
      <c r="EQ85" s="19"/>
      <c r="ER85" s="19"/>
      <c r="ES85" s="19"/>
      <c r="ET85" s="19"/>
      <c r="EU85" s="19"/>
      <c r="EV85" s="19"/>
      <c r="EW85" s="19"/>
      <c r="EX85" s="19"/>
      <c r="EY85" s="19"/>
      <c r="EZ85" s="19"/>
      <c r="FA85" s="19"/>
      <c r="FB85" s="19"/>
      <c r="FC85" s="19"/>
      <c r="FD85" s="19"/>
      <c r="FE85" s="19"/>
      <c r="FF85" s="19"/>
      <c r="FG85" s="19"/>
      <c r="FH85" s="19"/>
      <c r="FI85" s="19"/>
    </row>
    <row r="86" spans="1:165" x14ac:dyDescent="0.25">
      <c r="A86" s="31"/>
      <c r="B86" s="13"/>
      <c r="C86" s="13"/>
      <c r="D86" s="13"/>
      <c r="E86" s="13"/>
      <c r="F86" s="127"/>
      <c r="G86" s="156"/>
      <c r="H86" s="13"/>
      <c r="I86" s="13"/>
      <c r="J86" s="29"/>
      <c r="K86" s="29"/>
      <c r="L86" s="29"/>
      <c r="M86" s="29"/>
      <c r="N86" s="29"/>
      <c r="O86" s="29"/>
      <c r="P86" s="29"/>
      <c r="Q86" s="29"/>
      <c r="R86" s="29"/>
      <c r="S86" s="30"/>
      <c r="T86" s="18"/>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19"/>
      <c r="BM86" s="19"/>
      <c r="BN86" s="19"/>
      <c r="BO86" s="19"/>
      <c r="BP86" s="19"/>
      <c r="BQ86" s="19"/>
      <c r="BR86" s="19"/>
      <c r="BS86" s="19"/>
      <c r="BT86" s="19"/>
      <c r="BU86" s="19"/>
      <c r="BV86" s="19"/>
      <c r="BW86" s="19"/>
      <c r="BX86" s="19"/>
      <c r="BY86" s="19"/>
      <c r="BZ86" s="19"/>
      <c r="CA86" s="19"/>
      <c r="CB86" s="19"/>
      <c r="CC86" s="19"/>
      <c r="CD86" s="19"/>
      <c r="CE86" s="19"/>
      <c r="CF86" s="19"/>
      <c r="CG86" s="19"/>
      <c r="CH86" s="19"/>
      <c r="CI86" s="19"/>
      <c r="CJ86" s="19"/>
      <c r="CK86" s="19"/>
      <c r="CL86" s="19"/>
      <c r="CM86" s="19"/>
      <c r="CN86" s="19"/>
      <c r="CO86" s="19"/>
      <c r="CP86" s="19"/>
      <c r="CQ86" s="19"/>
      <c r="CR86" s="19"/>
      <c r="CS86" s="19"/>
      <c r="CT86" s="19"/>
      <c r="CU86" s="19"/>
      <c r="CV86" s="19"/>
      <c r="CW86" s="19"/>
      <c r="CX86" s="19"/>
      <c r="CY86" s="19"/>
      <c r="CZ86" s="19"/>
      <c r="DA86" s="19"/>
      <c r="DB86" s="19"/>
      <c r="DC86" s="19"/>
      <c r="DD86" s="19"/>
      <c r="DE86" s="19"/>
      <c r="DF86" s="19"/>
      <c r="DG86" s="19"/>
      <c r="DH86" s="19"/>
      <c r="DI86" s="19"/>
      <c r="DJ86" s="19"/>
      <c r="DK86" s="19"/>
      <c r="DL86" s="19"/>
      <c r="DM86" s="19"/>
      <c r="DN86" s="19"/>
      <c r="DO86" s="19"/>
      <c r="DP86" s="19"/>
      <c r="DQ86" s="19"/>
      <c r="DR86" s="19"/>
      <c r="DS86" s="19"/>
      <c r="DT86" s="19"/>
      <c r="DU86" s="19"/>
      <c r="DV86" s="19"/>
      <c r="DW86" s="19"/>
      <c r="DX86" s="19"/>
      <c r="DY86" s="19"/>
      <c r="DZ86" s="19"/>
      <c r="EA86" s="19"/>
      <c r="EB86" s="19"/>
      <c r="EC86" s="19"/>
      <c r="ED86" s="19"/>
      <c r="EE86" s="19"/>
      <c r="EF86" s="19"/>
      <c r="EG86" s="19"/>
      <c r="EH86" s="19"/>
      <c r="EI86" s="19"/>
      <c r="EJ86" s="19"/>
      <c r="EK86" s="19"/>
      <c r="EL86" s="19"/>
      <c r="EM86" s="19"/>
      <c r="EN86" s="19"/>
      <c r="EO86" s="19"/>
      <c r="EP86" s="19"/>
      <c r="EQ86" s="19"/>
      <c r="ER86" s="19"/>
      <c r="ES86" s="19"/>
      <c r="ET86" s="19"/>
      <c r="EU86" s="19"/>
      <c r="EV86" s="19"/>
      <c r="EW86" s="19"/>
      <c r="EX86" s="19"/>
      <c r="EY86" s="19"/>
      <c r="EZ86" s="19"/>
      <c r="FA86" s="19"/>
      <c r="FB86" s="19"/>
      <c r="FC86" s="19"/>
      <c r="FD86" s="19"/>
      <c r="FE86" s="19"/>
      <c r="FF86" s="19"/>
      <c r="FG86" s="19"/>
      <c r="FH86" s="19"/>
      <c r="FI86" s="19"/>
    </row>
    <row r="87" spans="1:165" ht="15.75" thickBot="1" x14ac:dyDescent="0.3">
      <c r="A87" s="36" t="s">
        <v>90</v>
      </c>
      <c r="B87" s="49"/>
      <c r="C87" s="49"/>
      <c r="D87" s="39"/>
      <c r="E87" s="49"/>
      <c r="F87" s="135"/>
      <c r="G87" s="156"/>
      <c r="H87" s="13"/>
      <c r="I87" s="13"/>
      <c r="J87" s="29"/>
      <c r="K87" s="29"/>
      <c r="L87" s="29"/>
      <c r="M87" s="29"/>
      <c r="N87" s="29"/>
      <c r="O87" s="29"/>
      <c r="P87" s="29"/>
      <c r="Q87" s="29"/>
      <c r="R87" s="29"/>
      <c r="S87" s="30"/>
      <c r="T87" s="18"/>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19"/>
      <c r="BM87" s="19"/>
      <c r="BN87" s="19"/>
      <c r="BO87" s="19"/>
      <c r="BP87" s="19"/>
      <c r="BQ87" s="19"/>
      <c r="BR87" s="19"/>
      <c r="BS87" s="19"/>
      <c r="BT87" s="19"/>
      <c r="BU87" s="19"/>
      <c r="BV87" s="19"/>
      <c r="BW87" s="19"/>
      <c r="BX87" s="19"/>
      <c r="BY87" s="19"/>
      <c r="BZ87" s="19"/>
      <c r="CA87" s="19"/>
      <c r="CB87" s="19"/>
      <c r="CC87" s="19"/>
      <c r="CD87" s="19"/>
      <c r="CE87" s="19"/>
      <c r="CF87" s="19"/>
      <c r="CG87" s="19"/>
      <c r="CH87" s="19"/>
      <c r="CI87" s="19"/>
      <c r="CJ87" s="19"/>
      <c r="CK87" s="19"/>
      <c r="CL87" s="19"/>
      <c r="CM87" s="19"/>
      <c r="CN87" s="19"/>
      <c r="CO87" s="19"/>
      <c r="CP87" s="19"/>
      <c r="CQ87" s="19"/>
      <c r="CR87" s="19"/>
      <c r="CS87" s="19"/>
      <c r="CT87" s="19"/>
      <c r="CU87" s="19"/>
      <c r="CV87" s="19"/>
      <c r="CW87" s="19"/>
      <c r="CX87" s="19"/>
      <c r="CY87" s="19"/>
      <c r="CZ87" s="19"/>
      <c r="DA87" s="19"/>
      <c r="DB87" s="19"/>
      <c r="DC87" s="19"/>
      <c r="DD87" s="19"/>
      <c r="DE87" s="19"/>
      <c r="DF87" s="19"/>
      <c r="DG87" s="19"/>
      <c r="DH87" s="19"/>
      <c r="DI87" s="19"/>
      <c r="DJ87" s="19"/>
      <c r="DK87" s="19"/>
      <c r="DL87" s="19"/>
      <c r="DM87" s="19"/>
      <c r="DN87" s="19"/>
      <c r="DO87" s="19"/>
      <c r="DP87" s="19"/>
      <c r="DQ87" s="19"/>
      <c r="DR87" s="19"/>
      <c r="DS87" s="19"/>
      <c r="DT87" s="19"/>
      <c r="DU87" s="19"/>
      <c r="DV87" s="19"/>
      <c r="DW87" s="19"/>
      <c r="DX87" s="19"/>
      <c r="DY87" s="19"/>
      <c r="DZ87" s="19"/>
      <c r="EA87" s="19"/>
      <c r="EB87" s="19"/>
      <c r="EC87" s="19"/>
      <c r="ED87" s="19"/>
      <c r="EE87" s="19"/>
      <c r="EF87" s="19"/>
      <c r="EG87" s="19"/>
      <c r="EH87" s="19"/>
      <c r="EI87" s="19"/>
      <c r="EJ87" s="19"/>
      <c r="EK87" s="19"/>
      <c r="EL87" s="19"/>
      <c r="EM87" s="19"/>
      <c r="EN87" s="19"/>
      <c r="EO87" s="19"/>
      <c r="EP87" s="19"/>
      <c r="EQ87" s="19"/>
      <c r="ER87" s="19"/>
      <c r="ES87" s="19"/>
      <c r="ET87" s="19"/>
      <c r="EU87" s="19"/>
      <c r="EV87" s="19"/>
      <c r="EW87" s="19"/>
      <c r="EX87" s="19"/>
      <c r="EY87" s="19"/>
      <c r="EZ87" s="19"/>
      <c r="FA87" s="19"/>
      <c r="FB87" s="19"/>
      <c r="FC87" s="19"/>
      <c r="FD87" s="19"/>
      <c r="FE87" s="19"/>
      <c r="FF87" s="19"/>
      <c r="FG87" s="19"/>
      <c r="FH87" s="19"/>
      <c r="FI87" s="19"/>
    </row>
    <row r="88" spans="1:165" x14ac:dyDescent="0.25">
      <c r="A88" s="22"/>
      <c r="B88" s="50"/>
      <c r="C88" s="50"/>
      <c r="D88" s="28" t="s">
        <v>91</v>
      </c>
      <c r="E88" s="70" t="s">
        <v>92</v>
      </c>
      <c r="F88" s="12"/>
      <c r="G88" s="156"/>
      <c r="H88" s="13" t="s">
        <v>92</v>
      </c>
      <c r="I88" s="13" t="s">
        <v>93</v>
      </c>
      <c r="J88" s="29"/>
      <c r="K88" s="29"/>
      <c r="L88" s="29"/>
      <c r="M88" s="29"/>
      <c r="N88" s="29"/>
      <c r="O88" s="29"/>
      <c r="P88" s="29"/>
      <c r="Q88" s="29"/>
      <c r="S88" s="30"/>
      <c r="T88" s="18"/>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19"/>
      <c r="BM88" s="19"/>
      <c r="BN88" s="19"/>
      <c r="BO88" s="19"/>
      <c r="BP88" s="19"/>
      <c r="BQ88" s="19"/>
      <c r="BR88" s="19"/>
      <c r="BS88" s="19"/>
      <c r="BT88" s="19"/>
      <c r="BU88" s="19"/>
      <c r="BV88" s="19"/>
      <c r="BW88" s="19"/>
      <c r="BX88" s="19"/>
      <c r="BY88" s="19"/>
      <c r="BZ88" s="19"/>
      <c r="CA88" s="19"/>
      <c r="CB88" s="19"/>
      <c r="CC88" s="19"/>
      <c r="CD88" s="19"/>
      <c r="CE88" s="19"/>
      <c r="CF88" s="19"/>
      <c r="CG88" s="19"/>
      <c r="CH88" s="19"/>
      <c r="CI88" s="19"/>
      <c r="CJ88" s="19"/>
      <c r="CK88" s="19"/>
      <c r="CL88" s="19"/>
      <c r="CM88" s="19"/>
      <c r="CN88" s="19"/>
      <c r="CO88" s="19"/>
      <c r="CP88" s="19"/>
      <c r="CQ88" s="19"/>
      <c r="CR88" s="19"/>
      <c r="CS88" s="19"/>
      <c r="CT88" s="19"/>
      <c r="CU88" s="19"/>
      <c r="CV88" s="19"/>
      <c r="CW88" s="19"/>
      <c r="CX88" s="19"/>
      <c r="CY88" s="19"/>
      <c r="CZ88" s="19"/>
      <c r="DA88" s="19"/>
      <c r="DB88" s="19"/>
      <c r="DC88" s="19"/>
      <c r="DD88" s="19"/>
      <c r="DE88" s="19"/>
      <c r="DF88" s="19"/>
      <c r="DG88" s="19"/>
      <c r="DH88" s="19"/>
      <c r="DI88" s="19"/>
      <c r="DJ88" s="19"/>
      <c r="DK88" s="19"/>
      <c r="DL88" s="19"/>
      <c r="DM88" s="19"/>
      <c r="DN88" s="19"/>
      <c r="DO88" s="19"/>
      <c r="DP88" s="19"/>
      <c r="DQ88" s="19"/>
      <c r="DR88" s="19"/>
      <c r="DS88" s="19"/>
      <c r="DT88" s="19"/>
      <c r="DU88" s="19"/>
      <c r="DV88" s="19"/>
      <c r="DW88" s="19"/>
      <c r="DX88" s="19"/>
      <c r="DY88" s="19"/>
      <c r="DZ88" s="19"/>
      <c r="EA88" s="19"/>
      <c r="EB88" s="19"/>
      <c r="EC88" s="19"/>
      <c r="ED88" s="19"/>
      <c r="EE88" s="19"/>
      <c r="EF88" s="19"/>
      <c r="EG88" s="19"/>
      <c r="EH88" s="19"/>
      <c r="EI88" s="19"/>
      <c r="EJ88" s="19"/>
      <c r="EK88" s="19"/>
      <c r="EL88" s="19"/>
      <c r="EM88" s="19"/>
      <c r="EN88" s="19"/>
      <c r="EO88" s="19"/>
      <c r="EP88" s="19"/>
      <c r="EQ88" s="19"/>
      <c r="ER88" s="19"/>
      <c r="ES88" s="19"/>
      <c r="ET88" s="19"/>
      <c r="EU88" s="19"/>
      <c r="EV88" s="19"/>
      <c r="EW88" s="19"/>
      <c r="EX88" s="19"/>
      <c r="EY88" s="19"/>
      <c r="EZ88" s="19"/>
      <c r="FA88" s="19"/>
      <c r="FB88" s="19"/>
      <c r="FC88" s="19"/>
      <c r="FD88" s="19"/>
      <c r="FE88" s="19"/>
      <c r="FF88" s="19"/>
      <c r="FG88" s="19"/>
      <c r="FH88" s="19"/>
      <c r="FI88" s="19"/>
    </row>
    <row r="89" spans="1:165" ht="15.75" x14ac:dyDescent="0.3">
      <c r="A89" s="36"/>
      <c r="B89" s="49"/>
      <c r="C89" s="49"/>
      <c r="D89" s="39" t="s">
        <v>94</v>
      </c>
      <c r="E89" s="39">
        <f>IF(Desired_Operation=Buck_Boost, H89, IF(L&lt;($I$94+$J$94)/2, I89, IF(L&lt;($J$94+$K$94)/2, J89, IF(L&lt;($K$94+$L$94)/2, K89, IF(L&lt;($L$94+$M$94)/2, L89, IF(L&lt;($M$94+$N$94)/2, M89, IF(L&lt;($N$94+$O$94)/2, N89, IF(L&lt;($O$94), O89, P89)) ) )))))</f>
        <v>0</v>
      </c>
      <c r="F89" s="10" t="s">
        <v>18</v>
      </c>
      <c r="G89" s="156"/>
      <c r="H89" s="51">
        <v>0</v>
      </c>
      <c r="I89" s="51">
        <v>4.34</v>
      </c>
      <c r="J89" s="52">
        <v>5.72</v>
      </c>
      <c r="K89" s="52">
        <v>7.34</v>
      </c>
      <c r="L89" s="52">
        <v>9.91</v>
      </c>
      <c r="M89" s="52">
        <v>12.94</v>
      </c>
      <c r="N89" s="52">
        <v>16.399999999999999</v>
      </c>
      <c r="O89" s="52">
        <v>21.89</v>
      </c>
      <c r="P89" s="52">
        <v>46.8</v>
      </c>
      <c r="Q89" s="52"/>
      <c r="R89" s="52"/>
      <c r="S89" s="30"/>
      <c r="T89" s="18"/>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19"/>
      <c r="BM89" s="19"/>
      <c r="BN89" s="19"/>
      <c r="BO89" s="19"/>
      <c r="BP89" s="19"/>
      <c r="BQ89" s="19"/>
      <c r="BR89" s="19"/>
      <c r="BS89" s="19"/>
      <c r="BT89" s="19"/>
      <c r="BU89" s="19"/>
      <c r="BV89" s="19"/>
      <c r="BW89" s="19"/>
      <c r="BX89" s="19"/>
      <c r="BY89" s="19"/>
      <c r="BZ89" s="19"/>
      <c r="CA89" s="19"/>
      <c r="CB89" s="19"/>
      <c r="CC89" s="19"/>
      <c r="CD89" s="19"/>
      <c r="CE89" s="19"/>
      <c r="CF89" s="19"/>
      <c r="CG89" s="19"/>
      <c r="CH89" s="19"/>
      <c r="CI89" s="19"/>
      <c r="CJ89" s="19"/>
      <c r="CK89" s="19"/>
      <c r="CL89" s="19"/>
      <c r="CM89" s="19"/>
      <c r="CN89" s="19"/>
      <c r="CO89" s="19"/>
      <c r="CP89" s="19"/>
      <c r="CQ89" s="19"/>
      <c r="CR89" s="19"/>
      <c r="CS89" s="19"/>
      <c r="CT89" s="19"/>
      <c r="CU89" s="19"/>
      <c r="CV89" s="19"/>
      <c r="CW89" s="19"/>
      <c r="CX89" s="19"/>
      <c r="CY89" s="19"/>
      <c r="CZ89" s="19"/>
      <c r="DA89" s="19"/>
      <c r="DB89" s="19"/>
      <c r="DC89" s="19"/>
      <c r="DD89" s="19"/>
      <c r="DE89" s="19"/>
      <c r="DF89" s="19"/>
      <c r="DG89" s="19"/>
      <c r="DH89" s="19"/>
      <c r="DI89" s="19"/>
      <c r="DJ89" s="19"/>
      <c r="DK89" s="19"/>
      <c r="DL89" s="19"/>
      <c r="DM89" s="19"/>
      <c r="DN89" s="19"/>
      <c r="DO89" s="19"/>
      <c r="DP89" s="19"/>
      <c r="DQ89" s="19"/>
      <c r="DR89" s="19"/>
      <c r="DS89" s="19"/>
      <c r="DT89" s="19"/>
      <c r="DU89" s="19"/>
      <c r="DV89" s="19"/>
      <c r="DW89" s="19"/>
      <c r="DX89" s="19"/>
      <c r="DY89" s="19"/>
      <c r="DZ89" s="19"/>
      <c r="EA89" s="19"/>
      <c r="EB89" s="19"/>
      <c r="EC89" s="19"/>
      <c r="ED89" s="19"/>
      <c r="EE89" s="19"/>
      <c r="EF89" s="19"/>
      <c r="EG89" s="19"/>
      <c r="EH89" s="19"/>
      <c r="EI89" s="19"/>
      <c r="EJ89" s="19"/>
      <c r="EK89" s="19"/>
      <c r="EL89" s="19"/>
      <c r="EM89" s="19"/>
      <c r="EN89" s="19"/>
      <c r="EO89" s="19"/>
      <c r="EP89" s="19"/>
      <c r="EQ89" s="19"/>
      <c r="ER89" s="19"/>
      <c r="ES89" s="19"/>
      <c r="ET89" s="19"/>
      <c r="EU89" s="19"/>
      <c r="EV89" s="19"/>
      <c r="EW89" s="19"/>
      <c r="EX89" s="19"/>
      <c r="EY89" s="19"/>
      <c r="EZ89" s="19"/>
      <c r="FA89" s="19"/>
      <c r="FB89" s="19"/>
      <c r="FC89" s="19"/>
      <c r="FD89" s="19"/>
      <c r="FE89" s="19"/>
      <c r="FF89" s="19"/>
      <c r="FG89" s="19"/>
      <c r="FH89" s="19"/>
      <c r="FI89" s="19"/>
    </row>
    <row r="90" spans="1:165" ht="15.75" x14ac:dyDescent="0.3">
      <c r="A90" s="36"/>
      <c r="B90" s="49"/>
      <c r="C90" s="49"/>
      <c r="D90" s="39" t="s">
        <v>95</v>
      </c>
      <c r="E90" s="39">
        <f>IF(Desired_Operation=Buck_Boost, H90, IF(L&lt;($I$94+$J$94)/2, I90, IF(L&lt;($J$94+$K$94)/2, J90, IF(L&lt;($K$94+$L$94)/2, K90, IF(L&lt;($L$94+$M$94)/2, L90, IF(L&lt;($M$94+$N$94)/2, M90, IF(L&lt;($N$94+$O$94)/2, N90, IF(L&lt;($O$94), O90, P90)) ) )))))</f>
        <v>3</v>
      </c>
      <c r="F90" s="10" t="s">
        <v>18</v>
      </c>
      <c r="G90" s="156"/>
      <c r="H90" s="51">
        <v>3</v>
      </c>
      <c r="I90" s="51">
        <v>4.7</v>
      </c>
      <c r="J90" s="52">
        <v>6.04</v>
      </c>
      <c r="K90" s="52">
        <v>8.1999999999999993</v>
      </c>
      <c r="L90" s="52">
        <v>10.5</v>
      </c>
      <c r="M90" s="52">
        <v>13.7</v>
      </c>
      <c r="N90" s="52">
        <v>17.399999999999999</v>
      </c>
      <c r="O90" s="52">
        <v>27</v>
      </c>
      <c r="P90" s="52" t="s">
        <v>96</v>
      </c>
      <c r="Q90" s="52"/>
      <c r="R90" s="52"/>
      <c r="S90" s="30"/>
      <c r="T90" s="18"/>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c r="BF90" s="19"/>
      <c r="BG90" s="19"/>
      <c r="BH90" s="19"/>
      <c r="BI90" s="19"/>
      <c r="BJ90" s="19"/>
      <c r="BK90" s="19"/>
      <c r="BL90" s="19"/>
      <c r="BM90" s="19"/>
      <c r="BN90" s="19"/>
      <c r="BO90" s="19"/>
      <c r="BP90" s="19"/>
      <c r="BQ90" s="19"/>
      <c r="BR90" s="19"/>
      <c r="BS90" s="19"/>
      <c r="BT90" s="19"/>
      <c r="BU90" s="19"/>
      <c r="BV90" s="19"/>
      <c r="BW90" s="19"/>
      <c r="BX90" s="19"/>
      <c r="BY90" s="19"/>
      <c r="BZ90" s="19"/>
      <c r="CA90" s="19"/>
      <c r="CB90" s="19"/>
      <c r="CC90" s="19"/>
      <c r="CD90" s="19"/>
      <c r="CE90" s="19"/>
      <c r="CF90" s="19"/>
      <c r="CG90" s="19"/>
      <c r="CH90" s="19"/>
      <c r="CI90" s="19"/>
      <c r="CJ90" s="19"/>
      <c r="CK90" s="19"/>
      <c r="CL90" s="19"/>
      <c r="CM90" s="19"/>
      <c r="CN90" s="19"/>
      <c r="CO90" s="19"/>
      <c r="CP90" s="19"/>
      <c r="CQ90" s="19"/>
      <c r="CR90" s="19"/>
      <c r="CS90" s="19"/>
      <c r="CT90" s="19"/>
      <c r="CU90" s="19"/>
      <c r="CV90" s="19"/>
      <c r="CW90" s="19"/>
      <c r="CX90" s="19"/>
      <c r="CY90" s="19"/>
      <c r="CZ90" s="19"/>
      <c r="DA90" s="19"/>
      <c r="DB90" s="19"/>
      <c r="DC90" s="19"/>
      <c r="DD90" s="19"/>
      <c r="DE90" s="19"/>
      <c r="DF90" s="19"/>
      <c r="DG90" s="19"/>
      <c r="DH90" s="19"/>
      <c r="DI90" s="19"/>
      <c r="DJ90" s="19"/>
      <c r="DK90" s="19"/>
      <c r="DL90" s="19"/>
      <c r="DM90" s="19"/>
      <c r="DN90" s="19"/>
      <c r="DO90" s="19"/>
      <c r="DP90" s="19"/>
      <c r="DQ90" s="19"/>
      <c r="DR90" s="19"/>
      <c r="DS90" s="19"/>
      <c r="DT90" s="19"/>
      <c r="DU90" s="19"/>
      <c r="DV90" s="19"/>
      <c r="DW90" s="19"/>
      <c r="DX90" s="19"/>
      <c r="DY90" s="19"/>
      <c r="DZ90" s="19"/>
      <c r="EA90" s="19"/>
      <c r="EB90" s="19"/>
      <c r="EC90" s="19"/>
      <c r="ED90" s="19"/>
      <c r="EE90" s="19"/>
      <c r="EF90" s="19"/>
      <c r="EG90" s="19"/>
      <c r="EH90" s="19"/>
      <c r="EI90" s="19"/>
      <c r="EJ90" s="19"/>
      <c r="EK90" s="19"/>
      <c r="EL90" s="19"/>
      <c r="EM90" s="19"/>
      <c r="EN90" s="19"/>
      <c r="EO90" s="19"/>
      <c r="EP90" s="19"/>
      <c r="EQ90" s="19"/>
      <c r="ER90" s="19"/>
      <c r="ES90" s="19"/>
      <c r="ET90" s="19"/>
      <c r="EU90" s="19"/>
      <c r="EV90" s="19"/>
      <c r="EW90" s="19"/>
      <c r="EX90" s="19"/>
      <c r="EY90" s="19"/>
      <c r="EZ90" s="19"/>
      <c r="FA90" s="19"/>
      <c r="FB90" s="19"/>
      <c r="FC90" s="19"/>
      <c r="FD90" s="19"/>
      <c r="FE90" s="19"/>
      <c r="FF90" s="19"/>
      <c r="FG90" s="19"/>
      <c r="FH90" s="19"/>
      <c r="FI90" s="19"/>
    </row>
    <row r="91" spans="1:165" ht="15.75" x14ac:dyDescent="0.3">
      <c r="A91" s="36"/>
      <c r="B91" s="49"/>
      <c r="C91" s="49"/>
      <c r="D91" s="39" t="s">
        <v>97</v>
      </c>
      <c r="E91" s="39">
        <f>IF(Desired_Operation=Buck_Boost, H91, IF(L&lt;($I$94+$J$94)/2, I91, IF(L&lt;($J$94+$K$94)/2, J91, IF(L&lt;($K$94+$L$94)/2, K91, IF(L&lt;($L$94+$M$94)/2, L91, IF(L&lt;($M$94+$N$94)/2, M91, IF(L&lt;($N$94+$O$94)/2, N91, IF(L&lt;($O$94), O91, P91)) ) )))))</f>
        <v>3.79</v>
      </c>
      <c r="F91" s="10" t="s">
        <v>18</v>
      </c>
      <c r="G91" s="156"/>
      <c r="H91" s="51">
        <v>3.79</v>
      </c>
      <c r="I91" s="51">
        <v>5.17</v>
      </c>
      <c r="J91" s="52">
        <v>6.59</v>
      </c>
      <c r="K91" s="52">
        <v>9.01</v>
      </c>
      <c r="L91" s="52">
        <v>11.68</v>
      </c>
      <c r="M91" s="52">
        <v>14.95</v>
      </c>
      <c r="N91" s="52">
        <v>19.920000000000002</v>
      </c>
      <c r="O91" s="99">
        <v>9.9999999999999997E+98</v>
      </c>
      <c r="P91" s="52" t="s">
        <v>98</v>
      </c>
      <c r="Q91" s="52"/>
      <c r="R91" s="52"/>
      <c r="S91" s="30"/>
      <c r="T91" s="18"/>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19"/>
      <c r="BM91" s="19"/>
      <c r="BN91" s="19"/>
      <c r="BO91" s="19"/>
      <c r="BP91" s="19"/>
      <c r="BQ91" s="19"/>
      <c r="BR91" s="19"/>
      <c r="BS91" s="19"/>
      <c r="BT91" s="19"/>
      <c r="BU91" s="19"/>
      <c r="BV91" s="19"/>
      <c r="BW91" s="19"/>
      <c r="BX91" s="19"/>
      <c r="BY91" s="19"/>
      <c r="BZ91" s="19"/>
      <c r="CA91" s="19"/>
      <c r="CB91" s="19"/>
      <c r="CC91" s="19"/>
      <c r="CD91" s="19"/>
      <c r="CE91" s="19"/>
      <c r="CF91" s="19"/>
      <c r="CG91" s="19"/>
      <c r="CH91" s="19"/>
      <c r="CI91" s="19"/>
      <c r="CJ91" s="19"/>
      <c r="CK91" s="19"/>
      <c r="CL91" s="19"/>
      <c r="CM91" s="19"/>
      <c r="CN91" s="19"/>
      <c r="CO91" s="19"/>
      <c r="CP91" s="19"/>
      <c r="CQ91" s="19"/>
      <c r="CR91" s="19"/>
      <c r="CS91" s="19"/>
      <c r="CT91" s="19"/>
      <c r="CU91" s="19"/>
      <c r="CV91" s="19"/>
      <c r="CW91" s="19"/>
      <c r="CX91" s="19"/>
      <c r="CY91" s="19"/>
      <c r="CZ91" s="19"/>
      <c r="DA91" s="19"/>
      <c r="DB91" s="19"/>
      <c r="DC91" s="19"/>
      <c r="DD91" s="19"/>
      <c r="DE91" s="19"/>
      <c r="DF91" s="19"/>
      <c r="DG91" s="19"/>
      <c r="DH91" s="19"/>
      <c r="DI91" s="19"/>
      <c r="DJ91" s="19"/>
      <c r="DK91" s="19"/>
      <c r="DL91" s="19"/>
      <c r="DM91" s="19"/>
      <c r="DN91" s="19"/>
      <c r="DO91" s="19"/>
      <c r="DP91" s="19"/>
      <c r="DQ91" s="19"/>
      <c r="DR91" s="19"/>
      <c r="DS91" s="19"/>
      <c r="DT91" s="19"/>
      <c r="DU91" s="19"/>
      <c r="DV91" s="19"/>
      <c r="DW91" s="19"/>
      <c r="DX91" s="19"/>
      <c r="DY91" s="19"/>
      <c r="DZ91" s="19"/>
      <c r="EA91" s="19"/>
      <c r="EB91" s="19"/>
      <c r="EC91" s="19"/>
      <c r="ED91" s="19"/>
      <c r="EE91" s="19"/>
      <c r="EF91" s="19"/>
      <c r="EG91" s="19"/>
      <c r="EH91" s="19"/>
      <c r="EI91" s="19"/>
      <c r="EJ91" s="19"/>
      <c r="EK91" s="19"/>
      <c r="EL91" s="19"/>
      <c r="EM91" s="19"/>
      <c r="EN91" s="19"/>
      <c r="EO91" s="19"/>
      <c r="EP91" s="19"/>
      <c r="EQ91" s="19"/>
      <c r="ER91" s="19"/>
      <c r="ES91" s="19"/>
      <c r="ET91" s="19"/>
      <c r="EU91" s="19"/>
      <c r="EV91" s="19"/>
      <c r="EW91" s="19"/>
      <c r="EX91" s="19"/>
      <c r="EY91" s="19"/>
      <c r="EZ91" s="19"/>
      <c r="FA91" s="19"/>
      <c r="FB91" s="19"/>
      <c r="FC91" s="19"/>
      <c r="FD91" s="19"/>
      <c r="FE91" s="19"/>
      <c r="FF91" s="19"/>
      <c r="FG91" s="19"/>
      <c r="FH91" s="19"/>
      <c r="FI91" s="19"/>
    </row>
    <row r="92" spans="1:165" x14ac:dyDescent="0.25">
      <c r="A92" s="36"/>
      <c r="B92" s="49"/>
      <c r="C92" s="49"/>
      <c r="D92" s="32" t="s">
        <v>99</v>
      </c>
      <c r="E92" s="71">
        <v>0</v>
      </c>
      <c r="F92" s="136" t="s">
        <v>18</v>
      </c>
      <c r="G92" s="156" t="str">
        <f>_xlfn.CONCAT(E92, " ",F92)</f>
        <v>0 kΩ</v>
      </c>
      <c r="H92" s="84">
        <f>$E$89</f>
        <v>0</v>
      </c>
      <c r="I92" s="84">
        <f>$E$91</f>
        <v>3.79</v>
      </c>
      <c r="J92" s="29"/>
      <c r="K92" s="29"/>
      <c r="L92" s="29"/>
      <c r="M92" s="29"/>
      <c r="N92" s="29"/>
      <c r="O92" s="29"/>
      <c r="P92" s="29"/>
      <c r="Q92" s="29"/>
      <c r="R92" s="29"/>
      <c r="S92" s="30"/>
      <c r="T92" s="18"/>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19"/>
      <c r="BM92" s="19"/>
      <c r="BN92" s="19"/>
      <c r="BO92" s="19"/>
      <c r="BP92" s="19"/>
      <c r="BQ92" s="19"/>
      <c r="BR92" s="19"/>
      <c r="BS92" s="19"/>
      <c r="BT92" s="19"/>
      <c r="BU92" s="19"/>
      <c r="BV92" s="19"/>
      <c r="BW92" s="19"/>
      <c r="BX92" s="19"/>
      <c r="BY92" s="19"/>
      <c r="BZ92" s="19"/>
      <c r="CA92" s="19"/>
      <c r="CB92" s="19"/>
      <c r="CC92" s="19"/>
      <c r="CD92" s="19"/>
      <c r="CE92" s="19"/>
      <c r="CF92" s="19"/>
      <c r="CG92" s="19"/>
      <c r="CH92" s="19"/>
      <c r="CI92" s="19"/>
      <c r="CJ92" s="19"/>
      <c r="CK92" s="19"/>
      <c r="CL92" s="19"/>
      <c r="CM92" s="19"/>
      <c r="CN92" s="19"/>
      <c r="CO92" s="19"/>
      <c r="CP92" s="19"/>
      <c r="CQ92" s="19"/>
      <c r="CR92" s="19"/>
      <c r="CS92" s="19"/>
      <c r="CT92" s="19"/>
      <c r="CU92" s="19"/>
      <c r="CV92" s="19"/>
      <c r="CW92" s="19"/>
      <c r="CX92" s="19"/>
      <c r="CY92" s="19"/>
      <c r="CZ92" s="19"/>
      <c r="DA92" s="19"/>
      <c r="DB92" s="19"/>
      <c r="DC92" s="19"/>
      <c r="DD92" s="19"/>
      <c r="DE92" s="19"/>
      <c r="DF92" s="19"/>
      <c r="DG92" s="19"/>
      <c r="DH92" s="19"/>
      <c r="DI92" s="19"/>
      <c r="DJ92" s="19"/>
      <c r="DK92" s="19"/>
      <c r="DL92" s="19"/>
      <c r="DM92" s="19"/>
      <c r="DN92" s="19"/>
      <c r="DO92" s="19"/>
      <c r="DP92" s="19"/>
      <c r="DQ92" s="19"/>
      <c r="DR92" s="19"/>
      <c r="DS92" s="19"/>
      <c r="DT92" s="19"/>
      <c r="DU92" s="19"/>
      <c r="DV92" s="19"/>
      <c r="DW92" s="19"/>
      <c r="DX92" s="19"/>
      <c r="DY92" s="19"/>
      <c r="DZ92" s="19"/>
      <c r="EA92" s="19"/>
      <c r="EB92" s="19"/>
      <c r="EC92" s="19"/>
      <c r="ED92" s="19"/>
      <c r="EE92" s="19"/>
      <c r="EF92" s="19"/>
      <c r="EG92" s="19"/>
      <c r="EH92" s="19"/>
      <c r="EI92" s="19"/>
      <c r="EJ92" s="19"/>
      <c r="EK92" s="19"/>
      <c r="EL92" s="19"/>
      <c r="EM92" s="19"/>
      <c r="EN92" s="19"/>
      <c r="EO92" s="19"/>
      <c r="EP92" s="19"/>
      <c r="EQ92" s="19"/>
      <c r="ER92" s="19"/>
      <c r="ES92" s="19"/>
      <c r="ET92" s="19"/>
      <c r="EU92" s="19"/>
      <c r="EV92" s="19"/>
      <c r="EW92" s="19"/>
      <c r="EX92" s="19"/>
      <c r="EY92" s="19"/>
      <c r="EZ92" s="19"/>
      <c r="FA92" s="19"/>
      <c r="FB92" s="19"/>
      <c r="FC92" s="19"/>
      <c r="FD92" s="19"/>
      <c r="FE92" s="19"/>
      <c r="FF92" s="19"/>
      <c r="FG92" s="19"/>
      <c r="FH92" s="19"/>
      <c r="FI92" s="19"/>
    </row>
    <row r="93" spans="1:165" x14ac:dyDescent="0.25">
      <c r="A93" s="36"/>
      <c r="B93" s="49"/>
      <c r="C93" s="49"/>
      <c r="D93" s="39" t="s">
        <v>100</v>
      </c>
      <c r="E93" s="53" t="str">
        <f>IF(AND($E$92&gt;=$H$89,$E$92&lt;=$H$91), H93, IF(AND($E$92&gt;=$I$89,$E$92&lt;=$I$91),I93, IF(AND($E$92&gt;=$J$89,$E$92&lt;=$J$91), J93, IF(AND($E$92&gt;=$K$89,$E$92&lt;=$K$91), K93, IF(AND($E$92&gt;=$L$89,$E$92&lt;=$L$91), L93, IF(AND($E$92&gt;=$M$89,$E$92&lt;=$M$91), M93, IF(AND($E$92&gt;=$N$89,$E$92&lt;=$N$91), N93, IF(AND($E$92&gt;=$O$89,$E$92&lt;=$O$91),O93, IF($E$92&gt;=$P$89, P93, "Undefined") ))))))) )</f>
        <v>Buck-Boost</v>
      </c>
      <c r="F93" s="10"/>
      <c r="G93" s="156"/>
      <c r="H93" s="51" t="str">
        <f>$H$88</f>
        <v>Buck-Boost</v>
      </c>
      <c r="I93" s="51" t="str">
        <f t="shared" ref="I93:P93" si="1">Buck_Only</f>
        <v>Buck-Only</v>
      </c>
      <c r="J93" s="51" t="str">
        <f t="shared" si="1"/>
        <v>Buck-Only</v>
      </c>
      <c r="K93" s="51" t="str">
        <f t="shared" si="1"/>
        <v>Buck-Only</v>
      </c>
      <c r="L93" s="51" t="str">
        <f t="shared" si="1"/>
        <v>Buck-Only</v>
      </c>
      <c r="M93" s="51" t="str">
        <f t="shared" si="1"/>
        <v>Buck-Only</v>
      </c>
      <c r="N93" s="51" t="str">
        <f t="shared" si="1"/>
        <v>Buck-Only</v>
      </c>
      <c r="O93" s="51" t="str">
        <f t="shared" si="1"/>
        <v>Buck-Only</v>
      </c>
      <c r="P93" s="51" t="str">
        <f t="shared" si="1"/>
        <v>Buck-Only</v>
      </c>
      <c r="Q93" s="51"/>
      <c r="R93" s="51"/>
      <c r="S93" s="30"/>
      <c r="T93" s="18"/>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19"/>
      <c r="BM93" s="19"/>
      <c r="BN93" s="19"/>
      <c r="BO93" s="19"/>
      <c r="BP93" s="19"/>
      <c r="BQ93" s="19"/>
      <c r="BR93" s="19"/>
      <c r="BS93" s="19"/>
      <c r="BT93" s="19"/>
      <c r="BU93" s="19"/>
      <c r="BV93" s="19"/>
      <c r="BW93" s="19"/>
      <c r="BX93" s="19"/>
      <c r="BY93" s="19"/>
      <c r="BZ93" s="19"/>
      <c r="CA93" s="19"/>
      <c r="CB93" s="19"/>
      <c r="CC93" s="19"/>
      <c r="CD93" s="19"/>
      <c r="CE93" s="19"/>
      <c r="CF93" s="19"/>
      <c r="CG93" s="19"/>
      <c r="CH93" s="19"/>
      <c r="CI93" s="19"/>
      <c r="CJ93" s="19"/>
      <c r="CK93" s="19"/>
      <c r="CL93" s="19"/>
      <c r="CM93" s="19"/>
      <c r="CN93" s="19"/>
      <c r="CO93" s="19"/>
      <c r="CP93" s="19"/>
      <c r="CQ93" s="19"/>
      <c r="CR93" s="19"/>
      <c r="CS93" s="19"/>
      <c r="CT93" s="19"/>
      <c r="CU93" s="19"/>
      <c r="CV93" s="19"/>
      <c r="CW93" s="19"/>
      <c r="CX93" s="19"/>
      <c r="CY93" s="19"/>
      <c r="CZ93" s="19"/>
      <c r="DA93" s="19"/>
      <c r="DB93" s="19"/>
      <c r="DC93" s="19"/>
      <c r="DD93" s="19"/>
      <c r="DE93" s="19"/>
      <c r="DF93" s="19"/>
      <c r="DG93" s="19"/>
      <c r="DH93" s="19"/>
      <c r="DI93" s="19"/>
      <c r="DJ93" s="19"/>
      <c r="DK93" s="19"/>
      <c r="DL93" s="19"/>
      <c r="DM93" s="19"/>
      <c r="DN93" s="19"/>
      <c r="DO93" s="19"/>
      <c r="DP93" s="19"/>
      <c r="DQ93" s="19"/>
      <c r="DR93" s="19"/>
      <c r="DS93" s="19"/>
      <c r="DT93" s="19"/>
      <c r="DU93" s="19"/>
      <c r="DV93" s="19"/>
      <c r="DW93" s="19"/>
      <c r="DX93" s="19"/>
      <c r="DY93" s="19"/>
      <c r="DZ93" s="19"/>
      <c r="EA93" s="19"/>
      <c r="EB93" s="19"/>
      <c r="EC93" s="19"/>
      <c r="ED93" s="19"/>
      <c r="EE93" s="19"/>
      <c r="EF93" s="19"/>
      <c r="EG93" s="19"/>
      <c r="EH93" s="19"/>
      <c r="EI93" s="19"/>
      <c r="EJ93" s="19"/>
      <c r="EK93" s="19"/>
      <c r="EL93" s="19"/>
      <c r="EM93" s="19"/>
      <c r="EN93" s="19"/>
      <c r="EO93" s="19"/>
      <c r="EP93" s="19"/>
      <c r="EQ93" s="19"/>
      <c r="ER93" s="19"/>
      <c r="ES93" s="19"/>
      <c r="ET93" s="19"/>
      <c r="EU93" s="19"/>
      <c r="EV93" s="19"/>
      <c r="EW93" s="19"/>
      <c r="EX93" s="19"/>
      <c r="EY93" s="19"/>
      <c r="EZ93" s="19"/>
      <c r="FA93" s="19"/>
      <c r="FB93" s="19"/>
      <c r="FC93" s="19"/>
      <c r="FD93" s="19"/>
      <c r="FE93" s="19"/>
      <c r="FF93" s="19"/>
      <c r="FG93" s="19"/>
      <c r="FH93" s="19"/>
      <c r="FI93" s="19"/>
    </row>
    <row r="94" spans="1:165" ht="15.75" x14ac:dyDescent="0.3">
      <c r="A94" s="36"/>
      <c r="B94" s="49"/>
      <c r="C94" s="49"/>
      <c r="D94" s="39" t="s">
        <v>101</v>
      </c>
      <c r="E94" s="39" t="str">
        <f>IF(AND($E$92&gt;=$H$89,$E$92&lt;=$H$91),H94, IF(AND( $E$92&gt;=$I$89,$E$92&lt;=$I$91),I94, IF(AND($E$92&gt;=$J$89,$E$92&lt;=$J$91),J94, IF(AND( $E$92&gt;=$K$89,$E$92&lt;=$K$91),K94, IF(AND( $E$92&gt;=$L$89,$E$92&lt;=$L$91),L94, IF(AND( $E$92&gt;=$M$89,$E$92&lt;=$M$91),M94, IF(AND( $E$92&gt;=$N$89,$E$92&lt;=$N$91),N94, IF(AND( $E$92&gt;=$O$89,$E$92&lt;=$O$91),O94, IF($E$92&gt;=$P$89, P94, "Undefined") ))))))) )</f>
        <v>2.2 - 15</v>
      </c>
      <c r="F94" s="10" t="s">
        <v>30</v>
      </c>
      <c r="G94" s="156"/>
      <c r="H94" s="13" t="s">
        <v>102</v>
      </c>
      <c r="I94" s="13">
        <v>3.3</v>
      </c>
      <c r="J94" s="29">
        <v>4.7</v>
      </c>
      <c r="K94" s="29">
        <v>5.6</v>
      </c>
      <c r="L94" s="29">
        <v>6.8</v>
      </c>
      <c r="M94" s="29">
        <v>8.1999999999999993</v>
      </c>
      <c r="N94" s="29">
        <v>10</v>
      </c>
      <c r="O94" s="29">
        <v>15</v>
      </c>
      <c r="P94" s="51"/>
      <c r="Q94" s="100">
        <f>IF(AND($E$92&lt;=$E$91,$E$92&gt;=$E$89), 0,1)</f>
        <v>0</v>
      </c>
      <c r="R94" s="51"/>
      <c r="S94" s="30"/>
      <c r="T94" s="18"/>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19"/>
      <c r="BL94" s="19"/>
      <c r="BM94" s="19"/>
      <c r="BN94" s="19"/>
      <c r="BO94" s="19"/>
      <c r="BP94" s="19"/>
      <c r="BQ94" s="19"/>
      <c r="BR94" s="19"/>
      <c r="BS94" s="19"/>
      <c r="BT94" s="19"/>
      <c r="BU94" s="19"/>
      <c r="BV94" s="19"/>
      <c r="BW94" s="19"/>
      <c r="BX94" s="19"/>
      <c r="BY94" s="19"/>
      <c r="BZ94" s="19"/>
      <c r="CA94" s="19"/>
      <c r="CB94" s="19"/>
      <c r="CC94" s="19"/>
      <c r="CD94" s="19"/>
      <c r="CE94" s="19"/>
      <c r="CF94" s="19"/>
      <c r="CG94" s="19"/>
      <c r="CH94" s="19"/>
      <c r="CI94" s="19"/>
      <c r="CJ94" s="19"/>
      <c r="CK94" s="19"/>
      <c r="CL94" s="19"/>
      <c r="CM94" s="19"/>
      <c r="CN94" s="19"/>
      <c r="CO94" s="19"/>
      <c r="CP94" s="19"/>
      <c r="CQ94" s="19"/>
      <c r="CR94" s="19"/>
      <c r="CS94" s="19"/>
      <c r="CT94" s="19"/>
      <c r="CU94" s="19"/>
      <c r="CV94" s="19"/>
      <c r="CW94" s="19"/>
      <c r="CX94" s="19"/>
      <c r="CY94" s="19"/>
      <c r="CZ94" s="19"/>
      <c r="DA94" s="19"/>
      <c r="DB94" s="19"/>
      <c r="DC94" s="19"/>
      <c r="DD94" s="19"/>
      <c r="DE94" s="19"/>
      <c r="DF94" s="19"/>
      <c r="DG94" s="19"/>
      <c r="DH94" s="19"/>
      <c r="DI94" s="19"/>
      <c r="DJ94" s="19"/>
      <c r="DK94" s="19"/>
      <c r="DL94" s="19"/>
      <c r="DM94" s="19"/>
      <c r="DN94" s="19"/>
      <c r="DO94" s="19"/>
      <c r="DP94" s="19"/>
      <c r="DQ94" s="19"/>
      <c r="DR94" s="19"/>
      <c r="DS94" s="19"/>
      <c r="DT94" s="19"/>
      <c r="DU94" s="19"/>
      <c r="DV94" s="19"/>
      <c r="DW94" s="19"/>
      <c r="DX94" s="19"/>
      <c r="DY94" s="19"/>
      <c r="DZ94" s="19"/>
      <c r="EA94" s="19"/>
      <c r="EB94" s="19"/>
      <c r="EC94" s="19"/>
      <c r="ED94" s="19"/>
      <c r="EE94" s="19"/>
      <c r="EF94" s="19"/>
      <c r="EG94" s="19"/>
      <c r="EH94" s="19"/>
      <c r="EI94" s="19"/>
      <c r="EJ94" s="19"/>
      <c r="EK94" s="19"/>
      <c r="EL94" s="19"/>
      <c r="EM94" s="19"/>
      <c r="EN94" s="19"/>
      <c r="EO94" s="19"/>
      <c r="EP94" s="19"/>
      <c r="EQ94" s="19"/>
      <c r="ER94" s="19"/>
      <c r="ES94" s="19"/>
      <c r="ET94" s="19"/>
      <c r="EU94" s="19"/>
      <c r="EV94" s="19"/>
      <c r="EW94" s="19"/>
      <c r="EX94" s="19"/>
      <c r="EY94" s="19"/>
      <c r="EZ94" s="19"/>
      <c r="FA94" s="19"/>
      <c r="FB94" s="19"/>
      <c r="FC94" s="19"/>
      <c r="FD94" s="19"/>
      <c r="FE94" s="19"/>
      <c r="FF94" s="19"/>
      <c r="FG94" s="19"/>
      <c r="FH94" s="19"/>
      <c r="FI94" s="19"/>
    </row>
    <row r="95" spans="1:165" ht="15.75" x14ac:dyDescent="0.3">
      <c r="A95" s="36"/>
      <c r="B95" s="49"/>
      <c r="C95" s="49"/>
      <c r="D95" s="39" t="s">
        <v>103</v>
      </c>
      <c r="E95" s="40">
        <f>IF(AND($E$92&gt;=$H$89,$E$92&lt;=$H$91),H95, IF(AND( $E$92&gt;=$I$89,$E$92&lt;=$I$91),I95, IF(AND($E$92&gt;=$J$89,$E$92&lt;=$J$91),J95, IF(AND( $E$92&gt;=$K$89,$E$92&lt;=$K$91),K95, IF(AND( $E$92&gt;=$L$89,$E$92&lt;=$L$91),L95, IF(AND( $E$92&gt;=$M$89,$E$92&lt;=$M$91),M95, IF(AND( $E$92&gt;=$N$89,$E$92&lt;=$N$91),N95, IF(AND( $E$92&gt;=$O$89,$E$92&lt;=$O$91),O95, IF($E$92&gt;=$P$89, P95, "Undefined") ))))))) )</f>
        <v>7.9365079365079358</v>
      </c>
      <c r="F95" s="10" t="s">
        <v>18</v>
      </c>
      <c r="G95" s="156"/>
      <c r="H95" s="51">
        <f>L/1260/10^-3</f>
        <v>7.9365079365079358</v>
      </c>
      <c r="I95" s="51">
        <v>2.6</v>
      </c>
      <c r="J95" s="51">
        <v>3.7</v>
      </c>
      <c r="K95" s="51">
        <v>4.4000000000000004</v>
      </c>
      <c r="L95" s="51">
        <v>5.4</v>
      </c>
      <c r="M95" s="51">
        <v>6.5</v>
      </c>
      <c r="N95" s="51">
        <v>7.9</v>
      </c>
      <c r="O95" s="51">
        <v>11.9</v>
      </c>
      <c r="P95" s="51"/>
      <c r="Q95" s="100">
        <f>IF(AND($E$92&lt;=$E$91,$E$92&gt;=$E$89), 0,1)</f>
        <v>0</v>
      </c>
      <c r="R95" s="51"/>
      <c r="S95" s="30"/>
      <c r="T95" s="18"/>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19"/>
      <c r="BM95" s="19"/>
      <c r="BN95" s="19"/>
      <c r="BO95" s="19"/>
      <c r="BP95" s="19"/>
      <c r="BQ95" s="19"/>
      <c r="BR95" s="19"/>
      <c r="BS95" s="19"/>
      <c r="BT95" s="19"/>
      <c r="BU95" s="19"/>
      <c r="BV95" s="19"/>
      <c r="BW95" s="19"/>
      <c r="BX95" s="19"/>
      <c r="BY95" s="19"/>
      <c r="BZ95" s="19"/>
      <c r="CA95" s="19"/>
      <c r="CB95" s="19"/>
      <c r="CC95" s="19"/>
      <c r="CD95" s="19"/>
      <c r="CE95" s="19"/>
      <c r="CF95" s="19"/>
      <c r="CG95" s="19"/>
      <c r="CH95" s="19"/>
      <c r="CI95" s="19"/>
      <c r="CJ95" s="19"/>
      <c r="CK95" s="19"/>
      <c r="CL95" s="19"/>
      <c r="CM95" s="19"/>
      <c r="CN95" s="19"/>
      <c r="CO95" s="19"/>
      <c r="CP95" s="19"/>
      <c r="CQ95" s="19"/>
      <c r="CR95" s="19"/>
      <c r="CS95" s="19"/>
      <c r="CT95" s="19"/>
      <c r="CU95" s="19"/>
      <c r="CV95" s="19"/>
      <c r="CW95" s="19"/>
      <c r="CX95" s="19"/>
      <c r="CY95" s="19"/>
      <c r="CZ95" s="19"/>
      <c r="DA95" s="19"/>
      <c r="DB95" s="19"/>
      <c r="DC95" s="19"/>
      <c r="DD95" s="19"/>
      <c r="DE95" s="19"/>
      <c r="DF95" s="19"/>
      <c r="DG95" s="19"/>
      <c r="DH95" s="19"/>
      <c r="DI95" s="19"/>
      <c r="DJ95" s="19"/>
      <c r="DK95" s="19"/>
      <c r="DL95" s="19"/>
      <c r="DM95" s="19"/>
      <c r="DN95" s="19"/>
      <c r="DO95" s="19"/>
      <c r="DP95" s="19"/>
      <c r="DQ95" s="19"/>
      <c r="DR95" s="19"/>
      <c r="DS95" s="19"/>
      <c r="DT95" s="19"/>
      <c r="DU95" s="19"/>
      <c r="DV95" s="19"/>
      <c r="DW95" s="19"/>
      <c r="DX95" s="19"/>
      <c r="DY95" s="19"/>
      <c r="DZ95" s="19"/>
      <c r="EA95" s="19"/>
      <c r="EB95" s="19"/>
      <c r="EC95" s="19"/>
      <c r="ED95" s="19"/>
      <c r="EE95" s="19"/>
      <c r="EF95" s="19"/>
      <c r="EG95" s="19"/>
      <c r="EH95" s="19"/>
      <c r="EI95" s="19"/>
      <c r="EJ95" s="19"/>
      <c r="EK95" s="19"/>
      <c r="EL95" s="19"/>
      <c r="EM95" s="19"/>
      <c r="EN95" s="19"/>
      <c r="EO95" s="19"/>
      <c r="EP95" s="19"/>
      <c r="EQ95" s="19"/>
      <c r="ER95" s="19"/>
      <c r="ES95" s="19"/>
      <c r="ET95" s="19"/>
      <c r="EU95" s="19"/>
      <c r="EV95" s="19"/>
      <c r="EW95" s="19"/>
      <c r="EX95" s="19"/>
      <c r="EY95" s="19"/>
      <c r="EZ95" s="19"/>
      <c r="FA95" s="19"/>
      <c r="FB95" s="19"/>
      <c r="FC95" s="19"/>
      <c r="FD95" s="19"/>
      <c r="FE95" s="19"/>
      <c r="FF95" s="19"/>
      <c r="FG95" s="19"/>
      <c r="FH95" s="19"/>
      <c r="FI95" s="19"/>
    </row>
    <row r="96" spans="1:165" ht="16.5" thickBot="1" x14ac:dyDescent="0.35">
      <c r="A96" s="46"/>
      <c r="B96" s="47"/>
      <c r="C96" s="47"/>
      <c r="D96" s="43" t="s">
        <v>104</v>
      </c>
      <c r="E96" s="43">
        <f>IF(AND($E$92&gt;=$H$89,$E$92&lt;=$H$91),H96, IF(AND( $E$92&gt;=$I$89,$E$92&lt;=$I$91),I96, IF(AND($E$92&gt;=$J$89,$E$92&lt;=$J$91),J96, IF(AND( $E$92&gt;=$K$89,$E$92&lt;=$K$91),K96, IF(AND( $E$92&gt;=$L$89,$E$92&lt;=$L$91),L96, IF(AND( $E$92&gt;=$M$89,$E$92&lt;=$M$91),M96, IF(AND( $E$92&gt;=$N$89,$E$92&lt;=$N$91),N96, IF(AND( $E$92&gt;=$O$89,$E$92&lt;=$O$91),O96, IF($E$92&gt;=$P$89, P96, "Undefined") ))))))) )</f>
        <v>60</v>
      </c>
      <c r="F96" s="11" t="s">
        <v>18</v>
      </c>
      <c r="G96" s="156"/>
      <c r="H96" s="51">
        <v>60</v>
      </c>
      <c r="I96" s="51">
        <v>60</v>
      </c>
      <c r="J96" s="51">
        <v>60</v>
      </c>
      <c r="K96" s="51">
        <v>60</v>
      </c>
      <c r="L96" s="51">
        <v>60</v>
      </c>
      <c r="M96" s="51">
        <v>60</v>
      </c>
      <c r="N96" s="51">
        <v>60</v>
      </c>
      <c r="O96" s="51">
        <v>60</v>
      </c>
      <c r="P96" s="51"/>
      <c r="Q96" s="100">
        <f>IF(AND($E$92&lt;=$E$91,$E$92&gt;=$E$89), 0,1)</f>
        <v>0</v>
      </c>
      <c r="R96" s="51"/>
      <c r="S96" s="30"/>
      <c r="T96" s="18"/>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19"/>
      <c r="BM96" s="19"/>
      <c r="BN96" s="19"/>
      <c r="BO96" s="19"/>
      <c r="BP96" s="19"/>
      <c r="BQ96" s="19"/>
      <c r="BR96" s="19"/>
      <c r="BS96" s="19"/>
      <c r="BT96" s="19"/>
      <c r="BU96" s="19"/>
      <c r="BV96" s="19"/>
      <c r="BW96" s="19"/>
      <c r="BX96" s="19"/>
      <c r="BY96" s="19"/>
      <c r="BZ96" s="19"/>
      <c r="CA96" s="19"/>
      <c r="CB96" s="19"/>
      <c r="CC96" s="19"/>
      <c r="CD96" s="19"/>
      <c r="CE96" s="19"/>
      <c r="CF96" s="19"/>
      <c r="CG96" s="19"/>
      <c r="CH96" s="19"/>
      <c r="CI96" s="19"/>
      <c r="CJ96" s="19"/>
      <c r="CK96" s="19"/>
      <c r="CL96" s="19"/>
      <c r="CM96" s="19"/>
      <c r="CN96" s="19"/>
      <c r="CO96" s="19"/>
      <c r="CP96" s="19"/>
      <c r="CQ96" s="19"/>
      <c r="CR96" s="19"/>
      <c r="CS96" s="19"/>
      <c r="CT96" s="19"/>
      <c r="CU96" s="19"/>
      <c r="CV96" s="19"/>
      <c r="CW96" s="19"/>
      <c r="CX96" s="19"/>
      <c r="CY96" s="19"/>
      <c r="CZ96" s="19"/>
      <c r="DA96" s="19"/>
      <c r="DB96" s="19"/>
      <c r="DC96" s="19"/>
      <c r="DD96" s="19"/>
      <c r="DE96" s="19"/>
      <c r="DF96" s="19"/>
      <c r="DG96" s="19"/>
      <c r="DH96" s="19"/>
      <c r="DI96" s="19"/>
      <c r="DJ96" s="19"/>
      <c r="DK96" s="19"/>
      <c r="DL96" s="19"/>
      <c r="DM96" s="19"/>
      <c r="DN96" s="19"/>
      <c r="DO96" s="19"/>
      <c r="DP96" s="19"/>
      <c r="DQ96" s="19"/>
      <c r="DR96" s="19"/>
      <c r="DS96" s="19"/>
      <c r="DT96" s="19"/>
      <c r="DU96" s="19"/>
      <c r="DV96" s="19"/>
      <c r="DW96" s="19"/>
      <c r="DX96" s="19"/>
      <c r="DY96" s="19"/>
      <c r="DZ96" s="19"/>
      <c r="EA96" s="19"/>
      <c r="EB96" s="19"/>
      <c r="EC96" s="19"/>
      <c r="ED96" s="19"/>
      <c r="EE96" s="19"/>
      <c r="EF96" s="19"/>
      <c r="EG96" s="19"/>
      <c r="EH96" s="19"/>
      <c r="EI96" s="19"/>
      <c r="EJ96" s="19"/>
      <c r="EK96" s="19"/>
      <c r="EL96" s="19"/>
      <c r="EM96" s="19"/>
      <c r="EN96" s="19"/>
      <c r="EO96" s="19"/>
      <c r="EP96" s="19"/>
      <c r="EQ96" s="19"/>
      <c r="ER96" s="19"/>
      <c r="ES96" s="19"/>
      <c r="ET96" s="19"/>
      <c r="EU96" s="19"/>
      <c r="EV96" s="19"/>
      <c r="EW96" s="19"/>
      <c r="EX96" s="19"/>
      <c r="EY96" s="19"/>
      <c r="EZ96" s="19"/>
      <c r="FA96" s="19"/>
      <c r="FB96" s="19"/>
      <c r="FC96" s="19"/>
      <c r="FD96" s="19"/>
      <c r="FE96" s="19"/>
      <c r="FF96" s="19"/>
      <c r="FG96" s="19"/>
      <c r="FH96" s="19"/>
      <c r="FI96" s="19"/>
    </row>
    <row r="97" spans="1:165" x14ac:dyDescent="0.25">
      <c r="A97" s="48"/>
      <c r="B97" s="49"/>
      <c r="C97" s="49"/>
      <c r="E97" s="49"/>
      <c r="F97" s="135"/>
      <c r="G97" s="156"/>
      <c r="H97" s="13"/>
      <c r="I97" s="13"/>
      <c r="J97" s="29"/>
      <c r="K97" s="29"/>
      <c r="L97" s="29"/>
      <c r="M97" s="29"/>
      <c r="N97" s="29"/>
      <c r="O97" s="29"/>
      <c r="P97" s="29"/>
      <c r="Q97" s="29"/>
      <c r="R97" s="29"/>
      <c r="S97" s="30"/>
      <c r="T97" s="18"/>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19"/>
      <c r="BM97" s="19"/>
      <c r="BN97" s="19"/>
      <c r="BO97" s="19"/>
      <c r="BP97" s="19"/>
      <c r="BQ97" s="19"/>
      <c r="BR97" s="19"/>
      <c r="BS97" s="19"/>
      <c r="BT97" s="19"/>
      <c r="BU97" s="19"/>
      <c r="BV97" s="19"/>
      <c r="BW97" s="19"/>
      <c r="BX97" s="19"/>
      <c r="BY97" s="19"/>
      <c r="BZ97" s="19"/>
      <c r="CA97" s="19"/>
      <c r="CB97" s="19"/>
      <c r="CC97" s="19"/>
      <c r="CD97" s="19"/>
      <c r="CE97" s="19"/>
      <c r="CF97" s="19"/>
      <c r="CG97" s="19"/>
      <c r="CH97" s="19"/>
      <c r="CI97" s="19"/>
      <c r="CJ97" s="19"/>
      <c r="CK97" s="19"/>
      <c r="CL97" s="19"/>
      <c r="CM97" s="19"/>
      <c r="CN97" s="19"/>
      <c r="CO97" s="19"/>
      <c r="CP97" s="19"/>
      <c r="CQ97" s="19"/>
      <c r="CR97" s="19"/>
      <c r="CS97" s="19"/>
      <c r="CT97" s="19"/>
      <c r="CU97" s="19"/>
      <c r="CV97" s="19"/>
      <c r="CW97" s="19"/>
      <c r="CX97" s="19"/>
      <c r="CY97" s="19"/>
      <c r="CZ97" s="19"/>
      <c r="DA97" s="19"/>
      <c r="DB97" s="19"/>
      <c r="DC97" s="19"/>
      <c r="DD97" s="19"/>
      <c r="DE97" s="19"/>
      <c r="DF97" s="19"/>
      <c r="DG97" s="19"/>
      <c r="DH97" s="19"/>
      <c r="DI97" s="19"/>
      <c r="DJ97" s="19"/>
      <c r="DK97" s="19"/>
      <c r="DL97" s="19"/>
      <c r="DM97" s="19"/>
      <c r="DN97" s="19"/>
      <c r="DO97" s="19"/>
      <c r="DP97" s="19"/>
      <c r="DQ97" s="19"/>
      <c r="DR97" s="19"/>
      <c r="DS97" s="19"/>
      <c r="DT97" s="19"/>
      <c r="DU97" s="19"/>
      <c r="DV97" s="19"/>
      <c r="DW97" s="19"/>
      <c r="DX97" s="19"/>
      <c r="DY97" s="19"/>
      <c r="DZ97" s="19"/>
      <c r="EA97" s="19"/>
      <c r="EB97" s="19"/>
      <c r="EC97" s="19"/>
      <c r="ED97" s="19"/>
      <c r="EE97" s="19"/>
      <c r="EF97" s="19"/>
      <c r="EG97" s="19"/>
      <c r="EH97" s="19"/>
      <c r="EI97" s="19"/>
      <c r="EJ97" s="19"/>
      <c r="EK97" s="19"/>
      <c r="EL97" s="19"/>
      <c r="EM97" s="19"/>
      <c r="EN97" s="19"/>
      <c r="EO97" s="19"/>
      <c r="EP97" s="19"/>
      <c r="EQ97" s="19"/>
      <c r="ER97" s="19"/>
      <c r="ES97" s="19"/>
      <c r="ET97" s="19"/>
      <c r="EU97" s="19"/>
      <c r="EV97" s="19"/>
      <c r="EW97" s="19"/>
      <c r="EX97" s="19"/>
      <c r="EY97" s="19"/>
      <c r="EZ97" s="19"/>
      <c r="FA97" s="19"/>
      <c r="FB97" s="19"/>
      <c r="FC97" s="19"/>
      <c r="FD97" s="19"/>
      <c r="FE97" s="19"/>
      <c r="FF97" s="19"/>
      <c r="FG97" s="19"/>
      <c r="FH97" s="19"/>
      <c r="FI97" s="19"/>
    </row>
    <row r="98" spans="1:165" ht="15.75" thickBot="1" x14ac:dyDescent="0.3">
      <c r="A98" s="36" t="s">
        <v>105</v>
      </c>
      <c r="B98" s="49"/>
      <c r="C98" s="49"/>
      <c r="D98" s="39"/>
      <c r="E98" s="49"/>
      <c r="F98" s="105"/>
      <c r="G98" s="158"/>
      <c r="H98" s="13"/>
      <c r="I98" s="13"/>
      <c r="J98" s="13"/>
      <c r="K98" s="13"/>
      <c r="L98" s="13"/>
      <c r="M98" s="13"/>
      <c r="N98" s="13"/>
      <c r="O98" s="13"/>
      <c r="P98" s="13"/>
      <c r="Q98" s="29"/>
      <c r="R98" s="29"/>
      <c r="S98" s="30"/>
      <c r="T98" s="18"/>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19"/>
      <c r="BM98" s="19"/>
      <c r="BN98" s="19"/>
      <c r="BO98" s="19"/>
      <c r="BP98" s="19"/>
      <c r="BQ98" s="19"/>
      <c r="BR98" s="19"/>
      <c r="BS98" s="19"/>
      <c r="BT98" s="19"/>
      <c r="BU98" s="19"/>
      <c r="BV98" s="19"/>
      <c r="BW98" s="19"/>
      <c r="BX98" s="19"/>
      <c r="BY98" s="19"/>
      <c r="BZ98" s="19"/>
      <c r="CA98" s="19"/>
      <c r="CB98" s="19"/>
      <c r="CC98" s="19"/>
      <c r="CD98" s="19"/>
      <c r="CE98" s="19"/>
      <c r="CF98" s="19"/>
      <c r="CG98" s="19"/>
      <c r="CH98" s="19"/>
      <c r="CI98" s="19"/>
      <c r="CJ98" s="19"/>
      <c r="CK98" s="19"/>
      <c r="CL98" s="19"/>
      <c r="CM98" s="19"/>
      <c r="CN98" s="19"/>
      <c r="CO98" s="19"/>
      <c r="CP98" s="19"/>
      <c r="CQ98" s="19"/>
      <c r="CR98" s="19"/>
      <c r="CS98" s="19"/>
      <c r="CT98" s="19"/>
      <c r="CU98" s="19"/>
      <c r="CV98" s="19"/>
      <c r="CW98" s="19"/>
      <c r="CX98" s="19"/>
      <c r="CY98" s="19"/>
      <c r="CZ98" s="19"/>
      <c r="DA98" s="19"/>
      <c r="DB98" s="19"/>
      <c r="DC98" s="19"/>
      <c r="DD98" s="19"/>
      <c r="DE98" s="19"/>
      <c r="DF98" s="19"/>
      <c r="DG98" s="19"/>
      <c r="DH98" s="19"/>
      <c r="DI98" s="19"/>
      <c r="DJ98" s="19"/>
      <c r="DK98" s="19"/>
      <c r="DL98" s="19"/>
      <c r="DM98" s="19"/>
      <c r="DN98" s="19"/>
      <c r="DO98" s="19"/>
      <c r="DP98" s="19"/>
      <c r="DQ98" s="19"/>
      <c r="DR98" s="19"/>
      <c r="DS98" s="19"/>
      <c r="DT98" s="19"/>
      <c r="DU98" s="19"/>
      <c r="DV98" s="19"/>
      <c r="DW98" s="19"/>
      <c r="DX98" s="19"/>
      <c r="DY98" s="19"/>
      <c r="DZ98" s="19"/>
      <c r="EA98" s="19"/>
      <c r="EB98" s="19"/>
      <c r="EC98" s="19"/>
      <c r="ED98" s="19"/>
      <c r="EE98" s="19"/>
      <c r="EF98" s="19"/>
      <c r="EG98" s="19"/>
      <c r="EH98" s="19"/>
      <c r="EI98" s="19"/>
      <c r="EJ98" s="19"/>
      <c r="EK98" s="19"/>
      <c r="EL98" s="19"/>
      <c r="EM98" s="19"/>
      <c r="EN98" s="19"/>
      <c r="EO98" s="19"/>
      <c r="EP98" s="19"/>
      <c r="EQ98" s="19"/>
      <c r="ER98" s="19"/>
      <c r="ES98" s="19"/>
      <c r="ET98" s="19"/>
      <c r="EU98" s="19"/>
      <c r="EV98" s="19"/>
      <c r="EW98" s="19"/>
      <c r="EX98" s="19"/>
      <c r="EY98" s="19"/>
      <c r="EZ98" s="19"/>
      <c r="FA98" s="19"/>
      <c r="FB98" s="19"/>
      <c r="FC98" s="19"/>
      <c r="FD98" s="19"/>
      <c r="FE98" s="19"/>
      <c r="FF98" s="19"/>
      <c r="FG98" s="19"/>
      <c r="FH98" s="19"/>
      <c r="FI98" s="19"/>
    </row>
    <row r="99" spans="1:165" ht="15.75" x14ac:dyDescent="0.3">
      <c r="A99" s="54"/>
      <c r="B99" s="50"/>
      <c r="C99" s="50"/>
      <c r="D99" s="37" t="s">
        <v>106</v>
      </c>
      <c r="E99" s="55">
        <v>160</v>
      </c>
      <c r="F99" s="72" t="s">
        <v>107</v>
      </c>
      <c r="G99" s="156" t="str">
        <f>_xlfn.CONCAT(E99, " ",F99)</f>
        <v>160 µF</v>
      </c>
      <c r="H99" s="13"/>
      <c r="I99" s="13"/>
      <c r="J99" s="13"/>
      <c r="K99" s="13"/>
      <c r="L99" s="13"/>
      <c r="M99" s="13"/>
      <c r="N99" s="13"/>
      <c r="O99" s="13"/>
      <c r="P99" s="13"/>
      <c r="Q99" s="29"/>
      <c r="R99" s="29"/>
      <c r="S99" s="30"/>
      <c r="T99" s="18"/>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19"/>
      <c r="BM99" s="19"/>
      <c r="BN99" s="19"/>
      <c r="BO99" s="19"/>
      <c r="BP99" s="19"/>
      <c r="BQ99" s="19"/>
      <c r="BR99" s="19"/>
      <c r="BS99" s="19"/>
      <c r="BT99" s="19"/>
      <c r="BU99" s="19"/>
      <c r="BV99" s="19"/>
      <c r="BW99" s="19"/>
      <c r="BX99" s="19"/>
      <c r="BY99" s="19"/>
      <c r="BZ99" s="19"/>
      <c r="CA99" s="19"/>
      <c r="CB99" s="19"/>
      <c r="CC99" s="19"/>
      <c r="CD99" s="19"/>
      <c r="CE99" s="19"/>
      <c r="CF99" s="19"/>
      <c r="CG99" s="19"/>
      <c r="CH99" s="19"/>
      <c r="CI99" s="19"/>
      <c r="CJ99" s="19"/>
      <c r="CK99" s="19"/>
      <c r="CL99" s="19"/>
      <c r="CM99" s="19"/>
      <c r="CN99" s="19"/>
      <c r="CO99" s="19"/>
      <c r="CP99" s="19"/>
      <c r="CQ99" s="19"/>
      <c r="CR99" s="19"/>
      <c r="CS99" s="19"/>
      <c r="CT99" s="19"/>
      <c r="CU99" s="19"/>
      <c r="CV99" s="19"/>
      <c r="CW99" s="19"/>
      <c r="CX99" s="19"/>
      <c r="CY99" s="19"/>
      <c r="CZ99" s="19"/>
      <c r="DA99" s="19"/>
      <c r="DB99" s="19"/>
      <c r="DC99" s="19"/>
      <c r="DD99" s="19"/>
      <c r="DE99" s="19"/>
      <c r="DF99" s="19"/>
      <c r="DG99" s="19"/>
      <c r="DH99" s="19"/>
      <c r="DI99" s="19"/>
      <c r="DJ99" s="19"/>
      <c r="DK99" s="19"/>
      <c r="DL99" s="19"/>
      <c r="DM99" s="19"/>
      <c r="DN99" s="19"/>
      <c r="DO99" s="19"/>
      <c r="DP99" s="19"/>
      <c r="DQ99" s="19"/>
      <c r="DR99" s="19"/>
      <c r="DS99" s="19"/>
      <c r="DT99" s="19"/>
      <c r="DU99" s="19"/>
      <c r="DV99" s="19"/>
      <c r="DW99" s="19"/>
      <c r="DX99" s="19"/>
      <c r="DY99" s="19"/>
      <c r="DZ99" s="19"/>
      <c r="EA99" s="19"/>
      <c r="EB99" s="19"/>
      <c r="EC99" s="19"/>
      <c r="ED99" s="19"/>
      <c r="EE99" s="19"/>
      <c r="EF99" s="19"/>
      <c r="EG99" s="19"/>
      <c r="EH99" s="19"/>
      <c r="EI99" s="19"/>
      <c r="EJ99" s="19"/>
      <c r="EK99" s="19"/>
      <c r="EL99" s="19"/>
      <c r="EM99" s="19"/>
      <c r="EN99" s="19"/>
      <c r="EO99" s="19"/>
      <c r="EP99" s="19"/>
      <c r="EQ99" s="19"/>
      <c r="ER99" s="19"/>
      <c r="ES99" s="19"/>
      <c r="ET99" s="19"/>
      <c r="EU99" s="19"/>
      <c r="EV99" s="19"/>
      <c r="EW99" s="19"/>
      <c r="EX99" s="19"/>
      <c r="EY99" s="19"/>
      <c r="EZ99" s="19"/>
      <c r="FA99" s="19"/>
      <c r="FB99" s="19"/>
      <c r="FC99" s="19"/>
      <c r="FD99" s="19"/>
      <c r="FE99" s="19"/>
      <c r="FF99" s="19"/>
      <c r="FG99" s="19"/>
      <c r="FH99" s="19"/>
      <c r="FI99" s="19"/>
    </row>
    <row r="100" spans="1:165" x14ac:dyDescent="0.25">
      <c r="A100" s="48"/>
      <c r="B100" s="49"/>
      <c r="C100" s="49"/>
      <c r="D100" s="32" t="s">
        <v>108</v>
      </c>
      <c r="E100" s="71">
        <v>330</v>
      </c>
      <c r="F100" s="9" t="s">
        <v>107</v>
      </c>
      <c r="G100" s="156" t="str">
        <f>_xlfn.CONCAT(E100, " ",F100)</f>
        <v>330 µF</v>
      </c>
      <c r="H100" s="94">
        <f>$E$99</f>
        <v>160</v>
      </c>
      <c r="I100" s="13"/>
      <c r="J100" s="13"/>
      <c r="K100" s="13"/>
      <c r="L100" s="13"/>
      <c r="M100" s="13"/>
      <c r="N100" s="13"/>
      <c r="O100" s="13"/>
      <c r="P100" s="13"/>
      <c r="Q100" s="29"/>
      <c r="R100" s="29"/>
      <c r="S100" s="30"/>
      <c r="T100" s="18"/>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19"/>
      <c r="BM100" s="19"/>
      <c r="BN100" s="19"/>
      <c r="BO100" s="19"/>
      <c r="BP100" s="19"/>
      <c r="BQ100" s="19"/>
      <c r="BR100" s="19"/>
      <c r="BS100" s="19"/>
      <c r="BT100" s="19"/>
      <c r="BU100" s="19"/>
      <c r="BV100" s="19"/>
      <c r="BW100" s="19"/>
      <c r="BX100" s="19"/>
      <c r="BY100" s="19"/>
      <c r="BZ100" s="19"/>
      <c r="CA100" s="19"/>
      <c r="CB100" s="19"/>
      <c r="CC100" s="19"/>
      <c r="CD100" s="19"/>
      <c r="CE100" s="19"/>
      <c r="CF100" s="19"/>
      <c r="CG100" s="19"/>
      <c r="CH100" s="19"/>
      <c r="CI100" s="19"/>
      <c r="CJ100" s="19"/>
      <c r="CK100" s="19"/>
      <c r="CL100" s="19"/>
      <c r="CM100" s="19"/>
      <c r="CN100" s="19"/>
      <c r="CO100" s="19"/>
      <c r="CP100" s="19"/>
      <c r="CQ100" s="19"/>
      <c r="CR100" s="19"/>
      <c r="CS100" s="19"/>
      <c r="CT100" s="19"/>
      <c r="CU100" s="19"/>
      <c r="CV100" s="19"/>
      <c r="CW100" s="19"/>
      <c r="CX100" s="19"/>
      <c r="CY100" s="19"/>
      <c r="CZ100" s="19"/>
      <c r="DA100" s="19"/>
      <c r="DB100" s="19"/>
      <c r="DC100" s="19"/>
      <c r="DD100" s="19"/>
      <c r="DE100" s="19"/>
      <c r="DF100" s="19"/>
      <c r="DG100" s="19"/>
      <c r="DH100" s="19"/>
      <c r="DI100" s="19"/>
      <c r="DJ100" s="19"/>
      <c r="DK100" s="19"/>
      <c r="DL100" s="19"/>
      <c r="DM100" s="19"/>
      <c r="DN100" s="19"/>
      <c r="DO100" s="19"/>
      <c r="DP100" s="19"/>
      <c r="DQ100" s="19"/>
      <c r="DR100" s="19"/>
      <c r="DS100" s="19"/>
      <c r="DT100" s="19"/>
      <c r="DU100" s="19"/>
      <c r="DV100" s="19"/>
      <c r="DW100" s="19"/>
      <c r="DX100" s="19"/>
      <c r="DY100" s="19"/>
      <c r="DZ100" s="19"/>
      <c r="EA100" s="19"/>
      <c r="EB100" s="19"/>
      <c r="EC100" s="19"/>
      <c r="ED100" s="19"/>
      <c r="EE100" s="19"/>
      <c r="EF100" s="19"/>
      <c r="EG100" s="19"/>
      <c r="EH100" s="19"/>
      <c r="EI100" s="19"/>
      <c r="EJ100" s="19"/>
      <c r="EK100" s="19"/>
      <c r="EL100" s="19"/>
      <c r="EM100" s="19"/>
      <c r="EN100" s="19"/>
      <c r="EO100" s="19"/>
      <c r="EP100" s="19"/>
      <c r="EQ100" s="19"/>
      <c r="ER100" s="19"/>
      <c r="ES100" s="19"/>
      <c r="ET100" s="19"/>
      <c r="EU100" s="19"/>
      <c r="EV100" s="19"/>
      <c r="EW100" s="19"/>
      <c r="EX100" s="19"/>
      <c r="EY100" s="19"/>
      <c r="EZ100" s="19"/>
      <c r="FA100" s="19"/>
      <c r="FB100" s="19"/>
      <c r="FC100" s="19"/>
      <c r="FD100" s="19"/>
      <c r="FE100" s="19"/>
      <c r="FF100" s="19"/>
      <c r="FG100" s="19"/>
      <c r="FH100" s="19"/>
      <c r="FI100" s="19"/>
    </row>
    <row r="101" spans="1:165" x14ac:dyDescent="0.25">
      <c r="A101" s="48"/>
      <c r="B101" s="49"/>
      <c r="C101" s="49"/>
      <c r="D101" s="32" t="s">
        <v>109</v>
      </c>
      <c r="E101" s="71">
        <v>5</v>
      </c>
      <c r="F101" s="9" t="s">
        <v>33</v>
      </c>
      <c r="G101" s="156" t="str">
        <f>_xlfn.CONCAT(E101, " ",F101)</f>
        <v>5 mΩ</v>
      </c>
      <c r="H101" s="13"/>
      <c r="I101" s="13"/>
      <c r="J101" s="13"/>
      <c r="K101" s="13"/>
      <c r="L101" s="13"/>
      <c r="M101" s="13"/>
      <c r="N101" s="13"/>
      <c r="O101" s="13"/>
      <c r="P101" s="13"/>
      <c r="Q101" s="29"/>
      <c r="R101" s="29"/>
      <c r="S101" s="30"/>
      <c r="T101" s="18"/>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19"/>
      <c r="BM101" s="19"/>
      <c r="BN101" s="19"/>
      <c r="BO101" s="19"/>
      <c r="BP101" s="19"/>
      <c r="BQ101" s="19"/>
      <c r="BR101" s="19"/>
      <c r="BS101" s="19"/>
      <c r="BT101" s="19"/>
      <c r="BU101" s="19"/>
      <c r="BV101" s="19"/>
      <c r="BW101" s="19"/>
      <c r="BX101" s="19"/>
      <c r="BY101" s="19"/>
      <c r="BZ101" s="19"/>
      <c r="CA101" s="19"/>
      <c r="CB101" s="19"/>
      <c r="CC101" s="19"/>
      <c r="CD101" s="19"/>
      <c r="CE101" s="19"/>
      <c r="CF101" s="19"/>
      <c r="CG101" s="19"/>
      <c r="CH101" s="19"/>
      <c r="CI101" s="19"/>
      <c r="CJ101" s="19"/>
      <c r="CK101" s="19"/>
      <c r="CL101" s="19"/>
      <c r="CM101" s="19"/>
      <c r="CN101" s="19"/>
      <c r="CO101" s="19"/>
      <c r="CP101" s="19"/>
      <c r="CQ101" s="19"/>
      <c r="CR101" s="19"/>
      <c r="CS101" s="19"/>
      <c r="CT101" s="19"/>
      <c r="CU101" s="19"/>
      <c r="CV101" s="19"/>
      <c r="CW101" s="19"/>
      <c r="CX101" s="19"/>
      <c r="CY101" s="19"/>
      <c r="CZ101" s="19"/>
      <c r="DA101" s="19"/>
      <c r="DB101" s="19"/>
      <c r="DC101" s="19"/>
      <c r="DD101" s="19"/>
      <c r="DE101" s="19"/>
      <c r="DF101" s="19"/>
      <c r="DG101" s="19"/>
      <c r="DH101" s="19"/>
      <c r="DI101" s="19"/>
      <c r="DJ101" s="19"/>
      <c r="DK101" s="19"/>
      <c r="DL101" s="19"/>
      <c r="DM101" s="19"/>
      <c r="DN101" s="19"/>
      <c r="DO101" s="19"/>
      <c r="DP101" s="19"/>
      <c r="DQ101" s="19"/>
      <c r="DR101" s="19"/>
      <c r="DS101" s="19"/>
      <c r="DT101" s="19"/>
      <c r="DU101" s="19"/>
      <c r="DV101" s="19"/>
      <c r="DW101" s="19"/>
      <c r="DX101" s="19"/>
      <c r="DY101" s="19"/>
      <c r="DZ101" s="19"/>
      <c r="EA101" s="19"/>
      <c r="EB101" s="19"/>
      <c r="EC101" s="19"/>
      <c r="ED101" s="19"/>
      <c r="EE101" s="19"/>
      <c r="EF101" s="19"/>
      <c r="EG101" s="19"/>
      <c r="EH101" s="19"/>
      <c r="EI101" s="19"/>
      <c r="EJ101" s="19"/>
      <c r="EK101" s="19"/>
      <c r="EL101" s="19"/>
      <c r="EM101" s="19"/>
      <c r="EN101" s="19"/>
      <c r="EO101" s="19"/>
      <c r="EP101" s="19"/>
      <c r="EQ101" s="19"/>
      <c r="ER101" s="19"/>
      <c r="ES101" s="19"/>
      <c r="ET101" s="19"/>
      <c r="EU101" s="19"/>
      <c r="EV101" s="19"/>
      <c r="EW101" s="19"/>
      <c r="EX101" s="19"/>
      <c r="EY101" s="19"/>
      <c r="EZ101" s="19"/>
      <c r="FA101" s="19"/>
      <c r="FB101" s="19"/>
      <c r="FC101" s="19"/>
      <c r="FD101" s="19"/>
      <c r="FE101" s="19"/>
      <c r="FF101" s="19"/>
      <c r="FG101" s="19"/>
      <c r="FH101" s="19"/>
      <c r="FI101" s="19"/>
    </row>
    <row r="102" spans="1:165" ht="16.5" thickBot="1" x14ac:dyDescent="0.35">
      <c r="A102" s="46"/>
      <c r="B102" s="47"/>
      <c r="C102" s="47"/>
      <c r="D102" s="43" t="s">
        <v>110</v>
      </c>
      <c r="E102" s="202">
        <f>Vbat*Ioutmax/VACmin*SQRT((Vbat/MIN( 2*Vbat,VACmax ))*(1-Vbat/MIN( 2*Vbat,VACmax )))</f>
        <v>16.770509831248425</v>
      </c>
      <c r="F102" s="11" t="s">
        <v>12</v>
      </c>
      <c r="G102" s="156"/>
      <c r="H102" s="13"/>
      <c r="I102" s="13"/>
      <c r="J102" s="13"/>
      <c r="K102" s="13"/>
      <c r="L102" s="13"/>
      <c r="M102" s="13"/>
      <c r="N102" s="13"/>
      <c r="O102" s="13"/>
      <c r="P102" s="13"/>
      <c r="Q102" s="29"/>
      <c r="R102" s="29"/>
      <c r="S102" s="30"/>
      <c r="T102" s="18"/>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19"/>
      <c r="BM102" s="19"/>
      <c r="BN102" s="19"/>
      <c r="BO102" s="19"/>
      <c r="BP102" s="19"/>
      <c r="BQ102" s="19"/>
      <c r="BR102" s="19"/>
      <c r="BS102" s="19"/>
      <c r="BT102" s="19"/>
      <c r="BU102" s="19"/>
      <c r="BV102" s="19"/>
      <c r="BW102" s="19"/>
      <c r="BX102" s="19"/>
      <c r="BY102" s="19"/>
      <c r="BZ102" s="19"/>
      <c r="CA102" s="19"/>
      <c r="CB102" s="19"/>
      <c r="CC102" s="19"/>
      <c r="CD102" s="19"/>
      <c r="CE102" s="19"/>
      <c r="CF102" s="19"/>
      <c r="CG102" s="19"/>
      <c r="CH102" s="19"/>
      <c r="CI102" s="19"/>
      <c r="CJ102" s="19"/>
      <c r="CK102" s="19"/>
      <c r="CL102" s="19"/>
      <c r="CM102" s="19"/>
      <c r="CN102" s="19"/>
      <c r="CO102" s="19"/>
      <c r="CP102" s="19"/>
      <c r="CQ102" s="19"/>
      <c r="CR102" s="19"/>
      <c r="CS102" s="19"/>
      <c r="CT102" s="19"/>
      <c r="CU102" s="19"/>
      <c r="CV102" s="19"/>
      <c r="CW102" s="19"/>
      <c r="CX102" s="19"/>
      <c r="CY102" s="19"/>
      <c r="CZ102" s="19"/>
      <c r="DA102" s="19"/>
      <c r="DB102" s="19"/>
      <c r="DC102" s="19"/>
      <c r="DD102" s="19"/>
      <c r="DE102" s="19"/>
      <c r="DF102" s="19"/>
      <c r="DG102" s="19"/>
      <c r="DH102" s="19"/>
      <c r="DI102" s="19"/>
      <c r="DJ102" s="19"/>
      <c r="DK102" s="19"/>
      <c r="DL102" s="19"/>
      <c r="DM102" s="19"/>
      <c r="DN102" s="19"/>
      <c r="DO102" s="19"/>
      <c r="DP102" s="19"/>
      <c r="DQ102" s="19"/>
      <c r="DR102" s="19"/>
      <c r="DS102" s="19"/>
      <c r="DT102" s="19"/>
      <c r="DU102" s="19"/>
      <c r="DV102" s="19"/>
      <c r="DW102" s="19"/>
      <c r="DX102" s="19"/>
      <c r="DY102" s="19"/>
      <c r="DZ102" s="19"/>
      <c r="EA102" s="19"/>
      <c r="EB102" s="19"/>
      <c r="EC102" s="19"/>
      <c r="ED102" s="19"/>
      <c r="EE102" s="19"/>
      <c r="EF102" s="19"/>
      <c r="EG102" s="19"/>
      <c r="EH102" s="19"/>
      <c r="EI102" s="19"/>
      <c r="EJ102" s="19"/>
      <c r="EK102" s="19"/>
      <c r="EL102" s="19"/>
      <c r="EM102" s="19"/>
      <c r="EN102" s="19"/>
      <c r="EO102" s="19"/>
      <c r="EP102" s="19"/>
      <c r="EQ102" s="19"/>
      <c r="ER102" s="19"/>
      <c r="ES102" s="19"/>
      <c r="ET102" s="19"/>
      <c r="EU102" s="19"/>
      <c r="EV102" s="19"/>
      <c r="EW102" s="19"/>
      <c r="EX102" s="19"/>
      <c r="EY102" s="19"/>
      <c r="EZ102" s="19"/>
      <c r="FA102" s="19"/>
      <c r="FB102" s="19"/>
      <c r="FC102" s="19"/>
      <c r="FD102" s="19"/>
      <c r="FE102" s="19"/>
      <c r="FF102" s="19"/>
      <c r="FG102" s="19"/>
      <c r="FH102" s="19"/>
      <c r="FI102" s="19"/>
    </row>
    <row r="103" spans="1:165" x14ac:dyDescent="0.25">
      <c r="A103" s="29"/>
      <c r="B103" s="29"/>
      <c r="C103" s="29"/>
      <c r="D103" s="29"/>
      <c r="E103" s="29"/>
      <c r="F103" s="29"/>
      <c r="H103" s="13"/>
      <c r="I103" s="13"/>
      <c r="J103" s="13"/>
      <c r="K103" s="13"/>
      <c r="L103" s="13"/>
      <c r="M103" s="13"/>
      <c r="N103" s="13"/>
      <c r="O103" s="13"/>
      <c r="P103" s="13"/>
      <c r="Q103" s="29"/>
      <c r="R103" s="29"/>
      <c r="S103" s="30"/>
      <c r="T103" s="18"/>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19"/>
      <c r="BM103" s="19"/>
      <c r="BN103" s="19"/>
      <c r="BO103" s="19"/>
      <c r="BP103" s="19"/>
      <c r="BQ103" s="19"/>
      <c r="BR103" s="19"/>
      <c r="BS103" s="19"/>
      <c r="BT103" s="19"/>
      <c r="BU103" s="19"/>
      <c r="BV103" s="19"/>
      <c r="BW103" s="19"/>
      <c r="BX103" s="19"/>
      <c r="BY103" s="19"/>
      <c r="BZ103" s="19"/>
      <c r="CA103" s="19"/>
      <c r="CB103" s="19"/>
      <c r="CC103" s="19"/>
      <c r="CD103" s="19"/>
      <c r="CE103" s="19"/>
      <c r="CF103" s="19"/>
      <c r="CG103" s="19"/>
      <c r="CH103" s="19"/>
      <c r="CI103" s="19"/>
      <c r="CJ103" s="19"/>
      <c r="CK103" s="19"/>
      <c r="CL103" s="19"/>
      <c r="CM103" s="19"/>
      <c r="CN103" s="19"/>
      <c r="CO103" s="19"/>
      <c r="CP103" s="19"/>
      <c r="CQ103" s="19"/>
      <c r="CR103" s="19"/>
      <c r="CS103" s="19"/>
      <c r="CT103" s="19"/>
      <c r="CU103" s="19"/>
      <c r="CV103" s="19"/>
      <c r="CW103" s="19"/>
      <c r="CX103" s="19"/>
      <c r="CY103" s="19"/>
      <c r="CZ103" s="19"/>
      <c r="DA103" s="19"/>
      <c r="DB103" s="19"/>
      <c r="DC103" s="19"/>
      <c r="DD103" s="19"/>
      <c r="DE103" s="19"/>
      <c r="DF103" s="19"/>
      <c r="DG103" s="19"/>
      <c r="DH103" s="19"/>
      <c r="DI103" s="19"/>
      <c r="DJ103" s="19"/>
      <c r="DK103" s="19"/>
      <c r="DL103" s="19"/>
      <c r="DM103" s="19"/>
      <c r="DN103" s="19"/>
      <c r="DO103" s="19"/>
      <c r="DP103" s="19"/>
      <c r="DQ103" s="19"/>
      <c r="DR103" s="19"/>
      <c r="DS103" s="19"/>
      <c r="DT103" s="19"/>
      <c r="DU103" s="19"/>
      <c r="DV103" s="19"/>
      <c r="DW103" s="19"/>
      <c r="DX103" s="19"/>
      <c r="DY103" s="19"/>
      <c r="DZ103" s="19"/>
      <c r="EA103" s="19"/>
      <c r="EB103" s="19"/>
      <c r="EC103" s="19"/>
      <c r="ED103" s="19"/>
      <c r="EE103" s="19"/>
      <c r="EF103" s="19"/>
      <c r="EG103" s="19"/>
      <c r="EH103" s="19"/>
      <c r="EI103" s="19"/>
      <c r="EJ103" s="19"/>
      <c r="EK103" s="19"/>
      <c r="EL103" s="19"/>
      <c r="EM103" s="19"/>
      <c r="EN103" s="19"/>
      <c r="EO103" s="19"/>
      <c r="EP103" s="19"/>
      <c r="EQ103" s="19"/>
      <c r="ER103" s="19"/>
      <c r="ES103" s="19"/>
      <c r="ET103" s="19"/>
      <c r="EU103" s="19"/>
      <c r="EV103" s="19"/>
      <c r="EW103" s="19"/>
      <c r="EX103" s="19"/>
      <c r="EY103" s="19"/>
      <c r="EZ103" s="19"/>
      <c r="FA103" s="19"/>
      <c r="FB103" s="19"/>
      <c r="FC103" s="19"/>
      <c r="FD103" s="19"/>
      <c r="FE103" s="19"/>
      <c r="FF103" s="19"/>
      <c r="FG103" s="19"/>
      <c r="FH103" s="19"/>
      <c r="FI103" s="19"/>
    </row>
    <row r="104" spans="1:165" ht="15.75" thickBot="1" x14ac:dyDescent="0.3">
      <c r="A104" s="36" t="s">
        <v>111</v>
      </c>
      <c r="B104" s="49"/>
      <c r="C104" s="49"/>
      <c r="D104" s="39"/>
      <c r="E104" s="49"/>
      <c r="F104" s="105"/>
      <c r="G104" s="158"/>
      <c r="H104" s="13"/>
      <c r="I104" s="13"/>
      <c r="J104" s="13"/>
      <c r="K104" s="13"/>
      <c r="L104" s="13"/>
      <c r="M104" s="13"/>
      <c r="N104" s="13"/>
      <c r="O104" s="13"/>
      <c r="P104" s="13"/>
      <c r="Q104" s="29"/>
      <c r="R104" s="29"/>
      <c r="S104" s="30"/>
      <c r="T104" s="18"/>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19"/>
      <c r="BM104" s="19"/>
      <c r="BN104" s="19"/>
      <c r="BO104" s="19"/>
      <c r="BP104" s="19"/>
      <c r="BQ104" s="19"/>
      <c r="BR104" s="19"/>
      <c r="BS104" s="19"/>
      <c r="BT104" s="19"/>
      <c r="BU104" s="19"/>
      <c r="BV104" s="19"/>
      <c r="BW104" s="19"/>
      <c r="BX104" s="19"/>
      <c r="BY104" s="19"/>
      <c r="BZ104" s="19"/>
      <c r="CA104" s="19"/>
      <c r="CB104" s="19"/>
      <c r="CC104" s="19"/>
      <c r="CD104" s="19"/>
      <c r="CE104" s="19"/>
      <c r="CF104" s="19"/>
      <c r="CG104" s="19"/>
      <c r="CH104" s="19"/>
      <c r="CI104" s="19"/>
      <c r="CJ104" s="19"/>
      <c r="CK104" s="19"/>
      <c r="CL104" s="19"/>
      <c r="CM104" s="19"/>
      <c r="CN104" s="19"/>
      <c r="CO104" s="19"/>
      <c r="CP104" s="19"/>
      <c r="CQ104" s="19"/>
      <c r="CR104" s="19"/>
      <c r="CS104" s="19"/>
      <c r="CT104" s="19"/>
      <c r="CU104" s="19"/>
      <c r="CV104" s="19"/>
      <c r="CW104" s="19"/>
      <c r="CX104" s="19"/>
      <c r="CY104" s="19"/>
      <c r="CZ104" s="19"/>
      <c r="DA104" s="19"/>
      <c r="DB104" s="19"/>
      <c r="DC104" s="19"/>
      <c r="DD104" s="19"/>
      <c r="DE104" s="19"/>
      <c r="DF104" s="19"/>
      <c r="DG104" s="19"/>
      <c r="DH104" s="19"/>
      <c r="DI104" s="19"/>
      <c r="DJ104" s="19"/>
      <c r="DK104" s="19"/>
      <c r="DL104" s="19"/>
      <c r="DM104" s="19"/>
      <c r="DN104" s="19"/>
      <c r="DO104" s="19"/>
      <c r="DP104" s="19"/>
      <c r="DQ104" s="19"/>
      <c r="DR104" s="19"/>
      <c r="DS104" s="19"/>
      <c r="DT104" s="19"/>
      <c r="DU104" s="19"/>
      <c r="DV104" s="19"/>
      <c r="DW104" s="19"/>
      <c r="DX104" s="19"/>
      <c r="DY104" s="19"/>
      <c r="DZ104" s="19"/>
      <c r="EA104" s="19"/>
      <c r="EB104" s="19"/>
      <c r="EC104" s="19"/>
      <c r="ED104" s="19"/>
      <c r="EE104" s="19"/>
      <c r="EF104" s="19"/>
      <c r="EG104" s="19"/>
      <c r="EH104" s="19"/>
      <c r="EI104" s="19"/>
      <c r="EJ104" s="19"/>
      <c r="EK104" s="19"/>
      <c r="EL104" s="19"/>
      <c r="EM104" s="19"/>
      <c r="EN104" s="19"/>
      <c r="EO104" s="19"/>
      <c r="EP104" s="19"/>
      <c r="EQ104" s="19"/>
      <c r="ER104" s="19"/>
      <c r="ES104" s="19"/>
      <c r="ET104" s="19"/>
      <c r="EU104" s="19"/>
      <c r="EV104" s="19"/>
      <c r="EW104" s="19"/>
      <c r="EX104" s="19"/>
      <c r="EY104" s="19"/>
      <c r="EZ104" s="19"/>
      <c r="FA104" s="19"/>
      <c r="FB104" s="19"/>
      <c r="FC104" s="19"/>
      <c r="FD104" s="19"/>
      <c r="FE104" s="19"/>
      <c r="FF104" s="19"/>
      <c r="FG104" s="19"/>
      <c r="FH104" s="19"/>
      <c r="FI104" s="19"/>
    </row>
    <row r="105" spans="1:165" ht="15.75" x14ac:dyDescent="0.3">
      <c r="A105" s="54"/>
      <c r="B105" s="50"/>
      <c r="C105" s="50"/>
      <c r="D105" s="37" t="s">
        <v>112</v>
      </c>
      <c r="E105" s="55">
        <v>160</v>
      </c>
      <c r="F105" s="72" t="s">
        <v>107</v>
      </c>
      <c r="G105" s="156" t="str">
        <f t="shared" ref="G105:G107" si="2">_xlfn.CONCAT(E105, " ",F105)</f>
        <v>160 µF</v>
      </c>
      <c r="H105" s="13"/>
      <c r="I105" s="13"/>
      <c r="J105" s="13"/>
      <c r="K105" s="13"/>
      <c r="L105" s="13"/>
      <c r="M105" s="13"/>
      <c r="N105" s="13"/>
      <c r="O105" s="13"/>
      <c r="P105" s="13"/>
      <c r="Q105" s="29"/>
      <c r="R105" s="29"/>
      <c r="S105" s="30"/>
      <c r="T105" s="18"/>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s="19"/>
      <c r="BN105" s="19"/>
      <c r="BO105" s="19"/>
      <c r="BP105" s="19"/>
      <c r="BQ105" s="19"/>
      <c r="BR105" s="19"/>
      <c r="BS105" s="19"/>
      <c r="BT105" s="19"/>
      <c r="BU105" s="19"/>
      <c r="BV105" s="19"/>
      <c r="BW105" s="19"/>
      <c r="BX105" s="19"/>
      <c r="BY105" s="19"/>
      <c r="BZ105" s="19"/>
      <c r="CA105" s="19"/>
      <c r="CB105" s="19"/>
      <c r="CC105" s="19"/>
      <c r="CD105" s="19"/>
      <c r="CE105" s="19"/>
      <c r="CF105" s="19"/>
      <c r="CG105" s="19"/>
      <c r="CH105" s="19"/>
      <c r="CI105" s="19"/>
      <c r="CJ105" s="19"/>
      <c r="CK105" s="19"/>
      <c r="CL105" s="19"/>
      <c r="CM105" s="19"/>
      <c r="CN105" s="19"/>
      <c r="CO105" s="19"/>
      <c r="CP105" s="19"/>
      <c r="CQ105" s="19"/>
      <c r="CR105" s="19"/>
      <c r="CS105" s="19"/>
      <c r="CT105" s="19"/>
      <c r="CU105" s="19"/>
      <c r="CV105" s="19"/>
      <c r="CW105" s="19"/>
      <c r="CX105" s="19"/>
      <c r="CY105" s="19"/>
      <c r="CZ105" s="19"/>
      <c r="DA105" s="19"/>
      <c r="DB105" s="19"/>
      <c r="DC105" s="19"/>
      <c r="DD105" s="19"/>
      <c r="DE105" s="19"/>
      <c r="DF105" s="19"/>
      <c r="DG105" s="19"/>
      <c r="DH105" s="19"/>
      <c r="DI105" s="19"/>
      <c r="DJ105" s="19"/>
      <c r="DK105" s="19"/>
      <c r="DL105" s="19"/>
      <c r="DM105" s="19"/>
      <c r="DN105" s="19"/>
      <c r="DO105" s="19"/>
      <c r="DP105" s="19"/>
      <c r="DQ105" s="19"/>
      <c r="DR105" s="19"/>
      <c r="DS105" s="19"/>
      <c r="DT105" s="19"/>
      <c r="DU105" s="19"/>
      <c r="DV105" s="19"/>
      <c r="DW105" s="19"/>
      <c r="DX105" s="19"/>
      <c r="DY105" s="19"/>
      <c r="DZ105" s="19"/>
      <c r="EA105" s="19"/>
      <c r="EB105" s="19"/>
      <c r="EC105" s="19"/>
      <c r="ED105" s="19"/>
      <c r="EE105" s="19"/>
      <c r="EF105" s="19"/>
      <c r="EG105" s="19"/>
      <c r="EH105" s="19"/>
      <c r="EI105" s="19"/>
      <c r="EJ105" s="19"/>
      <c r="EK105" s="19"/>
      <c r="EL105" s="19"/>
      <c r="EM105" s="19"/>
      <c r="EN105" s="19"/>
      <c r="EO105" s="19"/>
      <c r="EP105" s="19"/>
      <c r="EQ105" s="19"/>
      <c r="ER105" s="19"/>
      <c r="ES105" s="19"/>
      <c r="ET105" s="19"/>
      <c r="EU105" s="19"/>
      <c r="EV105" s="19"/>
      <c r="EW105" s="19"/>
      <c r="EX105" s="19"/>
      <c r="EY105" s="19"/>
      <c r="EZ105" s="19"/>
      <c r="FA105" s="19"/>
      <c r="FB105" s="19"/>
      <c r="FC105" s="19"/>
      <c r="FD105" s="19"/>
      <c r="FE105" s="19"/>
      <c r="FF105" s="19"/>
      <c r="FG105" s="19"/>
      <c r="FH105" s="19"/>
      <c r="FI105" s="19"/>
    </row>
    <row r="106" spans="1:165" x14ac:dyDescent="0.25">
      <c r="A106" s="48"/>
      <c r="B106" s="49"/>
      <c r="C106" s="49"/>
      <c r="D106" s="32" t="s">
        <v>113</v>
      </c>
      <c r="E106" s="71">
        <v>330</v>
      </c>
      <c r="F106" s="9" t="s">
        <v>107</v>
      </c>
      <c r="G106" s="156" t="str">
        <f>_xlfn.CONCAT(E106, " ",F106)</f>
        <v>330 µF</v>
      </c>
      <c r="H106" s="94">
        <f>$E$105</f>
        <v>160</v>
      </c>
      <c r="I106" s="13"/>
      <c r="J106" s="29"/>
      <c r="K106" s="29"/>
      <c r="L106" s="29"/>
      <c r="M106" s="29"/>
      <c r="N106" s="29"/>
      <c r="O106" s="29"/>
      <c r="P106" s="29"/>
      <c r="Q106" s="29"/>
      <c r="R106" s="29"/>
      <c r="S106" s="30"/>
      <c r="T106" s="18"/>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19"/>
      <c r="BM106" s="19"/>
      <c r="BN106" s="19"/>
      <c r="BO106" s="19"/>
      <c r="BP106" s="19"/>
      <c r="BQ106" s="19"/>
      <c r="BR106" s="19"/>
      <c r="BS106" s="19"/>
      <c r="BT106" s="19"/>
      <c r="BU106" s="19"/>
      <c r="BV106" s="19"/>
      <c r="BW106" s="19"/>
      <c r="BX106" s="19"/>
      <c r="BY106" s="19"/>
      <c r="BZ106" s="19"/>
      <c r="CA106" s="19"/>
      <c r="CB106" s="19"/>
      <c r="CC106" s="19"/>
      <c r="CD106" s="19"/>
      <c r="CE106" s="19"/>
      <c r="CF106" s="19"/>
      <c r="CG106" s="19"/>
      <c r="CH106" s="19"/>
      <c r="CI106" s="19"/>
      <c r="CJ106" s="19"/>
      <c r="CK106" s="19"/>
      <c r="CL106" s="19"/>
      <c r="CM106" s="19"/>
      <c r="CN106" s="19"/>
      <c r="CO106" s="19"/>
      <c r="CP106" s="19"/>
      <c r="CQ106" s="19"/>
      <c r="CR106" s="19"/>
      <c r="CS106" s="19"/>
      <c r="CT106" s="19"/>
      <c r="CU106" s="19"/>
      <c r="CV106" s="19"/>
      <c r="CW106" s="19"/>
      <c r="CX106" s="19"/>
      <c r="CY106" s="19"/>
      <c r="CZ106" s="19"/>
      <c r="DA106" s="19"/>
      <c r="DB106" s="19"/>
      <c r="DC106" s="19"/>
      <c r="DD106" s="19"/>
      <c r="DE106" s="19"/>
      <c r="DF106" s="19"/>
      <c r="DG106" s="19"/>
      <c r="DH106" s="19"/>
      <c r="DI106" s="19"/>
      <c r="DJ106" s="19"/>
      <c r="DK106" s="19"/>
      <c r="DL106" s="19"/>
      <c r="DM106" s="19"/>
      <c r="DN106" s="19"/>
      <c r="DO106" s="19"/>
      <c r="DP106" s="19"/>
      <c r="DQ106" s="19"/>
      <c r="DR106" s="19"/>
      <c r="DS106" s="19"/>
      <c r="DT106" s="19"/>
      <c r="DU106" s="19"/>
      <c r="DV106" s="19"/>
      <c r="DW106" s="19"/>
      <c r="DX106" s="19"/>
      <c r="DY106" s="19"/>
      <c r="DZ106" s="19"/>
      <c r="EA106" s="19"/>
      <c r="EB106" s="19"/>
      <c r="EC106" s="19"/>
      <c r="ED106" s="19"/>
      <c r="EE106" s="19"/>
      <c r="EF106" s="19"/>
      <c r="EG106" s="19"/>
      <c r="EH106" s="19"/>
      <c r="EI106" s="19"/>
      <c r="EJ106" s="19"/>
      <c r="EK106" s="19"/>
      <c r="EL106" s="19"/>
      <c r="EM106" s="19"/>
      <c r="EN106" s="19"/>
      <c r="EO106" s="19"/>
      <c r="EP106" s="19"/>
      <c r="EQ106" s="19"/>
      <c r="ER106" s="19"/>
      <c r="ES106" s="19"/>
      <c r="ET106" s="19"/>
      <c r="EU106" s="19"/>
      <c r="EV106" s="19"/>
      <c r="EW106" s="19"/>
      <c r="EX106" s="19"/>
      <c r="EY106" s="19"/>
      <c r="EZ106" s="19"/>
      <c r="FA106" s="19"/>
      <c r="FB106" s="19"/>
      <c r="FC106" s="19"/>
      <c r="FD106" s="19"/>
      <c r="FE106" s="19"/>
      <c r="FF106" s="19"/>
      <c r="FG106" s="19"/>
      <c r="FH106" s="19"/>
      <c r="FI106" s="19"/>
    </row>
    <row r="107" spans="1:165" x14ac:dyDescent="0.25">
      <c r="A107" s="48"/>
      <c r="B107" s="49"/>
      <c r="C107" s="49"/>
      <c r="D107" s="32" t="s">
        <v>114</v>
      </c>
      <c r="E107" s="71">
        <v>5</v>
      </c>
      <c r="F107" s="9" t="s">
        <v>33</v>
      </c>
      <c r="G107" s="156" t="str">
        <f t="shared" si="2"/>
        <v>5 mΩ</v>
      </c>
      <c r="H107" s="13"/>
      <c r="I107" s="13"/>
      <c r="J107" s="29"/>
      <c r="K107" s="29"/>
      <c r="L107" s="29"/>
      <c r="M107" s="29"/>
      <c r="N107" s="29"/>
      <c r="O107" s="29"/>
      <c r="P107" s="29"/>
      <c r="Q107" s="29"/>
      <c r="R107" s="29"/>
      <c r="S107" s="30"/>
      <c r="T107" s="18"/>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19"/>
      <c r="BM107" s="19"/>
      <c r="BN107" s="19"/>
      <c r="BO107" s="19"/>
      <c r="BP107" s="19"/>
      <c r="BQ107" s="19"/>
      <c r="BR107" s="19"/>
      <c r="BS107" s="19"/>
      <c r="BT107" s="19"/>
      <c r="BU107" s="19"/>
      <c r="BV107" s="19"/>
      <c r="BW107" s="19"/>
      <c r="BX107" s="19"/>
      <c r="BY107" s="19"/>
      <c r="BZ107" s="19"/>
      <c r="CA107" s="19"/>
      <c r="CB107" s="19"/>
      <c r="CC107" s="19"/>
      <c r="CD107" s="19"/>
      <c r="CE107" s="19"/>
      <c r="CF107" s="19"/>
      <c r="CG107" s="19"/>
      <c r="CH107" s="19"/>
      <c r="CI107" s="19"/>
      <c r="CJ107" s="19"/>
      <c r="CK107" s="19"/>
      <c r="CL107" s="19"/>
      <c r="CM107" s="19"/>
      <c r="CN107" s="19"/>
      <c r="CO107" s="19"/>
      <c r="CP107" s="19"/>
      <c r="CQ107" s="19"/>
      <c r="CR107" s="19"/>
      <c r="CS107" s="19"/>
      <c r="CT107" s="19"/>
      <c r="CU107" s="19"/>
      <c r="CV107" s="19"/>
      <c r="CW107" s="19"/>
      <c r="CX107" s="19"/>
      <c r="CY107" s="19"/>
      <c r="CZ107" s="19"/>
      <c r="DA107" s="19"/>
      <c r="DB107" s="19"/>
      <c r="DC107" s="19"/>
      <c r="DD107" s="19"/>
      <c r="DE107" s="19"/>
      <c r="DF107" s="19"/>
      <c r="DG107" s="19"/>
      <c r="DH107" s="19"/>
      <c r="DI107" s="19"/>
      <c r="DJ107" s="19"/>
      <c r="DK107" s="19"/>
      <c r="DL107" s="19"/>
      <c r="DM107" s="19"/>
      <c r="DN107" s="19"/>
      <c r="DO107" s="19"/>
      <c r="DP107" s="19"/>
      <c r="DQ107" s="19"/>
      <c r="DR107" s="19"/>
      <c r="DS107" s="19"/>
      <c r="DT107" s="19"/>
      <c r="DU107" s="19"/>
      <c r="DV107" s="19"/>
      <c r="DW107" s="19"/>
      <c r="DX107" s="19"/>
      <c r="DY107" s="19"/>
      <c r="DZ107" s="19"/>
      <c r="EA107" s="19"/>
      <c r="EB107" s="19"/>
      <c r="EC107" s="19"/>
      <c r="ED107" s="19"/>
      <c r="EE107" s="19"/>
      <c r="EF107" s="19"/>
      <c r="EG107" s="19"/>
      <c r="EH107" s="19"/>
      <c r="EI107" s="19"/>
      <c r="EJ107" s="19"/>
      <c r="EK107" s="19"/>
      <c r="EL107" s="19"/>
      <c r="EM107" s="19"/>
      <c r="EN107" s="19"/>
      <c r="EO107" s="19"/>
      <c r="EP107" s="19"/>
      <c r="EQ107" s="19"/>
      <c r="ER107" s="19"/>
      <c r="ES107" s="19"/>
      <c r="ET107" s="19"/>
      <c r="EU107" s="19"/>
      <c r="EV107" s="19"/>
      <c r="EW107" s="19"/>
      <c r="EX107" s="19"/>
      <c r="EY107" s="19"/>
      <c r="EZ107" s="19"/>
      <c r="FA107" s="19"/>
      <c r="FB107" s="19"/>
      <c r="FC107" s="19"/>
      <c r="FD107" s="19"/>
      <c r="FE107" s="19"/>
      <c r="FF107" s="19"/>
      <c r="FG107" s="19"/>
      <c r="FH107" s="19"/>
      <c r="FI107" s="19"/>
    </row>
    <row r="108" spans="1:165" ht="15.75" x14ac:dyDescent="0.3">
      <c r="A108" s="48"/>
      <c r="B108" s="49"/>
      <c r="C108" s="49"/>
      <c r="D108" s="39" t="s">
        <v>115</v>
      </c>
      <c r="E108" s="201">
        <f>Ioutmax*SQRT(Vbat/VACmin-1)</f>
        <v>18</v>
      </c>
      <c r="F108" s="10" t="s">
        <v>12</v>
      </c>
      <c r="G108" s="156"/>
      <c r="H108" s="13"/>
      <c r="I108" s="13"/>
      <c r="J108" s="29"/>
      <c r="K108" s="29"/>
      <c r="L108" s="29"/>
      <c r="M108" s="29"/>
      <c r="N108" s="29"/>
      <c r="O108" s="29"/>
      <c r="P108" s="29"/>
      <c r="Q108" s="29"/>
      <c r="R108" s="29"/>
      <c r="S108" s="30"/>
      <c r="T108" s="18"/>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19"/>
      <c r="BM108" s="19"/>
      <c r="BN108" s="19"/>
      <c r="BO108" s="19"/>
      <c r="BP108" s="19"/>
      <c r="BQ108" s="19"/>
      <c r="BR108" s="19"/>
      <c r="BS108" s="19"/>
      <c r="BT108" s="19"/>
      <c r="BU108" s="19"/>
      <c r="BV108" s="19"/>
      <c r="BW108" s="19"/>
      <c r="BX108" s="19"/>
      <c r="BY108" s="19"/>
      <c r="BZ108" s="19"/>
      <c r="CA108" s="19"/>
      <c r="CB108" s="19"/>
      <c r="CC108" s="19"/>
      <c r="CD108" s="19"/>
      <c r="CE108" s="19"/>
      <c r="CF108" s="19"/>
      <c r="CG108" s="19"/>
      <c r="CH108" s="19"/>
      <c r="CI108" s="19"/>
      <c r="CJ108" s="19"/>
      <c r="CK108" s="19"/>
      <c r="CL108" s="19"/>
      <c r="CM108" s="19"/>
      <c r="CN108" s="19"/>
      <c r="CO108" s="19"/>
      <c r="CP108" s="19"/>
      <c r="CQ108" s="19"/>
      <c r="CR108" s="19"/>
      <c r="CS108" s="19"/>
      <c r="CT108" s="19"/>
      <c r="CU108" s="19"/>
      <c r="CV108" s="19"/>
      <c r="CW108" s="19"/>
      <c r="CX108" s="19"/>
      <c r="CY108" s="19"/>
      <c r="CZ108" s="19"/>
      <c r="DA108" s="19"/>
      <c r="DB108" s="19"/>
      <c r="DC108" s="19"/>
      <c r="DD108" s="19"/>
      <c r="DE108" s="19"/>
      <c r="DF108" s="19"/>
      <c r="DG108" s="19"/>
      <c r="DH108" s="19"/>
      <c r="DI108" s="19"/>
      <c r="DJ108" s="19"/>
      <c r="DK108" s="19"/>
      <c r="DL108" s="19"/>
      <c r="DM108" s="19"/>
      <c r="DN108" s="19"/>
      <c r="DO108" s="19"/>
      <c r="DP108" s="19"/>
      <c r="DQ108" s="19"/>
      <c r="DR108" s="19"/>
      <c r="DS108" s="19"/>
      <c r="DT108" s="19"/>
      <c r="DU108" s="19"/>
      <c r="DV108" s="19"/>
      <c r="DW108" s="19"/>
      <c r="DX108" s="19"/>
      <c r="DY108" s="19"/>
      <c r="DZ108" s="19"/>
      <c r="EA108" s="19"/>
      <c r="EB108" s="19"/>
      <c r="EC108" s="19"/>
      <c r="ED108" s="19"/>
      <c r="EE108" s="19"/>
      <c r="EF108" s="19"/>
      <c r="EG108" s="19"/>
      <c r="EH108" s="19"/>
      <c r="EI108" s="19"/>
      <c r="EJ108" s="19"/>
      <c r="EK108" s="19"/>
      <c r="EL108" s="19"/>
      <c r="EM108" s="19"/>
      <c r="EN108" s="19"/>
      <c r="EO108" s="19"/>
      <c r="EP108" s="19"/>
      <c r="EQ108" s="19"/>
      <c r="ER108" s="19"/>
      <c r="ES108" s="19"/>
      <c r="ET108" s="19"/>
      <c r="EU108" s="19"/>
      <c r="EV108" s="19"/>
      <c r="EW108" s="19"/>
      <c r="EX108" s="19"/>
      <c r="EY108" s="19"/>
      <c r="EZ108" s="19"/>
      <c r="FA108" s="19"/>
      <c r="FB108" s="19"/>
      <c r="FC108" s="19"/>
      <c r="FD108" s="19"/>
      <c r="FE108" s="19"/>
      <c r="FF108" s="19"/>
      <c r="FG108" s="19"/>
      <c r="FH108" s="19"/>
      <c r="FI108" s="19"/>
    </row>
    <row r="109" spans="1:165" ht="15.75" x14ac:dyDescent="0.3">
      <c r="A109" s="48"/>
      <c r="B109" s="49"/>
      <c r="C109" s="49"/>
      <c r="D109" s="39" t="s">
        <v>116</v>
      </c>
      <c r="E109" s="105">
        <f>Ioutmax*Vbat/VACmin*COUT_ESR</f>
        <v>225</v>
      </c>
      <c r="F109" s="10" t="s">
        <v>117</v>
      </c>
      <c r="G109" s="156"/>
      <c r="H109" s="13"/>
      <c r="I109" s="13"/>
      <c r="J109" s="29"/>
      <c r="K109" s="29"/>
      <c r="L109" s="29"/>
      <c r="M109" s="29"/>
      <c r="N109" s="29"/>
      <c r="O109" s="29"/>
      <c r="P109" s="29"/>
      <c r="Q109" s="29"/>
      <c r="R109" s="29"/>
      <c r="S109" s="30"/>
      <c r="T109" s="18"/>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19"/>
      <c r="BM109" s="19"/>
      <c r="BN109" s="19"/>
      <c r="BO109" s="19"/>
      <c r="BP109" s="19"/>
      <c r="BQ109" s="19"/>
      <c r="BR109" s="19"/>
      <c r="BS109" s="19"/>
      <c r="BT109" s="19"/>
      <c r="BU109" s="19"/>
      <c r="BV109" s="19"/>
      <c r="BW109" s="19"/>
      <c r="BX109" s="19"/>
      <c r="BY109" s="19"/>
      <c r="BZ109" s="19"/>
      <c r="CA109" s="19"/>
      <c r="CB109" s="19"/>
      <c r="CC109" s="19"/>
      <c r="CD109" s="19"/>
      <c r="CE109" s="19"/>
      <c r="CF109" s="19"/>
      <c r="CG109" s="19"/>
      <c r="CH109" s="19"/>
      <c r="CI109" s="19"/>
      <c r="CJ109" s="19"/>
      <c r="CK109" s="19"/>
      <c r="CL109" s="19"/>
      <c r="CM109" s="19"/>
      <c r="CN109" s="19"/>
      <c r="CO109" s="19"/>
      <c r="CP109" s="19"/>
      <c r="CQ109" s="19"/>
      <c r="CR109" s="19"/>
      <c r="CS109" s="19"/>
      <c r="CT109" s="19"/>
      <c r="CU109" s="19"/>
      <c r="CV109" s="19"/>
      <c r="CW109" s="19"/>
      <c r="CX109" s="19"/>
      <c r="CY109" s="19"/>
      <c r="CZ109" s="19"/>
      <c r="DA109" s="19"/>
      <c r="DB109" s="19"/>
      <c r="DC109" s="19"/>
      <c r="DD109" s="19"/>
      <c r="DE109" s="19"/>
      <c r="DF109" s="19"/>
      <c r="DG109" s="19"/>
      <c r="DH109" s="19"/>
      <c r="DI109" s="19"/>
      <c r="DJ109" s="19"/>
      <c r="DK109" s="19"/>
      <c r="DL109" s="19"/>
      <c r="DM109" s="19"/>
      <c r="DN109" s="19"/>
      <c r="DO109" s="19"/>
      <c r="DP109" s="19"/>
      <c r="DQ109" s="19"/>
      <c r="DR109" s="19"/>
      <c r="DS109" s="19"/>
      <c r="DT109" s="19"/>
      <c r="DU109" s="19"/>
      <c r="DV109" s="19"/>
      <c r="DW109" s="19"/>
      <c r="DX109" s="19"/>
      <c r="DY109" s="19"/>
      <c r="DZ109" s="19"/>
      <c r="EA109" s="19"/>
      <c r="EB109" s="19"/>
      <c r="EC109" s="19"/>
      <c r="ED109" s="19"/>
      <c r="EE109" s="19"/>
      <c r="EF109" s="19"/>
      <c r="EG109" s="19"/>
      <c r="EH109" s="19"/>
      <c r="EI109" s="19"/>
      <c r="EJ109" s="19"/>
      <c r="EK109" s="19"/>
      <c r="EL109" s="19"/>
      <c r="EM109" s="19"/>
      <c r="EN109" s="19"/>
      <c r="EO109" s="19"/>
      <c r="EP109" s="19"/>
      <c r="EQ109" s="19"/>
      <c r="ER109" s="19"/>
      <c r="ES109" s="19"/>
      <c r="ET109" s="19"/>
      <c r="EU109" s="19"/>
      <c r="EV109" s="19"/>
      <c r="EW109" s="19"/>
      <c r="EX109" s="19"/>
      <c r="EY109" s="19"/>
      <c r="EZ109" s="19"/>
      <c r="FA109" s="19"/>
      <c r="FB109" s="19"/>
      <c r="FC109" s="19"/>
      <c r="FD109" s="19"/>
      <c r="FE109" s="19"/>
      <c r="FF109" s="19"/>
      <c r="FG109" s="19"/>
      <c r="FH109" s="19"/>
      <c r="FI109" s="19"/>
    </row>
    <row r="110" spans="1:165" ht="16.5" thickBot="1" x14ac:dyDescent="0.35">
      <c r="A110" s="46"/>
      <c r="B110" s="47"/>
      <c r="C110" s="47"/>
      <c r="D110" s="43" t="s">
        <v>118</v>
      </c>
      <c r="E110" s="202">
        <f>Ioutmax*(1-VACmin/Vbat)/(Fsw*10^3*C_OUT*10^-6)/10^-3</f>
        <v>109.09090909090904</v>
      </c>
      <c r="F110" s="11" t="s">
        <v>117</v>
      </c>
      <c r="G110" s="156"/>
      <c r="H110" s="13"/>
      <c r="I110" s="13"/>
      <c r="J110" s="29"/>
      <c r="K110" s="29"/>
      <c r="L110" s="29"/>
      <c r="M110" s="29"/>
      <c r="N110" s="29"/>
      <c r="O110" s="29"/>
      <c r="P110" s="29"/>
      <c r="Q110" s="29"/>
      <c r="R110" s="29"/>
      <c r="S110" s="30"/>
      <c r="T110" s="18"/>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19"/>
      <c r="BM110" s="19"/>
      <c r="BN110" s="19"/>
      <c r="BO110" s="19"/>
      <c r="BP110" s="19"/>
      <c r="BQ110" s="19"/>
      <c r="BR110" s="19"/>
      <c r="BS110" s="19"/>
      <c r="BT110" s="19"/>
      <c r="BU110" s="19"/>
      <c r="BV110" s="19"/>
      <c r="BW110" s="19"/>
      <c r="BX110" s="19"/>
      <c r="BY110" s="19"/>
      <c r="BZ110" s="19"/>
      <c r="CA110" s="19"/>
      <c r="CB110" s="19"/>
      <c r="CC110" s="19"/>
      <c r="CD110" s="19"/>
      <c r="CE110" s="19"/>
      <c r="CF110" s="19"/>
      <c r="CG110" s="19"/>
      <c r="CH110" s="19"/>
      <c r="CI110" s="19"/>
      <c r="CJ110" s="19"/>
      <c r="CK110" s="19"/>
      <c r="CL110" s="19"/>
      <c r="CM110" s="19"/>
      <c r="CN110" s="19"/>
      <c r="CO110" s="19"/>
      <c r="CP110" s="19"/>
      <c r="CQ110" s="19"/>
      <c r="CR110" s="19"/>
      <c r="CS110" s="19"/>
      <c r="CT110" s="19"/>
      <c r="CU110" s="19"/>
      <c r="CV110" s="19"/>
      <c r="CW110" s="19"/>
      <c r="CX110" s="19"/>
      <c r="CY110" s="19"/>
      <c r="CZ110" s="19"/>
      <c r="DA110" s="19"/>
      <c r="DB110" s="19"/>
      <c r="DC110" s="19"/>
      <c r="DD110" s="19"/>
      <c r="DE110" s="19"/>
      <c r="DF110" s="19"/>
      <c r="DG110" s="19"/>
      <c r="DH110" s="19"/>
      <c r="DI110" s="19"/>
      <c r="DJ110" s="19"/>
      <c r="DK110" s="19"/>
      <c r="DL110" s="19"/>
      <c r="DM110" s="19"/>
      <c r="DN110" s="19"/>
      <c r="DO110" s="19"/>
      <c r="DP110" s="19"/>
      <c r="DQ110" s="19"/>
      <c r="DR110" s="19"/>
      <c r="DS110" s="19"/>
      <c r="DT110" s="19"/>
      <c r="DU110" s="19"/>
      <c r="DV110" s="19"/>
      <c r="DW110" s="19"/>
      <c r="DX110" s="19"/>
      <c r="DY110" s="19"/>
      <c r="DZ110" s="19"/>
      <c r="EA110" s="19"/>
      <c r="EB110" s="19"/>
      <c r="EC110" s="19"/>
      <c r="ED110" s="19"/>
      <c r="EE110" s="19"/>
      <c r="EF110" s="19"/>
      <c r="EG110" s="19"/>
      <c r="EH110" s="19"/>
      <c r="EI110" s="19"/>
      <c r="EJ110" s="19"/>
      <c r="EK110" s="19"/>
      <c r="EL110" s="19"/>
      <c r="EM110" s="19"/>
      <c r="EN110" s="19"/>
      <c r="EO110" s="19"/>
      <c r="EP110" s="19"/>
      <c r="EQ110" s="19"/>
      <c r="ER110" s="19"/>
      <c r="ES110" s="19"/>
      <c r="ET110" s="19"/>
      <c r="EU110" s="19"/>
      <c r="EV110" s="19"/>
      <c r="EW110" s="19"/>
      <c r="EX110" s="19"/>
      <c r="EY110" s="19"/>
      <c r="EZ110" s="19"/>
      <c r="FA110" s="19"/>
      <c r="FB110" s="19"/>
      <c r="FC110" s="19"/>
      <c r="FD110" s="19"/>
      <c r="FE110" s="19"/>
      <c r="FF110" s="19"/>
      <c r="FG110" s="19"/>
      <c r="FH110" s="19"/>
      <c r="FI110" s="19"/>
    </row>
    <row r="111" spans="1:165" ht="15.75" thickBot="1" x14ac:dyDescent="0.3">
      <c r="A111" s="48"/>
      <c r="B111" s="49"/>
      <c r="C111" s="49"/>
      <c r="D111" s="39"/>
      <c r="E111" s="49"/>
      <c r="F111" s="49"/>
      <c r="G111" s="49"/>
      <c r="H111" s="13"/>
      <c r="I111" s="13"/>
      <c r="J111" s="29"/>
      <c r="K111" s="29"/>
      <c r="L111" s="29"/>
      <c r="M111" s="29"/>
      <c r="N111" s="29"/>
      <c r="O111" s="29"/>
      <c r="P111" s="29"/>
      <c r="Q111" s="29"/>
      <c r="R111" s="29"/>
      <c r="S111" s="30"/>
      <c r="T111" s="18"/>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19"/>
      <c r="BM111" s="19"/>
      <c r="BN111" s="19"/>
      <c r="BO111" s="19"/>
      <c r="BP111" s="19"/>
      <c r="BQ111" s="19"/>
      <c r="BR111" s="19"/>
      <c r="BS111" s="19"/>
      <c r="BT111" s="19"/>
      <c r="BU111" s="19"/>
      <c r="BV111" s="19"/>
      <c r="BW111" s="19"/>
      <c r="BX111" s="19"/>
      <c r="BY111" s="19"/>
      <c r="BZ111" s="19"/>
      <c r="CA111" s="19"/>
      <c r="CB111" s="19"/>
      <c r="CC111" s="19"/>
      <c r="CD111" s="19"/>
      <c r="CE111" s="19"/>
      <c r="CF111" s="19"/>
      <c r="CG111" s="19"/>
      <c r="CH111" s="19"/>
      <c r="CI111" s="19"/>
      <c r="CJ111" s="19"/>
      <c r="CK111" s="19"/>
      <c r="CL111" s="19"/>
      <c r="CM111" s="19"/>
      <c r="CN111" s="19"/>
      <c r="CO111" s="19"/>
      <c r="CP111" s="19"/>
      <c r="CQ111" s="19"/>
      <c r="CR111" s="19"/>
      <c r="CS111" s="19"/>
      <c r="CT111" s="19"/>
      <c r="CU111" s="19"/>
      <c r="CV111" s="19"/>
      <c r="CW111" s="19"/>
      <c r="CX111" s="19"/>
      <c r="CY111" s="19"/>
      <c r="CZ111" s="19"/>
      <c r="DA111" s="19"/>
      <c r="DB111" s="19"/>
      <c r="DC111" s="19"/>
      <c r="DD111" s="19"/>
      <c r="DE111" s="19"/>
      <c r="DF111" s="19"/>
      <c r="DG111" s="19"/>
      <c r="DH111" s="19"/>
      <c r="DI111" s="19"/>
      <c r="DJ111" s="19"/>
      <c r="DK111" s="19"/>
      <c r="DL111" s="19"/>
      <c r="DM111" s="19"/>
      <c r="DN111" s="19"/>
      <c r="DO111" s="19"/>
      <c r="DP111" s="19"/>
      <c r="DQ111" s="19"/>
      <c r="DR111" s="19"/>
      <c r="DS111" s="19"/>
      <c r="DT111" s="19"/>
      <c r="DU111" s="19"/>
      <c r="DV111" s="19"/>
      <c r="DW111" s="19"/>
      <c r="DX111" s="19"/>
      <c r="DY111" s="19"/>
      <c r="DZ111" s="19"/>
      <c r="EA111" s="19"/>
      <c r="EB111" s="19"/>
      <c r="EC111" s="19"/>
      <c r="ED111" s="19"/>
      <c r="EE111" s="19"/>
      <c r="EF111" s="19"/>
      <c r="EG111" s="19"/>
      <c r="EH111" s="19"/>
      <c r="EI111" s="19"/>
      <c r="EJ111" s="19"/>
      <c r="EK111" s="19"/>
      <c r="EL111" s="19"/>
      <c r="EM111" s="19"/>
      <c r="EN111" s="19"/>
      <c r="EO111" s="19"/>
      <c r="EP111" s="19"/>
      <c r="EQ111" s="19"/>
      <c r="ER111" s="19"/>
      <c r="ES111" s="19"/>
      <c r="ET111" s="19"/>
      <c r="EU111" s="19"/>
      <c r="EV111" s="19"/>
      <c r="EW111" s="19"/>
      <c r="EX111" s="19"/>
      <c r="EY111" s="19"/>
      <c r="EZ111" s="19"/>
      <c r="FA111" s="19"/>
      <c r="FB111" s="19"/>
      <c r="FC111" s="19"/>
      <c r="FD111" s="19"/>
      <c r="FE111" s="19"/>
      <c r="FF111" s="19"/>
      <c r="FG111" s="19"/>
      <c r="FH111" s="19"/>
      <c r="FI111" s="19"/>
    </row>
    <row r="112" spans="1:165" ht="25.5" customHeight="1" thickBot="1" x14ac:dyDescent="0.3">
      <c r="A112" s="215" t="s">
        <v>119</v>
      </c>
      <c r="B112" s="216"/>
      <c r="C112" s="216"/>
      <c r="D112" s="216"/>
      <c r="E112" s="216"/>
      <c r="F112" s="56"/>
      <c r="G112" s="56"/>
      <c r="H112" s="57"/>
      <c r="I112" s="57"/>
      <c r="J112" s="58"/>
      <c r="K112" s="58"/>
      <c r="L112" s="58"/>
      <c r="M112" s="58"/>
      <c r="N112" s="58"/>
      <c r="O112" s="58"/>
      <c r="P112" s="58"/>
      <c r="Q112" s="58"/>
      <c r="R112" s="58"/>
      <c r="S112" s="59"/>
      <c r="T112" s="18"/>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60">
        <f ca="1">BK112</f>
        <v>0</v>
      </c>
      <c r="BK112" s="60">
        <f ca="1">BJ112</f>
        <v>0</v>
      </c>
      <c r="BL112" s="19"/>
      <c r="BM112" s="19"/>
      <c r="BN112" s="19"/>
      <c r="BO112" s="19"/>
      <c r="BP112" s="19"/>
      <c r="BQ112" s="19"/>
      <c r="BR112" s="19"/>
      <c r="BS112" s="19"/>
      <c r="BT112" s="19"/>
      <c r="BU112" s="19"/>
      <c r="BV112" s="19"/>
      <c r="BW112" s="19"/>
      <c r="BX112" s="19"/>
      <c r="BY112" s="19"/>
      <c r="BZ112" s="19"/>
      <c r="CA112" s="19"/>
      <c r="CB112" s="19"/>
      <c r="CC112" s="19"/>
      <c r="CD112" s="19"/>
      <c r="CE112" s="19"/>
      <c r="CF112" s="19"/>
      <c r="CG112" s="19"/>
      <c r="CH112" s="19"/>
      <c r="CI112" s="19"/>
      <c r="CJ112" s="19"/>
      <c r="CK112" s="19"/>
      <c r="CL112" s="19"/>
      <c r="CM112" s="19"/>
      <c r="CN112" s="19"/>
      <c r="CO112" s="19"/>
      <c r="CP112" s="19"/>
      <c r="CQ112" s="19"/>
      <c r="CR112" s="19"/>
      <c r="CS112" s="19"/>
      <c r="CT112" s="19"/>
      <c r="CU112" s="19"/>
      <c r="CV112" s="19"/>
      <c r="CW112" s="19"/>
      <c r="CX112" s="19"/>
      <c r="CY112" s="19"/>
      <c r="CZ112" s="19"/>
      <c r="DA112" s="19"/>
      <c r="DB112" s="19"/>
      <c r="DC112" s="19"/>
      <c r="DD112" s="19"/>
      <c r="DE112" s="19"/>
      <c r="DF112" s="19"/>
      <c r="DG112" s="19"/>
      <c r="DH112" s="19"/>
      <c r="DI112" s="19"/>
      <c r="DJ112" s="19"/>
      <c r="DK112" s="19"/>
      <c r="DL112" s="19"/>
      <c r="DM112" s="19"/>
      <c r="DN112" s="19"/>
      <c r="DO112" s="19"/>
      <c r="DP112" s="19"/>
      <c r="DQ112" s="19"/>
      <c r="DR112" s="19"/>
      <c r="DS112" s="19"/>
      <c r="DT112" s="19"/>
      <c r="DU112" s="19"/>
      <c r="DV112" s="19"/>
      <c r="DW112" s="19"/>
      <c r="DX112" s="19"/>
      <c r="DY112" s="19"/>
      <c r="DZ112" s="19"/>
      <c r="EA112" s="19"/>
      <c r="EB112" s="19"/>
      <c r="EC112" s="19"/>
      <c r="ED112" s="19"/>
      <c r="EE112" s="19"/>
      <c r="EF112" s="19"/>
      <c r="EG112" s="19"/>
      <c r="EH112" s="19"/>
      <c r="EI112" s="19"/>
      <c r="EJ112" s="19"/>
      <c r="EK112" s="19"/>
      <c r="EL112" s="19"/>
      <c r="EM112" s="19"/>
      <c r="EN112" s="19"/>
      <c r="EO112" s="19"/>
      <c r="EP112" s="19"/>
      <c r="EQ112" s="19"/>
      <c r="ER112" s="19"/>
      <c r="ES112" s="19"/>
      <c r="ET112" s="19"/>
      <c r="EU112" s="19"/>
      <c r="EV112" s="19"/>
      <c r="EW112" s="19"/>
      <c r="EX112" s="19"/>
      <c r="EY112" s="19"/>
      <c r="EZ112" s="19"/>
      <c r="FA112" s="19"/>
      <c r="FB112" s="19"/>
      <c r="FC112" s="19"/>
      <c r="FD112" s="19"/>
      <c r="FE112" s="19"/>
      <c r="FF112" s="19"/>
      <c r="FG112" s="19"/>
      <c r="FH112" s="19"/>
      <c r="FI112" s="19"/>
    </row>
    <row r="113" spans="1:166" x14ac:dyDescent="0.25">
      <c r="A113" s="48"/>
      <c r="B113" s="49"/>
      <c r="C113" s="49"/>
      <c r="D113" s="39"/>
      <c r="E113" s="49"/>
      <c r="F113" s="49"/>
      <c r="G113" s="49"/>
      <c r="H113" s="13"/>
      <c r="I113" s="13"/>
      <c r="J113" s="29"/>
      <c r="K113" s="29"/>
      <c r="L113" s="29"/>
      <c r="M113" s="29"/>
      <c r="N113" s="29"/>
      <c r="O113" s="29"/>
      <c r="P113" s="29"/>
      <c r="Q113" s="29"/>
      <c r="R113" s="29"/>
      <c r="S113" s="30"/>
      <c r="T113" s="18"/>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19"/>
      <c r="BM113" s="19"/>
      <c r="BN113" s="19"/>
      <c r="BO113" s="19"/>
      <c r="BP113" s="19"/>
      <c r="BQ113" s="19"/>
      <c r="BR113" s="19"/>
      <c r="BS113" s="19"/>
      <c r="BT113" s="19"/>
      <c r="BU113" s="19"/>
      <c r="BV113" s="19"/>
      <c r="BW113" s="19"/>
      <c r="BX113" s="19"/>
      <c r="BY113" s="19"/>
      <c r="BZ113" s="19"/>
      <c r="CA113" s="19"/>
      <c r="CB113" s="19"/>
      <c r="CC113" s="19"/>
      <c r="CD113" s="19"/>
      <c r="CE113" s="19"/>
      <c r="CF113" s="19"/>
      <c r="CG113" s="19"/>
      <c r="CH113" s="19"/>
      <c r="CI113" s="19"/>
      <c r="CJ113" s="19"/>
      <c r="CK113" s="19"/>
      <c r="CL113" s="19"/>
      <c r="CM113" s="19"/>
      <c r="CN113" s="19"/>
      <c r="CO113" s="19"/>
      <c r="CP113" s="19"/>
      <c r="CQ113" s="19"/>
      <c r="CR113" s="19"/>
      <c r="CS113" s="19"/>
      <c r="CT113" s="19"/>
      <c r="CU113" s="19"/>
      <c r="CV113" s="19"/>
      <c r="CW113" s="19"/>
      <c r="CX113" s="19"/>
      <c r="CY113" s="19"/>
      <c r="CZ113" s="19"/>
      <c r="DA113" s="19"/>
      <c r="DB113" s="19"/>
      <c r="DC113" s="19"/>
      <c r="DD113" s="19"/>
      <c r="DE113" s="19"/>
      <c r="DF113" s="19"/>
      <c r="DG113" s="19"/>
      <c r="DH113" s="19"/>
      <c r="DI113" s="19"/>
      <c r="DJ113" s="19"/>
      <c r="DK113" s="19"/>
      <c r="DL113" s="19"/>
      <c r="DM113" s="19"/>
      <c r="DN113" s="19"/>
      <c r="DO113" s="19"/>
      <c r="DP113" s="19"/>
      <c r="DQ113" s="19"/>
      <c r="DR113" s="19"/>
      <c r="DS113" s="19"/>
      <c r="DT113" s="19"/>
      <c r="DU113" s="19"/>
      <c r="DV113" s="19"/>
      <c r="DW113" s="19"/>
      <c r="DX113" s="19"/>
      <c r="DY113" s="19"/>
      <c r="DZ113" s="19"/>
      <c r="EA113" s="19"/>
      <c r="EB113" s="19"/>
      <c r="EC113" s="19"/>
      <c r="ED113" s="19"/>
      <c r="EE113" s="19"/>
      <c r="EF113" s="19"/>
      <c r="EG113" s="19"/>
      <c r="EH113" s="19"/>
      <c r="EI113" s="19"/>
      <c r="EJ113" s="19"/>
      <c r="EK113" s="19"/>
      <c r="EL113" s="19"/>
      <c r="EM113" s="19"/>
      <c r="EN113" s="19"/>
      <c r="EO113" s="19"/>
      <c r="EP113" s="19"/>
      <c r="EQ113" s="19"/>
      <c r="ER113" s="19"/>
      <c r="ES113" s="19"/>
      <c r="ET113" s="19"/>
      <c r="EU113" s="19"/>
      <c r="EV113" s="19"/>
      <c r="EW113" s="19"/>
      <c r="EX113" s="19"/>
      <c r="EY113" s="19"/>
      <c r="EZ113" s="19"/>
      <c r="FA113" s="19"/>
      <c r="FB113" s="19"/>
      <c r="FC113" s="19"/>
      <c r="FD113" s="19"/>
      <c r="FE113" s="19"/>
      <c r="FF113" s="19"/>
      <c r="FG113" s="19"/>
      <c r="FH113" s="19"/>
      <c r="FI113" s="19"/>
    </row>
    <row r="114" spans="1:166" ht="15.75" thickBot="1" x14ac:dyDescent="0.3">
      <c r="A114" s="217" t="s">
        <v>120</v>
      </c>
      <c r="B114" s="218"/>
      <c r="C114" s="218"/>
      <c r="D114" s="218"/>
      <c r="E114" s="218"/>
      <c r="F114" s="218"/>
      <c r="G114" s="218"/>
      <c r="H114" s="13"/>
      <c r="I114" s="219" t="s">
        <v>121</v>
      </c>
      <c r="J114" s="219"/>
      <c r="K114" s="219"/>
      <c r="L114" s="219"/>
      <c r="M114" s="219"/>
      <c r="N114" s="219"/>
      <c r="O114" s="219"/>
      <c r="P114" s="219"/>
      <c r="Q114" s="29"/>
      <c r="R114" s="29"/>
      <c r="S114" s="30"/>
      <c r="T114" s="18"/>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19"/>
      <c r="BM114" s="19"/>
      <c r="BN114" s="19"/>
      <c r="BO114" s="19"/>
      <c r="BP114" s="19"/>
      <c r="BQ114" s="19"/>
      <c r="BR114" s="19"/>
      <c r="BS114" s="19"/>
      <c r="BT114" s="19"/>
      <c r="BU114" s="19"/>
      <c r="BV114" s="19"/>
      <c r="BW114" s="19"/>
      <c r="BX114" s="19"/>
      <c r="BY114" s="19"/>
      <c r="BZ114" s="19"/>
      <c r="CA114" s="19"/>
      <c r="CB114" s="19"/>
      <c r="CC114" s="19"/>
      <c r="CD114" s="19"/>
      <c r="CE114" s="19"/>
      <c r="CF114" s="19"/>
      <c r="CG114" s="19"/>
      <c r="CH114" s="19"/>
      <c r="CI114" s="19"/>
      <c r="CJ114" s="19"/>
      <c r="CK114" s="19"/>
      <c r="CL114" s="19"/>
      <c r="CM114" s="19"/>
      <c r="CN114" s="19"/>
      <c r="CO114" s="19"/>
      <c r="CP114" s="19"/>
      <c r="CQ114" s="19"/>
      <c r="CR114" s="19"/>
      <c r="CS114" s="19"/>
      <c r="CT114" s="19"/>
      <c r="CU114" s="19"/>
      <c r="CV114" s="19"/>
      <c r="CW114" s="19"/>
      <c r="CX114" s="19"/>
      <c r="CY114" s="19"/>
      <c r="CZ114" s="19"/>
      <c r="DA114" s="19"/>
      <c r="DB114" s="19"/>
      <c r="DC114" s="19"/>
      <c r="DD114" s="19"/>
      <c r="DE114" s="19"/>
      <c r="DF114" s="19"/>
      <c r="DG114" s="19"/>
      <c r="DH114" s="19"/>
      <c r="DI114" s="19"/>
      <c r="DJ114" s="19"/>
      <c r="DK114" s="19"/>
      <c r="DL114" s="19"/>
      <c r="DM114" s="19"/>
      <c r="DN114" s="19"/>
      <c r="DO114" s="19"/>
      <c r="DP114" s="19"/>
      <c r="DQ114" s="19"/>
      <c r="DR114" s="19"/>
      <c r="DS114" s="19"/>
      <c r="DT114" s="19"/>
      <c r="DU114" s="19"/>
      <c r="DV114" s="19"/>
      <c r="DW114" s="19"/>
      <c r="DX114" s="19"/>
      <c r="DY114" s="19"/>
      <c r="DZ114" s="19"/>
      <c r="EA114" s="19"/>
      <c r="EB114" s="19"/>
      <c r="EC114" s="19"/>
      <c r="ED114" s="19"/>
      <c r="EE114" s="19"/>
      <c r="EF114" s="19"/>
      <c r="EG114" s="19"/>
      <c r="EH114" s="19"/>
      <c r="EI114" s="19"/>
      <c r="EJ114" s="19"/>
      <c r="EK114" s="19"/>
      <c r="EL114" s="19"/>
      <c r="EM114" s="19"/>
      <c r="EN114" s="19"/>
      <c r="EO114" s="19"/>
      <c r="EP114" s="19"/>
      <c r="EQ114" s="19"/>
      <c r="ER114" s="19"/>
      <c r="ES114" s="19"/>
      <c r="ET114" s="19"/>
      <c r="EU114" s="19"/>
      <c r="EV114" s="19"/>
      <c r="EW114" s="19"/>
      <c r="EX114" s="19"/>
      <c r="EY114" s="19"/>
      <c r="EZ114" s="19"/>
      <c r="FA114" s="19"/>
      <c r="FB114" s="19"/>
      <c r="FC114" s="19"/>
      <c r="FD114" s="19"/>
      <c r="FE114" s="19"/>
      <c r="FF114" s="19"/>
      <c r="FG114" s="19"/>
      <c r="FH114" s="19"/>
      <c r="FI114" s="19"/>
    </row>
    <row r="115" spans="1:166" ht="15.75" thickBot="1" x14ac:dyDescent="0.3">
      <c r="A115" s="50"/>
      <c r="B115" s="62"/>
      <c r="C115" s="50"/>
      <c r="D115" s="63" t="s">
        <v>122</v>
      </c>
      <c r="E115" s="64"/>
      <c r="F115" s="50"/>
      <c r="G115" s="38"/>
      <c r="H115" s="13"/>
      <c r="I115" s="27"/>
      <c r="J115" s="50"/>
      <c r="K115" s="62"/>
      <c r="L115" s="50"/>
      <c r="M115" s="63" t="s">
        <v>122</v>
      </c>
      <c r="N115" s="125" t="s">
        <v>123</v>
      </c>
      <c r="O115" s="50"/>
      <c r="P115" s="38"/>
      <c r="Q115" s="29"/>
      <c r="R115" s="29" t="s">
        <v>124</v>
      </c>
      <c r="S115" s="30"/>
      <c r="T115" s="18"/>
      <c r="U115" s="19"/>
      <c r="V115" s="19"/>
      <c r="W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c r="BG115" s="19"/>
      <c r="BH115" s="19"/>
      <c r="BI115" s="19"/>
      <c r="BJ115" s="19"/>
      <c r="BK115" s="19"/>
      <c r="BL115" s="19"/>
      <c r="BM115" s="19"/>
      <c r="BN115" s="19"/>
      <c r="BO115" s="19"/>
      <c r="BP115" s="19"/>
      <c r="BQ115" s="19"/>
      <c r="BR115" s="19"/>
      <c r="BS115" s="19"/>
      <c r="BT115" s="19"/>
      <c r="BU115" s="19"/>
      <c r="BV115" s="19"/>
      <c r="BW115" s="19"/>
      <c r="BX115" s="19"/>
      <c r="BY115" s="19"/>
      <c r="BZ115" s="19"/>
      <c r="CA115" s="19"/>
      <c r="CB115" s="19"/>
      <c r="CC115" s="19"/>
      <c r="CD115" s="19"/>
      <c r="CE115" s="19"/>
      <c r="CF115" s="19"/>
      <c r="CG115" s="19"/>
      <c r="CH115" s="19"/>
      <c r="CI115" s="19"/>
      <c r="CJ115" s="19"/>
      <c r="CK115" s="19"/>
      <c r="CL115" s="19"/>
      <c r="CM115" s="19"/>
      <c r="CN115" s="19"/>
      <c r="CO115" s="19"/>
      <c r="CP115" s="19"/>
      <c r="CQ115" s="19"/>
      <c r="CR115" s="19"/>
      <c r="CS115" s="19"/>
      <c r="CT115" s="19"/>
      <c r="CU115" s="19"/>
      <c r="CV115" s="19"/>
      <c r="CW115" s="19"/>
      <c r="CX115" s="19"/>
      <c r="CY115" s="19"/>
      <c r="CZ115" s="19"/>
      <c r="DA115" s="19"/>
      <c r="DB115" s="19"/>
      <c r="DC115" s="19"/>
      <c r="DD115" s="19"/>
      <c r="DE115" s="19"/>
      <c r="DF115" s="19"/>
      <c r="DG115" s="19"/>
      <c r="DH115" s="19"/>
      <c r="DI115" s="19"/>
      <c r="DJ115" s="19"/>
      <c r="DK115" s="19"/>
      <c r="DL115" s="19"/>
      <c r="DM115" s="19"/>
      <c r="DN115" s="19"/>
      <c r="DO115" s="19"/>
      <c r="DP115" s="19"/>
      <c r="DQ115" s="19"/>
      <c r="DR115" s="19"/>
      <c r="DS115" s="19"/>
      <c r="DT115" s="19"/>
      <c r="DU115" s="19"/>
      <c r="DV115" s="19"/>
      <c r="DW115" s="19"/>
      <c r="DX115" s="19"/>
      <c r="DY115" s="19"/>
      <c r="DZ115" s="19"/>
      <c r="EA115" s="19"/>
      <c r="EB115" s="19"/>
      <c r="EC115" s="19"/>
      <c r="ED115" s="19"/>
      <c r="EE115" s="19"/>
      <c r="EF115" s="19"/>
      <c r="EG115" s="19"/>
      <c r="EH115" s="19"/>
      <c r="EI115" s="19"/>
      <c r="EJ115" s="19"/>
      <c r="EK115" s="19"/>
      <c r="EL115" s="19"/>
      <c r="EM115" s="19"/>
      <c r="EN115" s="19"/>
      <c r="EO115" s="19"/>
      <c r="EP115" s="19"/>
      <c r="EQ115" s="19"/>
      <c r="ER115" s="19"/>
      <c r="ES115" s="19"/>
      <c r="ET115" s="19"/>
      <c r="EU115" s="19"/>
      <c r="EV115" s="19"/>
      <c r="EW115" s="19"/>
      <c r="EX115" s="19"/>
      <c r="EY115" s="19"/>
      <c r="EZ115" s="19"/>
      <c r="FA115" s="19"/>
      <c r="FB115" s="19"/>
      <c r="FC115" s="19"/>
      <c r="FD115" s="19"/>
      <c r="FE115" s="19"/>
      <c r="FF115" s="19"/>
      <c r="FG115" s="19"/>
      <c r="FH115" s="19"/>
      <c r="FI115" s="19"/>
    </row>
    <row r="116" spans="1:166" x14ac:dyDescent="0.25">
      <c r="A116" s="49"/>
      <c r="B116" s="49"/>
      <c r="C116" s="49"/>
      <c r="D116" s="39"/>
      <c r="E116" s="49" t="s">
        <v>125</v>
      </c>
      <c r="F116" s="49" t="s">
        <v>126</v>
      </c>
      <c r="G116" s="42"/>
      <c r="H116" s="13"/>
      <c r="I116" s="31"/>
      <c r="J116" s="49"/>
      <c r="K116" s="49"/>
      <c r="L116" s="49"/>
      <c r="M116" s="39"/>
      <c r="N116" s="49" t="s">
        <v>125</v>
      </c>
      <c r="O116" s="49" t="s">
        <v>126</v>
      </c>
      <c r="P116" s="42"/>
      <c r="Q116" s="29"/>
      <c r="R116" s="29" t="s">
        <v>127</v>
      </c>
      <c r="S116" s="30"/>
      <c r="T116" s="18" t="s">
        <v>128</v>
      </c>
      <c r="U116" s="19" t="s">
        <v>127</v>
      </c>
      <c r="V116" s="19"/>
      <c r="W116" s="19"/>
      <c r="X116" s="103" t="s">
        <v>129</v>
      </c>
      <c r="Y116" s="64" t="s">
        <v>130</v>
      </c>
      <c r="Z116" s="64" t="s">
        <v>131</v>
      </c>
      <c r="AA116" s="102" t="s">
        <v>132</v>
      </c>
      <c r="AB116" s="102" t="s">
        <v>123</v>
      </c>
      <c r="AC116" s="102" t="s">
        <v>133</v>
      </c>
      <c r="AD116" s="102" t="s">
        <v>134</v>
      </c>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c r="BF116" s="19"/>
      <c r="BG116" s="19"/>
      <c r="BH116" s="19"/>
      <c r="BI116" s="19"/>
      <c r="BJ116" s="19"/>
      <c r="BK116" s="19"/>
      <c r="BL116" s="19"/>
      <c r="BM116" s="19"/>
      <c r="BN116" s="19"/>
      <c r="BO116" s="19"/>
      <c r="BP116" s="19"/>
      <c r="BQ116" s="19"/>
      <c r="BR116" s="19"/>
      <c r="BS116" s="19"/>
      <c r="BT116" s="19"/>
      <c r="BU116" s="19"/>
      <c r="BV116" s="19"/>
      <c r="BW116" s="19"/>
      <c r="BX116" s="19"/>
      <c r="BY116" s="19"/>
      <c r="BZ116" s="19"/>
      <c r="CA116" s="19"/>
      <c r="CB116" s="19"/>
      <c r="CC116" s="19"/>
      <c r="CD116" s="19"/>
      <c r="CE116" s="19"/>
      <c r="CF116" s="19"/>
      <c r="CG116" s="19"/>
      <c r="CH116" s="19"/>
      <c r="CI116" s="19"/>
      <c r="CJ116" s="19"/>
      <c r="CK116" s="19"/>
      <c r="CL116" s="19"/>
      <c r="CM116" s="19"/>
      <c r="CN116" s="19"/>
      <c r="CO116" s="19"/>
      <c r="CP116" s="19"/>
      <c r="CQ116" s="19"/>
      <c r="CR116" s="19"/>
      <c r="CS116" s="19"/>
      <c r="CT116" s="19"/>
      <c r="CU116" s="19"/>
      <c r="CV116" s="19"/>
      <c r="CW116" s="19"/>
      <c r="CX116" s="19"/>
      <c r="CY116" s="19"/>
      <c r="CZ116" s="19"/>
      <c r="DA116" s="19"/>
      <c r="DB116" s="19"/>
      <c r="DC116" s="19"/>
      <c r="DD116" s="19"/>
      <c r="DE116" s="19"/>
      <c r="DF116" s="19"/>
      <c r="DG116" s="19"/>
      <c r="DH116" s="19"/>
      <c r="DI116" s="19"/>
      <c r="DJ116" s="19"/>
      <c r="DK116" s="19"/>
      <c r="DL116" s="19"/>
      <c r="DM116" s="19"/>
      <c r="DN116" s="19"/>
      <c r="DO116" s="19"/>
      <c r="DP116" s="19"/>
      <c r="DQ116" s="19"/>
      <c r="DR116" s="19"/>
      <c r="DS116" s="19"/>
      <c r="DT116" s="19"/>
      <c r="DU116" s="19"/>
      <c r="DV116" s="19"/>
      <c r="DW116" s="19"/>
      <c r="DX116" s="19"/>
      <c r="DY116" s="19"/>
      <c r="DZ116" s="19"/>
      <c r="EA116" s="19"/>
      <c r="EB116" s="19"/>
      <c r="EC116" s="19"/>
      <c r="ED116" s="19"/>
      <c r="EE116" s="19"/>
      <c r="EF116" s="19"/>
      <c r="EG116" s="19"/>
      <c r="EH116" s="19"/>
      <c r="EI116" s="19"/>
      <c r="EJ116" s="19"/>
      <c r="EK116" s="19"/>
      <c r="EL116" s="19"/>
      <c r="EM116" s="19"/>
      <c r="EN116" s="19"/>
      <c r="EO116" s="19"/>
      <c r="EP116" s="19"/>
      <c r="EQ116" s="19"/>
      <c r="ER116" s="19"/>
      <c r="ES116" s="19"/>
      <c r="ET116" s="19"/>
      <c r="EU116" s="19"/>
      <c r="EV116" s="19"/>
      <c r="EW116" s="19"/>
      <c r="EX116" s="19"/>
      <c r="EY116" s="19"/>
      <c r="EZ116" s="19"/>
      <c r="FA116" s="19"/>
      <c r="FB116" s="19"/>
      <c r="FC116" s="19"/>
      <c r="FD116" s="19"/>
      <c r="FE116" s="19"/>
      <c r="FF116" s="19"/>
      <c r="FG116" s="19"/>
      <c r="FH116" s="19"/>
      <c r="FI116" s="19"/>
      <c r="FJ116" s="19"/>
    </row>
    <row r="117" spans="1:166" x14ac:dyDescent="0.25">
      <c r="A117" s="49"/>
      <c r="B117" s="49"/>
      <c r="C117" s="49"/>
      <c r="D117" s="32" t="s">
        <v>135</v>
      </c>
      <c r="E117" s="1">
        <v>2.6</v>
      </c>
      <c r="F117" s="1">
        <v>2.6</v>
      </c>
      <c r="G117" s="42" t="s">
        <v>136</v>
      </c>
      <c r="H117" s="13"/>
      <c r="I117" s="48">
        <v>1</v>
      </c>
      <c r="J117" s="29"/>
      <c r="K117" s="49"/>
      <c r="L117" s="49"/>
      <c r="M117" s="32" t="s">
        <v>135</v>
      </c>
      <c r="N117" s="117">
        <f ca="1">INDIRECT("MOSFET_Selection["&amp;$N$115&amp;"]") OFFSET(INDIRECT("MOSFET_Selection[[#Headers], ["&amp;$N$115&amp;"]]"),$I117,)</f>
        <v>3.55</v>
      </c>
      <c r="O117" s="117">
        <f ca="1">INDIRECT("MOSFET_Selection["&amp;$N$115&amp;"]") OFFSET(INDIRECT("MOSFET_Selection[[#Headers], ["&amp;$N$115&amp;"]]"),$I117,)</f>
        <v>3.55</v>
      </c>
      <c r="P117" s="42" t="s">
        <v>136</v>
      </c>
      <c r="Q117" s="29"/>
      <c r="R117" s="85">
        <f>IF(OR($H$3=$E$3,R116="Yes"),0,1)</f>
        <v>1</v>
      </c>
      <c r="S117" s="30"/>
      <c r="T117" s="18"/>
      <c r="U117" s="19"/>
      <c r="V117" s="19"/>
      <c r="W117" s="19"/>
      <c r="X117" s="32" t="s">
        <v>135</v>
      </c>
      <c r="Y117" s="118">
        <v>8.6</v>
      </c>
      <c r="Z117" s="119">
        <v>2.1</v>
      </c>
      <c r="AA117" s="119">
        <v>4.0999999999999996</v>
      </c>
      <c r="AB117" s="119">
        <v>3.55</v>
      </c>
      <c r="AC117" s="119">
        <v>8</v>
      </c>
      <c r="AD117" s="42" t="s">
        <v>136</v>
      </c>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c r="BP117" s="19"/>
      <c r="BQ117" s="19"/>
      <c r="BR117" s="19"/>
      <c r="BS117" s="19"/>
      <c r="BT117" s="19"/>
      <c r="BU117" s="19"/>
      <c r="BV117" s="19"/>
      <c r="BW117" s="19"/>
      <c r="BX117" s="19"/>
      <c r="BY117" s="19"/>
      <c r="BZ117" s="19"/>
      <c r="CA117" s="19"/>
      <c r="CB117" s="19"/>
      <c r="CC117" s="19"/>
      <c r="CD117" s="19"/>
      <c r="CE117" s="19"/>
      <c r="CF117" s="19"/>
      <c r="CG117" s="19"/>
      <c r="CH117" s="19"/>
      <c r="CI117" s="19"/>
      <c r="CJ117" s="19"/>
      <c r="CK117" s="19"/>
      <c r="CL117" s="19"/>
      <c r="CM117" s="19"/>
      <c r="CN117" s="19"/>
      <c r="CO117" s="19"/>
      <c r="CP117" s="19"/>
      <c r="CQ117" s="19"/>
      <c r="CR117" s="19"/>
      <c r="CS117" s="19"/>
      <c r="CT117" s="19"/>
      <c r="CU117" s="19"/>
      <c r="CV117" s="19"/>
      <c r="CW117" s="19"/>
      <c r="CX117" s="19"/>
      <c r="CY117" s="19"/>
      <c r="CZ117" s="19"/>
      <c r="DA117" s="19"/>
      <c r="DB117" s="19"/>
      <c r="DC117" s="19"/>
      <c r="DD117" s="19"/>
      <c r="DE117" s="19"/>
      <c r="DF117" s="19"/>
      <c r="DG117" s="19"/>
      <c r="DH117" s="19"/>
      <c r="DI117" s="19"/>
      <c r="DJ117" s="19"/>
      <c r="DK117" s="19"/>
      <c r="DL117" s="19"/>
      <c r="DM117" s="19"/>
      <c r="DN117" s="19"/>
      <c r="DO117" s="19"/>
      <c r="DP117" s="19"/>
      <c r="DQ117" s="19"/>
      <c r="DR117" s="19"/>
      <c r="DS117" s="19"/>
      <c r="DT117" s="19"/>
      <c r="DU117" s="19"/>
      <c r="DV117" s="19"/>
      <c r="DW117" s="19"/>
      <c r="DX117" s="19"/>
      <c r="DY117" s="19"/>
      <c r="DZ117" s="19"/>
      <c r="EA117" s="19"/>
      <c r="EB117" s="19"/>
      <c r="EC117" s="19"/>
      <c r="ED117" s="19"/>
      <c r="EE117" s="19"/>
      <c r="EF117" s="19"/>
      <c r="EG117" s="19"/>
      <c r="EH117" s="19"/>
      <c r="EI117" s="19"/>
      <c r="EJ117" s="19"/>
      <c r="EK117" s="19"/>
      <c r="EL117" s="19"/>
      <c r="EM117" s="19"/>
      <c r="EN117" s="19"/>
      <c r="EO117" s="19"/>
      <c r="EP117" s="19"/>
      <c r="EQ117" s="19"/>
      <c r="ER117" s="19"/>
      <c r="ES117" s="19"/>
      <c r="ET117" s="19"/>
      <c r="EU117" s="19"/>
      <c r="EV117" s="19"/>
      <c r="EW117" s="19"/>
      <c r="EX117" s="19"/>
      <c r="EY117" s="19"/>
      <c r="EZ117" s="19"/>
      <c r="FA117" s="19"/>
      <c r="FB117" s="19"/>
      <c r="FC117" s="19"/>
      <c r="FD117" s="19"/>
      <c r="FE117" s="19"/>
      <c r="FF117" s="19"/>
      <c r="FG117" s="19"/>
      <c r="FH117" s="19"/>
      <c r="FI117" s="19"/>
      <c r="FJ117" s="19"/>
    </row>
    <row r="118" spans="1:166" x14ac:dyDescent="0.25">
      <c r="A118" s="49"/>
      <c r="B118" s="49"/>
      <c r="C118" s="49"/>
      <c r="D118" s="32" t="s">
        <v>137</v>
      </c>
      <c r="E118" s="1">
        <v>1.8</v>
      </c>
      <c r="F118" s="1">
        <v>1.8</v>
      </c>
      <c r="G118" s="42" t="s">
        <v>136</v>
      </c>
      <c r="H118" s="13"/>
      <c r="I118" s="48">
        <v>2</v>
      </c>
      <c r="J118" s="29"/>
      <c r="K118" s="49"/>
      <c r="L118" s="49"/>
      <c r="M118" s="32" t="s">
        <v>137</v>
      </c>
      <c r="N118" s="117">
        <f ca="1">INDIRECT("MOSFET_Selection["&amp;$N$115&amp;"]") OFFSET(INDIRECT("MOSFET_Selection[[#Headers], ["&amp;$N$115&amp;"]]"),$I118,)</f>
        <v>2.8</v>
      </c>
      <c r="O118" s="117">
        <f ca="1">INDIRECT("MOSFET_Selection["&amp;$N$115&amp;"]") OFFSET(INDIRECT("MOSFET_Selection[[#Headers], ["&amp;$N$115&amp;"]]"),$I118,)</f>
        <v>2.8</v>
      </c>
      <c r="P118" s="42" t="s">
        <v>136</v>
      </c>
      <c r="Q118" s="29"/>
      <c r="R118" s="29"/>
      <c r="S118" s="30"/>
      <c r="T118" s="18"/>
      <c r="U118" s="19"/>
      <c r="V118" s="19"/>
      <c r="W118" s="19"/>
      <c r="X118" s="32" t="s">
        <v>137</v>
      </c>
      <c r="Y118" s="119">
        <v>5.7</v>
      </c>
      <c r="Z118" s="119">
        <v>1.9</v>
      </c>
      <c r="AA118" s="119">
        <v>2.9</v>
      </c>
      <c r="AB118" s="119">
        <v>2.8</v>
      </c>
      <c r="AC118" s="119">
        <v>6.5</v>
      </c>
      <c r="AD118" s="42" t="s">
        <v>136</v>
      </c>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c r="BP118" s="19"/>
      <c r="BQ118" s="19"/>
      <c r="BR118" s="19"/>
      <c r="BS118" s="19"/>
      <c r="BT118" s="19"/>
      <c r="BU118" s="19"/>
      <c r="BV118" s="19"/>
      <c r="BW118" s="19"/>
      <c r="BX118" s="19"/>
      <c r="BY118" s="19"/>
      <c r="BZ118" s="19"/>
      <c r="CA118" s="19"/>
      <c r="CB118" s="19"/>
      <c r="CC118" s="19"/>
      <c r="CD118" s="19"/>
      <c r="CE118" s="19"/>
      <c r="CF118" s="19"/>
      <c r="CG118" s="19"/>
      <c r="CH118" s="19"/>
      <c r="CI118" s="19"/>
      <c r="CJ118" s="19"/>
      <c r="CK118" s="19"/>
      <c r="CL118" s="19"/>
      <c r="CM118" s="19"/>
      <c r="CN118" s="19"/>
      <c r="CO118" s="19"/>
      <c r="CP118" s="19"/>
      <c r="CQ118" s="19"/>
      <c r="CR118" s="19"/>
      <c r="CS118" s="19"/>
      <c r="CT118" s="19"/>
      <c r="CU118" s="19"/>
      <c r="CV118" s="19"/>
      <c r="CW118" s="19"/>
      <c r="CX118" s="19"/>
      <c r="CY118" s="19"/>
      <c r="CZ118" s="19"/>
      <c r="DA118" s="19"/>
      <c r="DB118" s="19"/>
      <c r="DC118" s="19"/>
      <c r="DD118" s="19"/>
      <c r="DE118" s="19"/>
      <c r="DF118" s="19"/>
      <c r="DG118" s="19"/>
      <c r="DH118" s="19"/>
      <c r="DI118" s="19"/>
      <c r="DJ118" s="19"/>
      <c r="DK118" s="19"/>
      <c r="DL118" s="19"/>
      <c r="DM118" s="19"/>
      <c r="DN118" s="19"/>
      <c r="DO118" s="19"/>
      <c r="DP118" s="19"/>
      <c r="DQ118" s="19"/>
      <c r="DR118" s="19"/>
      <c r="DS118" s="19"/>
      <c r="DT118" s="19"/>
      <c r="DU118" s="19"/>
      <c r="DV118" s="19"/>
      <c r="DW118" s="19"/>
      <c r="DX118" s="19"/>
      <c r="DY118" s="19"/>
      <c r="DZ118" s="19"/>
      <c r="EA118" s="19"/>
      <c r="EB118" s="19"/>
      <c r="EC118" s="19"/>
      <c r="ED118" s="19"/>
      <c r="EE118" s="19"/>
      <c r="EF118" s="19"/>
      <c r="EG118" s="19"/>
      <c r="EH118" s="19"/>
      <c r="EI118" s="19"/>
      <c r="EJ118" s="19"/>
      <c r="EK118" s="19"/>
      <c r="EL118" s="19"/>
      <c r="EM118" s="19"/>
      <c r="EN118" s="19"/>
      <c r="EO118" s="19"/>
      <c r="EP118" s="19"/>
      <c r="EQ118" s="19"/>
      <c r="ER118" s="19"/>
      <c r="ES118" s="19"/>
      <c r="ET118" s="19"/>
      <c r="EU118" s="19"/>
      <c r="EV118" s="19"/>
      <c r="EW118" s="19"/>
      <c r="EX118" s="19"/>
      <c r="EY118" s="19"/>
      <c r="EZ118" s="19"/>
      <c r="FA118" s="19"/>
      <c r="FB118" s="19"/>
      <c r="FC118" s="19"/>
      <c r="FD118" s="19"/>
      <c r="FE118" s="19"/>
      <c r="FF118" s="19"/>
      <c r="FG118" s="19"/>
      <c r="FH118" s="19"/>
      <c r="FI118" s="19"/>
      <c r="FJ118" s="19"/>
    </row>
    <row r="119" spans="1:166" x14ac:dyDescent="0.25">
      <c r="A119" s="49"/>
      <c r="B119" s="49"/>
      <c r="C119" s="49"/>
      <c r="D119" s="32" t="s">
        <v>138</v>
      </c>
      <c r="E119" s="2">
        <v>1.7</v>
      </c>
      <c r="F119" s="2">
        <v>1.7</v>
      </c>
      <c r="G119" s="42" t="s">
        <v>136</v>
      </c>
      <c r="H119" s="13"/>
      <c r="I119" s="48"/>
      <c r="J119" s="29"/>
      <c r="K119" s="49"/>
      <c r="L119" s="49"/>
      <c r="M119" s="32" t="s">
        <v>138</v>
      </c>
      <c r="N119" s="2"/>
      <c r="O119" s="2"/>
      <c r="P119" s="42" t="s">
        <v>136</v>
      </c>
      <c r="Q119" s="29"/>
      <c r="R119" s="29"/>
      <c r="S119" s="30"/>
      <c r="T119" s="18"/>
      <c r="U119" s="19"/>
      <c r="V119" s="19"/>
      <c r="W119" s="19"/>
      <c r="X119" s="32" t="s">
        <v>138</v>
      </c>
      <c r="Y119" s="119"/>
      <c r="Z119" s="119"/>
      <c r="AA119" s="119"/>
      <c r="AB119" s="119"/>
      <c r="AC119" s="119"/>
      <c r="AD119" s="42" t="s">
        <v>136</v>
      </c>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c r="BP119" s="19"/>
      <c r="BQ119" s="19"/>
      <c r="BR119" s="19"/>
      <c r="BS119" s="19"/>
      <c r="BT119" s="19"/>
      <c r="BU119" s="19"/>
      <c r="BV119" s="19"/>
      <c r="BW119" s="19"/>
      <c r="BX119" s="19"/>
      <c r="BY119" s="19"/>
      <c r="BZ119" s="19"/>
      <c r="CA119" s="19"/>
      <c r="CB119" s="19"/>
      <c r="CC119" s="19"/>
      <c r="CD119" s="19"/>
      <c r="CE119" s="19"/>
      <c r="CF119" s="19"/>
      <c r="CG119" s="19"/>
      <c r="CH119" s="19"/>
      <c r="CI119" s="19"/>
      <c r="CJ119" s="19"/>
      <c r="CK119" s="19"/>
      <c r="CL119" s="19"/>
      <c r="CM119" s="19"/>
      <c r="CN119" s="19"/>
      <c r="CO119" s="19"/>
      <c r="CP119" s="19"/>
      <c r="CQ119" s="19"/>
      <c r="CR119" s="19"/>
      <c r="CS119" s="19"/>
      <c r="CT119" s="19"/>
      <c r="CU119" s="19"/>
      <c r="CV119" s="19"/>
      <c r="CW119" s="19"/>
      <c r="CX119" s="19"/>
      <c r="CY119" s="19"/>
      <c r="CZ119" s="19"/>
      <c r="DA119" s="19"/>
      <c r="DB119" s="19"/>
      <c r="DC119" s="19"/>
      <c r="DD119" s="19"/>
      <c r="DE119" s="19"/>
      <c r="DF119" s="19"/>
      <c r="DG119" s="19"/>
      <c r="DH119" s="19"/>
      <c r="DI119" s="19"/>
      <c r="DJ119" s="19"/>
      <c r="DK119" s="19"/>
      <c r="DL119" s="19"/>
      <c r="DM119" s="19"/>
      <c r="DN119" s="19"/>
      <c r="DO119" s="19"/>
      <c r="DP119" s="19"/>
      <c r="DQ119" s="19"/>
      <c r="DR119" s="19"/>
      <c r="DS119" s="19"/>
      <c r="DT119" s="19"/>
      <c r="DU119" s="19"/>
      <c r="DV119" s="19"/>
      <c r="DW119" s="19"/>
      <c r="DX119" s="19"/>
      <c r="DY119" s="19"/>
      <c r="DZ119" s="19"/>
      <c r="EA119" s="19"/>
      <c r="EB119" s="19"/>
      <c r="EC119" s="19"/>
      <c r="ED119" s="19"/>
      <c r="EE119" s="19"/>
      <c r="EF119" s="19"/>
      <c r="EG119" s="19"/>
      <c r="EH119" s="19"/>
      <c r="EI119" s="19"/>
      <c r="EJ119" s="19"/>
      <c r="EK119" s="19"/>
      <c r="EL119" s="19"/>
      <c r="EM119" s="19"/>
      <c r="EN119" s="19"/>
      <c r="EO119" s="19"/>
      <c r="EP119" s="19"/>
      <c r="EQ119" s="19"/>
      <c r="ER119" s="19"/>
      <c r="ES119" s="19"/>
      <c r="ET119" s="19"/>
      <c r="EU119" s="19"/>
      <c r="EV119" s="19"/>
      <c r="EW119" s="19"/>
      <c r="EX119" s="19"/>
      <c r="EY119" s="19"/>
      <c r="EZ119" s="19"/>
      <c r="FA119" s="19"/>
      <c r="FB119" s="19"/>
      <c r="FC119" s="19"/>
      <c r="FD119" s="19"/>
      <c r="FE119" s="19"/>
      <c r="FF119" s="19"/>
      <c r="FG119" s="19"/>
      <c r="FH119" s="19"/>
      <c r="FI119" s="19"/>
      <c r="FJ119" s="19"/>
    </row>
    <row r="120" spans="1:166" x14ac:dyDescent="0.25">
      <c r="A120" s="49"/>
      <c r="B120" s="49"/>
      <c r="C120" s="49"/>
      <c r="D120" s="32" t="s">
        <v>139</v>
      </c>
      <c r="E120" s="2">
        <v>20</v>
      </c>
      <c r="F120" s="2">
        <v>20</v>
      </c>
      <c r="G120" s="42" t="s">
        <v>140</v>
      </c>
      <c r="H120" s="13"/>
      <c r="I120" s="48">
        <v>4</v>
      </c>
      <c r="J120" s="29"/>
      <c r="K120" s="49"/>
      <c r="L120" s="49"/>
      <c r="M120" s="32" t="s">
        <v>139</v>
      </c>
      <c r="N120" s="117">
        <f ca="1">INDIRECT("MOSFET_Selection["&amp;$N$115&amp;"]") OFFSET(INDIRECT("MOSFET_Selection[[#Headers], ["&amp;$N$115&amp;"]]"),$I120,)</f>
        <v>40.5</v>
      </c>
      <c r="O120" s="117">
        <f ca="1">INDIRECT("MOSFET_Selection["&amp;$N$115&amp;"]") OFFSET(INDIRECT("MOSFET_Selection[[#Headers], ["&amp;$N$115&amp;"]]"),$I120,)</f>
        <v>40.5</v>
      </c>
      <c r="P120" s="42" t="s">
        <v>140</v>
      </c>
      <c r="Q120" s="29"/>
      <c r="R120" s="29"/>
      <c r="S120" s="30"/>
      <c r="T120" s="18"/>
      <c r="U120" s="19"/>
      <c r="V120" s="19"/>
      <c r="W120" s="19"/>
      <c r="X120" s="32" t="s">
        <v>139</v>
      </c>
      <c r="Y120" s="119">
        <v>7.3</v>
      </c>
      <c r="Z120" s="119">
        <v>14</v>
      </c>
      <c r="AA120" s="119">
        <v>25</v>
      </c>
      <c r="AB120" s="119">
        <v>40.5</v>
      </c>
      <c r="AC120" s="119">
        <v>19.5</v>
      </c>
      <c r="AD120" s="42" t="s">
        <v>140</v>
      </c>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c r="BP120" s="19"/>
      <c r="BQ120" s="19"/>
      <c r="BR120" s="19"/>
      <c r="BS120" s="19"/>
      <c r="BT120" s="19"/>
      <c r="BU120" s="19"/>
      <c r="BV120" s="19"/>
      <c r="BW120" s="19"/>
      <c r="BX120" s="19"/>
      <c r="BY120" s="19"/>
      <c r="BZ120" s="19"/>
      <c r="CA120" s="19"/>
      <c r="CB120" s="19"/>
      <c r="CC120" s="19"/>
      <c r="CD120" s="19"/>
      <c r="CE120" s="19"/>
      <c r="CF120" s="19"/>
      <c r="CG120" s="19"/>
      <c r="CH120" s="19"/>
      <c r="CI120" s="19"/>
      <c r="CJ120" s="19"/>
      <c r="CK120" s="19"/>
      <c r="CL120" s="19"/>
      <c r="CM120" s="19"/>
      <c r="CN120" s="19"/>
      <c r="CO120" s="19"/>
      <c r="CP120" s="19"/>
      <c r="CQ120" s="19"/>
      <c r="CR120" s="19"/>
      <c r="CS120" s="19"/>
      <c r="CT120" s="19"/>
      <c r="CU120" s="19"/>
      <c r="CV120" s="19"/>
      <c r="CW120" s="19"/>
      <c r="CX120" s="19"/>
      <c r="CY120" s="19"/>
      <c r="CZ120" s="19"/>
      <c r="DA120" s="19"/>
      <c r="DB120" s="19"/>
      <c r="DC120" s="19"/>
      <c r="DD120" s="19"/>
      <c r="DE120" s="19"/>
      <c r="DF120" s="19"/>
      <c r="DG120" s="19"/>
      <c r="DH120" s="19"/>
      <c r="DI120" s="19"/>
      <c r="DJ120" s="19"/>
      <c r="DK120" s="19"/>
      <c r="DL120" s="19"/>
      <c r="DM120" s="19"/>
      <c r="DN120" s="19"/>
      <c r="DO120" s="19"/>
      <c r="DP120" s="19"/>
      <c r="DQ120" s="19"/>
      <c r="DR120" s="19"/>
      <c r="DS120" s="19"/>
      <c r="DT120" s="19"/>
      <c r="DU120" s="19"/>
      <c r="DV120" s="19"/>
      <c r="DW120" s="19"/>
      <c r="DX120" s="19"/>
      <c r="DY120" s="19"/>
      <c r="DZ120" s="19"/>
      <c r="EA120" s="19"/>
      <c r="EB120" s="19"/>
      <c r="EC120" s="19"/>
      <c r="ED120" s="19"/>
      <c r="EE120" s="19"/>
      <c r="EF120" s="19"/>
      <c r="EG120" s="19"/>
      <c r="EH120" s="19"/>
      <c r="EI120" s="19"/>
      <c r="EJ120" s="19"/>
      <c r="EK120" s="19"/>
      <c r="EL120" s="19"/>
      <c r="EM120" s="19"/>
      <c r="EN120" s="19"/>
      <c r="EO120" s="19"/>
      <c r="EP120" s="19"/>
      <c r="EQ120" s="19"/>
      <c r="ER120" s="19"/>
      <c r="ES120" s="19"/>
      <c r="ET120" s="19"/>
      <c r="EU120" s="19"/>
      <c r="EV120" s="19"/>
      <c r="EW120" s="19"/>
      <c r="EX120" s="19"/>
      <c r="EY120" s="19"/>
      <c r="EZ120" s="19"/>
      <c r="FA120" s="19"/>
      <c r="FB120" s="19"/>
      <c r="FC120" s="19"/>
      <c r="FD120" s="19"/>
      <c r="FE120" s="19"/>
      <c r="FF120" s="19"/>
      <c r="FG120" s="19"/>
      <c r="FH120" s="19"/>
      <c r="FI120" s="19"/>
      <c r="FJ120" s="19"/>
    </row>
    <row r="121" spans="1:166" x14ac:dyDescent="0.25">
      <c r="A121" s="49"/>
      <c r="B121" s="49"/>
      <c r="C121" s="49"/>
      <c r="D121" s="32" t="s">
        <v>141</v>
      </c>
      <c r="E121" s="2">
        <v>41</v>
      </c>
      <c r="F121" s="2">
        <v>41</v>
      </c>
      <c r="G121" s="42" t="s">
        <v>140</v>
      </c>
      <c r="H121" s="13"/>
      <c r="I121" s="48">
        <v>5</v>
      </c>
      <c r="J121" s="29"/>
      <c r="K121" s="49"/>
      <c r="L121" s="49"/>
      <c r="M121" s="32" t="s">
        <v>141</v>
      </c>
      <c r="N121" s="117">
        <f ca="1">INDIRECT("MOSFET_Selection["&amp;$N$115&amp;"]") OFFSET(INDIRECT("MOSFET_Selection[[#Headers], ["&amp;$N$115&amp;"]]"),$I121,)</f>
        <v>90</v>
      </c>
      <c r="O121" s="117">
        <f ca="1">INDIRECT("MOSFET_Selection["&amp;$N$115&amp;"]") OFFSET(INDIRECT("MOSFET_Selection[[#Headers], ["&amp;$N$115&amp;"]]"),$I121,)</f>
        <v>90</v>
      </c>
      <c r="P121" s="42" t="s">
        <v>140</v>
      </c>
      <c r="Q121" s="29"/>
      <c r="R121" s="29"/>
      <c r="S121" s="30"/>
      <c r="T121" s="18"/>
      <c r="U121" s="19"/>
      <c r="V121" s="19"/>
      <c r="W121" s="19"/>
      <c r="X121" s="32" t="s">
        <v>141</v>
      </c>
      <c r="Y121" s="119">
        <v>15</v>
      </c>
      <c r="Z121" s="119"/>
      <c r="AA121" s="119">
        <v>51</v>
      </c>
      <c r="AB121" s="119">
        <v>90</v>
      </c>
      <c r="AC121" s="119">
        <v>43.5</v>
      </c>
      <c r="AD121" s="42" t="s">
        <v>140</v>
      </c>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c r="BP121" s="19"/>
      <c r="BQ121" s="19"/>
      <c r="BR121" s="19"/>
      <c r="BS121" s="19"/>
      <c r="BT121" s="19"/>
      <c r="BU121" s="19"/>
      <c r="BV121" s="19"/>
      <c r="BW121" s="19"/>
      <c r="BX121" s="19"/>
      <c r="BY121" s="19"/>
      <c r="BZ121" s="19"/>
      <c r="CA121" s="19"/>
      <c r="CB121" s="19"/>
      <c r="CC121" s="19"/>
      <c r="CD121" s="19"/>
      <c r="CE121" s="19"/>
      <c r="CF121" s="19"/>
      <c r="CG121" s="19"/>
      <c r="CH121" s="19"/>
      <c r="CI121" s="19"/>
      <c r="CJ121" s="19"/>
      <c r="CK121" s="19"/>
      <c r="CL121" s="19"/>
      <c r="CM121" s="19"/>
      <c r="CN121" s="19"/>
      <c r="CO121" s="19"/>
      <c r="CP121" s="19"/>
      <c r="CQ121" s="19"/>
      <c r="CR121" s="19"/>
      <c r="CS121" s="19"/>
      <c r="CT121" s="19"/>
      <c r="CU121" s="19"/>
      <c r="CV121" s="19"/>
      <c r="CW121" s="19"/>
      <c r="CX121" s="19"/>
      <c r="CY121" s="19"/>
      <c r="CZ121" s="19"/>
      <c r="DA121" s="19"/>
      <c r="DB121" s="19"/>
      <c r="DC121" s="19"/>
      <c r="DD121" s="19"/>
      <c r="DE121" s="19"/>
      <c r="DF121" s="19"/>
      <c r="DG121" s="19"/>
      <c r="DH121" s="19"/>
      <c r="DI121" s="19"/>
      <c r="DJ121" s="19"/>
      <c r="DK121" s="19"/>
      <c r="DL121" s="19"/>
      <c r="DM121" s="19"/>
      <c r="DN121" s="19"/>
      <c r="DO121" s="19"/>
      <c r="DP121" s="19"/>
      <c r="DQ121" s="19"/>
      <c r="DR121" s="19"/>
      <c r="DS121" s="19"/>
      <c r="DT121" s="19"/>
      <c r="DU121" s="19"/>
      <c r="DV121" s="19"/>
      <c r="DW121" s="19"/>
      <c r="DX121" s="19"/>
      <c r="DY121" s="19"/>
      <c r="DZ121" s="19"/>
      <c r="EA121" s="19"/>
      <c r="EB121" s="19"/>
      <c r="EC121" s="19"/>
      <c r="ED121" s="19"/>
      <c r="EE121" s="19"/>
      <c r="EF121" s="19"/>
      <c r="EG121" s="19"/>
      <c r="EH121" s="19"/>
      <c r="EI121" s="19"/>
      <c r="EJ121" s="19"/>
      <c r="EK121" s="19"/>
      <c r="EL121" s="19"/>
      <c r="EM121" s="19"/>
      <c r="EN121" s="19"/>
      <c r="EO121" s="19"/>
      <c r="EP121" s="19"/>
      <c r="EQ121" s="19"/>
      <c r="ER121" s="19"/>
      <c r="ES121" s="19"/>
      <c r="ET121" s="19"/>
      <c r="EU121" s="19"/>
      <c r="EV121" s="19"/>
      <c r="EW121" s="19"/>
      <c r="EX121" s="19"/>
      <c r="EY121" s="19"/>
      <c r="EZ121" s="19"/>
      <c r="FA121" s="19"/>
      <c r="FB121" s="19"/>
      <c r="FC121" s="19"/>
      <c r="FD121" s="19"/>
      <c r="FE121" s="19"/>
      <c r="FF121" s="19"/>
      <c r="FG121" s="19"/>
      <c r="FH121" s="19"/>
      <c r="FI121" s="19"/>
      <c r="FJ121" s="19"/>
    </row>
    <row r="122" spans="1:166" x14ac:dyDescent="0.25">
      <c r="A122" s="49"/>
      <c r="B122" s="49"/>
      <c r="C122" s="49"/>
      <c r="D122" s="32" t="s">
        <v>142</v>
      </c>
      <c r="E122" s="2">
        <v>48.6</v>
      </c>
      <c r="F122" s="2">
        <v>48.6</v>
      </c>
      <c r="G122" s="42" t="s">
        <v>140</v>
      </c>
      <c r="H122" s="13"/>
      <c r="I122" s="48"/>
      <c r="J122" s="29"/>
      <c r="K122" s="49"/>
      <c r="L122" s="49"/>
      <c r="M122" s="32" t="s">
        <v>142</v>
      </c>
      <c r="N122" s="2"/>
      <c r="O122" s="2"/>
      <c r="P122" s="42" t="s">
        <v>140</v>
      </c>
      <c r="Q122" s="29"/>
      <c r="R122" s="29"/>
      <c r="S122" s="30"/>
      <c r="T122" s="18"/>
      <c r="U122" s="19"/>
      <c r="V122" s="19"/>
      <c r="W122" s="19"/>
      <c r="X122" s="32" t="s">
        <v>142</v>
      </c>
      <c r="Y122" s="119"/>
      <c r="Z122" s="119"/>
      <c r="AA122" s="119"/>
      <c r="AB122" s="119"/>
      <c r="AC122" s="119"/>
      <c r="AD122" s="42" t="s">
        <v>140</v>
      </c>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c r="BP122" s="19"/>
      <c r="BQ122" s="19"/>
      <c r="BR122" s="19"/>
      <c r="BS122" s="19"/>
      <c r="BT122" s="19"/>
      <c r="BU122" s="19"/>
      <c r="BV122" s="19"/>
      <c r="BW122" s="19"/>
      <c r="BX122" s="19"/>
      <c r="BY122" s="19"/>
      <c r="BZ122" s="19"/>
      <c r="CA122" s="19"/>
      <c r="CB122" s="19"/>
      <c r="CC122" s="19"/>
      <c r="CD122" s="19"/>
      <c r="CE122" s="19"/>
      <c r="CF122" s="19"/>
      <c r="CG122" s="19"/>
      <c r="CH122" s="19"/>
      <c r="CI122" s="19"/>
      <c r="CJ122" s="19"/>
      <c r="CK122" s="19"/>
      <c r="CL122" s="19"/>
      <c r="CM122" s="19"/>
      <c r="CN122" s="19"/>
      <c r="CO122" s="19"/>
      <c r="CP122" s="19"/>
      <c r="CQ122" s="19"/>
      <c r="CR122" s="19"/>
      <c r="CS122" s="19"/>
      <c r="CT122" s="19"/>
      <c r="CU122" s="19"/>
      <c r="CV122" s="19"/>
      <c r="CW122" s="19"/>
      <c r="CX122" s="19"/>
      <c r="CY122" s="19"/>
      <c r="CZ122" s="19"/>
      <c r="DA122" s="19"/>
      <c r="DB122" s="19"/>
      <c r="DC122" s="19"/>
      <c r="DD122" s="19"/>
      <c r="DE122" s="19"/>
      <c r="DF122" s="19"/>
      <c r="DG122" s="19"/>
      <c r="DH122" s="19"/>
      <c r="DI122" s="19"/>
      <c r="DJ122" s="19"/>
      <c r="DK122" s="19"/>
      <c r="DL122" s="19"/>
      <c r="DM122" s="19"/>
      <c r="DN122" s="19"/>
      <c r="DO122" s="19"/>
      <c r="DP122" s="19"/>
      <c r="DQ122" s="19"/>
      <c r="DR122" s="19"/>
      <c r="DS122" s="19"/>
      <c r="DT122" s="19"/>
      <c r="DU122" s="19"/>
      <c r="DV122" s="19"/>
      <c r="DW122" s="19"/>
      <c r="DX122" s="19"/>
      <c r="DY122" s="19"/>
      <c r="DZ122" s="19"/>
      <c r="EA122" s="19"/>
      <c r="EB122" s="19"/>
      <c r="EC122" s="19"/>
      <c r="ED122" s="19"/>
      <c r="EE122" s="19"/>
      <c r="EF122" s="19"/>
      <c r="EG122" s="19"/>
      <c r="EH122" s="19"/>
      <c r="EI122" s="19"/>
      <c r="EJ122" s="19"/>
      <c r="EK122" s="19"/>
      <c r="EL122" s="19"/>
      <c r="EM122" s="19"/>
      <c r="EN122" s="19"/>
      <c r="EO122" s="19"/>
      <c r="EP122" s="19"/>
      <c r="EQ122" s="19"/>
      <c r="ER122" s="19"/>
      <c r="ES122" s="19"/>
      <c r="ET122" s="19"/>
      <c r="EU122" s="19"/>
      <c r="EV122" s="19"/>
      <c r="EW122" s="19"/>
      <c r="EX122" s="19"/>
      <c r="EY122" s="19"/>
      <c r="EZ122" s="19"/>
      <c r="FA122" s="19"/>
      <c r="FB122" s="19"/>
      <c r="FC122" s="19"/>
      <c r="FD122" s="19"/>
      <c r="FE122" s="19"/>
      <c r="FF122" s="19"/>
      <c r="FG122" s="19"/>
      <c r="FH122" s="19"/>
      <c r="FI122" s="19"/>
      <c r="FJ122" s="19"/>
    </row>
    <row r="123" spans="1:166" x14ac:dyDescent="0.25">
      <c r="A123" s="49"/>
      <c r="B123" s="49"/>
      <c r="C123" s="49"/>
      <c r="D123" s="32" t="s">
        <v>143</v>
      </c>
      <c r="E123" s="2">
        <v>6.7</v>
      </c>
      <c r="F123" s="2">
        <v>6.7</v>
      </c>
      <c r="G123" s="42" t="s">
        <v>140</v>
      </c>
      <c r="H123" s="13"/>
      <c r="I123" s="48">
        <v>7</v>
      </c>
      <c r="J123" s="29"/>
      <c r="K123" s="49"/>
      <c r="L123" s="49"/>
      <c r="M123" s="32" t="s">
        <v>143</v>
      </c>
      <c r="N123" s="117">
        <f ca="1">INDIRECT("MOSFET_Selection["&amp;$N$115&amp;"]") OFFSET(INDIRECT("MOSFET_Selection[[#Headers], ["&amp;$N$115&amp;"]]"),$I123,)</f>
        <v>8.8000000000000007</v>
      </c>
      <c r="O123" s="117">
        <f ca="1">INDIRECT("MOSFET_Selection["&amp;$N$115&amp;"]") OFFSET(INDIRECT("MOSFET_Selection[[#Headers], ["&amp;$N$115&amp;"]]"),$I123,)</f>
        <v>8.8000000000000007</v>
      </c>
      <c r="P123" s="42" t="s">
        <v>140</v>
      </c>
      <c r="Q123" s="29"/>
      <c r="R123" s="29"/>
      <c r="S123" s="30"/>
      <c r="T123" s="18"/>
      <c r="U123" s="19"/>
      <c r="V123" s="19"/>
      <c r="W123" s="19"/>
      <c r="X123" s="32" t="s">
        <v>143</v>
      </c>
      <c r="Y123" s="119">
        <v>2.9</v>
      </c>
      <c r="Z123" s="119">
        <v>2.5</v>
      </c>
      <c r="AA123" s="119">
        <v>8.5</v>
      </c>
      <c r="AB123" s="119">
        <v>8.8000000000000007</v>
      </c>
      <c r="AC123" s="119">
        <v>4</v>
      </c>
      <c r="AD123" s="42" t="s">
        <v>140</v>
      </c>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c r="BP123" s="19"/>
      <c r="BQ123" s="19"/>
      <c r="BR123" s="19"/>
      <c r="BS123" s="19"/>
      <c r="BT123" s="19"/>
      <c r="BU123" s="19"/>
      <c r="BV123" s="19"/>
      <c r="BW123" s="19"/>
      <c r="BX123" s="19"/>
      <c r="BY123" s="19"/>
      <c r="BZ123" s="19"/>
      <c r="CA123" s="19"/>
      <c r="CB123" s="19"/>
      <c r="CC123" s="19"/>
      <c r="CD123" s="19"/>
      <c r="CE123" s="19"/>
      <c r="CF123" s="19"/>
      <c r="CG123" s="19"/>
      <c r="CH123" s="19"/>
      <c r="CI123" s="19"/>
      <c r="CJ123" s="19"/>
      <c r="CK123" s="19"/>
      <c r="CL123" s="19"/>
      <c r="CM123" s="19"/>
      <c r="CN123" s="19"/>
      <c r="CO123" s="19"/>
      <c r="CP123" s="19"/>
      <c r="CQ123" s="19"/>
      <c r="CR123" s="19"/>
      <c r="CS123" s="19"/>
      <c r="CT123" s="19"/>
      <c r="CU123" s="19"/>
      <c r="CV123" s="19"/>
      <c r="CW123" s="19"/>
      <c r="CX123" s="19"/>
      <c r="CY123" s="19"/>
      <c r="CZ123" s="19"/>
      <c r="DA123" s="19"/>
      <c r="DB123" s="19"/>
      <c r="DC123" s="19"/>
      <c r="DD123" s="19"/>
      <c r="DE123" s="19"/>
      <c r="DF123" s="19"/>
      <c r="DG123" s="19"/>
      <c r="DH123" s="19"/>
      <c r="DI123" s="19"/>
      <c r="DJ123" s="19"/>
      <c r="DK123" s="19"/>
      <c r="DL123" s="19"/>
      <c r="DM123" s="19"/>
      <c r="DN123" s="19"/>
      <c r="DO123" s="19"/>
      <c r="DP123" s="19"/>
      <c r="DQ123" s="19"/>
      <c r="DR123" s="19"/>
      <c r="DS123" s="19"/>
      <c r="DT123" s="19"/>
      <c r="DU123" s="19"/>
      <c r="DV123" s="19"/>
      <c r="DW123" s="19"/>
      <c r="DX123" s="19"/>
      <c r="DY123" s="19"/>
      <c r="DZ123" s="19"/>
      <c r="EA123" s="19"/>
      <c r="EB123" s="19"/>
      <c r="EC123" s="19"/>
      <c r="ED123" s="19"/>
      <c r="EE123" s="19"/>
      <c r="EF123" s="19"/>
      <c r="EG123" s="19"/>
      <c r="EH123" s="19"/>
      <c r="EI123" s="19"/>
      <c r="EJ123" s="19"/>
      <c r="EK123" s="19"/>
      <c r="EL123" s="19"/>
      <c r="EM123" s="19"/>
      <c r="EN123" s="19"/>
      <c r="EO123" s="19"/>
      <c r="EP123" s="19"/>
      <c r="EQ123" s="19"/>
      <c r="ER123" s="19"/>
      <c r="ES123" s="19"/>
      <c r="ET123" s="19"/>
      <c r="EU123" s="19"/>
      <c r="EV123" s="19"/>
      <c r="EW123" s="19"/>
      <c r="EX123" s="19"/>
      <c r="EY123" s="19"/>
      <c r="EZ123" s="19"/>
      <c r="FA123" s="19"/>
      <c r="FB123" s="19"/>
      <c r="FC123" s="19"/>
      <c r="FD123" s="19"/>
      <c r="FE123" s="19"/>
      <c r="FF123" s="19"/>
      <c r="FG123" s="19"/>
      <c r="FH123" s="19"/>
      <c r="FI123" s="19"/>
      <c r="FJ123" s="19"/>
    </row>
    <row r="124" spans="1:166" x14ac:dyDescent="0.25">
      <c r="A124" s="49"/>
      <c r="B124" s="49"/>
      <c r="C124" s="49"/>
      <c r="D124" s="32" t="s">
        <v>144</v>
      </c>
      <c r="E124" s="2">
        <v>8.8000000000000007</v>
      </c>
      <c r="F124" s="2">
        <v>8.8000000000000007</v>
      </c>
      <c r="G124" s="42" t="s">
        <v>140</v>
      </c>
      <c r="H124" s="13"/>
      <c r="I124" s="48">
        <v>8</v>
      </c>
      <c r="J124" s="29"/>
      <c r="K124" s="49"/>
      <c r="L124" s="49"/>
      <c r="M124" s="32" t="s">
        <v>144</v>
      </c>
      <c r="N124" s="117">
        <f ca="1">INDIRECT("MOSFET_Selection["&amp;$N$115&amp;"]") OFFSET(INDIRECT("MOSFET_Selection[[#Headers], ["&amp;$N$115&amp;"]]"),$I124,)</f>
        <v>20</v>
      </c>
      <c r="O124" s="117">
        <f ca="1">INDIRECT("MOSFET_Selection["&amp;$N$115&amp;"]") OFFSET(INDIRECT("MOSFET_Selection[[#Headers], ["&amp;$N$115&amp;"]]"),$I124,)</f>
        <v>20</v>
      </c>
      <c r="P124" s="42" t="s">
        <v>140</v>
      </c>
      <c r="Q124" s="29"/>
      <c r="R124" s="29"/>
      <c r="S124" s="30"/>
      <c r="T124" s="18"/>
      <c r="U124" s="19"/>
      <c r="V124" s="19"/>
      <c r="W124" s="19"/>
      <c r="X124" s="32" t="s">
        <v>144</v>
      </c>
      <c r="Y124" s="119">
        <v>3.3</v>
      </c>
      <c r="Z124" s="119">
        <v>4</v>
      </c>
      <c r="AA124" s="119">
        <v>10</v>
      </c>
      <c r="AB124" s="119">
        <v>20</v>
      </c>
      <c r="AC124" s="119">
        <v>9.4</v>
      </c>
      <c r="AD124" s="42" t="s">
        <v>140</v>
      </c>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c r="BP124" s="19"/>
      <c r="BQ124" s="19"/>
      <c r="BR124" s="19"/>
      <c r="BS124" s="19"/>
      <c r="BT124" s="19"/>
      <c r="BU124" s="19"/>
      <c r="BV124" s="19"/>
      <c r="BW124" s="19"/>
      <c r="BX124" s="19"/>
      <c r="BY124" s="19"/>
      <c r="BZ124" s="19"/>
      <c r="CA124" s="19"/>
      <c r="CB124" s="19"/>
      <c r="CC124" s="19"/>
      <c r="CD124" s="19"/>
      <c r="CE124" s="19"/>
      <c r="CF124" s="19"/>
      <c r="CG124" s="19"/>
      <c r="CH124" s="19"/>
      <c r="CI124" s="19"/>
      <c r="CJ124" s="19"/>
      <c r="CK124" s="19"/>
      <c r="CL124" s="19"/>
      <c r="CM124" s="19"/>
      <c r="CN124" s="19"/>
      <c r="CO124" s="19"/>
      <c r="CP124" s="19"/>
      <c r="CQ124" s="19"/>
      <c r="CR124" s="19"/>
      <c r="CS124" s="19"/>
      <c r="CT124" s="19"/>
      <c r="CU124" s="19"/>
      <c r="CV124" s="19"/>
      <c r="CW124" s="19"/>
      <c r="CX124" s="19"/>
      <c r="CY124" s="19"/>
      <c r="CZ124" s="19"/>
      <c r="DA124" s="19"/>
      <c r="DB124" s="19"/>
      <c r="DC124" s="19"/>
      <c r="DD124" s="19"/>
      <c r="DE124" s="19"/>
      <c r="DF124" s="19"/>
      <c r="DG124" s="19"/>
      <c r="DH124" s="19"/>
      <c r="DI124" s="19"/>
      <c r="DJ124" s="19"/>
      <c r="DK124" s="19"/>
      <c r="DL124" s="19"/>
      <c r="DM124" s="19"/>
      <c r="DN124" s="19"/>
      <c r="DO124" s="19"/>
      <c r="DP124" s="19"/>
      <c r="DQ124" s="19"/>
      <c r="DR124" s="19"/>
      <c r="DS124" s="19"/>
      <c r="DT124" s="19"/>
      <c r="DU124" s="19"/>
      <c r="DV124" s="19"/>
      <c r="DW124" s="19"/>
      <c r="DX124" s="19"/>
      <c r="DY124" s="19"/>
      <c r="DZ124" s="19"/>
      <c r="EA124" s="19"/>
      <c r="EB124" s="19"/>
      <c r="EC124" s="19"/>
      <c r="ED124" s="19"/>
      <c r="EE124" s="19"/>
      <c r="EF124" s="19"/>
      <c r="EG124" s="19"/>
      <c r="EH124" s="19"/>
      <c r="EI124" s="19"/>
      <c r="EJ124" s="19"/>
      <c r="EK124" s="19"/>
      <c r="EL124" s="19"/>
      <c r="EM124" s="19"/>
      <c r="EN124" s="19"/>
      <c r="EO124" s="19"/>
      <c r="EP124" s="19"/>
      <c r="EQ124" s="19"/>
      <c r="ER124" s="19"/>
      <c r="ES124" s="19"/>
      <c r="ET124" s="19"/>
      <c r="EU124" s="19"/>
      <c r="EV124" s="19"/>
      <c r="EW124" s="19"/>
      <c r="EX124" s="19"/>
      <c r="EY124" s="19"/>
      <c r="EZ124" s="19"/>
      <c r="FA124" s="19"/>
      <c r="FB124" s="19"/>
      <c r="FC124" s="19"/>
      <c r="FD124" s="19"/>
      <c r="FE124" s="19"/>
      <c r="FF124" s="19"/>
      <c r="FG124" s="19"/>
      <c r="FH124" s="19"/>
      <c r="FI124" s="19"/>
      <c r="FJ124" s="19"/>
    </row>
    <row r="125" spans="1:166" x14ac:dyDescent="0.25">
      <c r="A125" s="49"/>
      <c r="B125" s="49"/>
      <c r="C125" s="49"/>
      <c r="D125" s="32" t="s">
        <v>145</v>
      </c>
      <c r="E125" s="2">
        <v>83</v>
      </c>
      <c r="F125" s="2">
        <v>83</v>
      </c>
      <c r="G125" s="42" t="s">
        <v>140</v>
      </c>
      <c r="H125" s="13"/>
      <c r="I125" s="48">
        <v>9</v>
      </c>
      <c r="J125" s="29"/>
      <c r="K125" s="49"/>
      <c r="L125" s="49"/>
      <c r="M125" s="32" t="s">
        <v>146</v>
      </c>
      <c r="N125" s="117">
        <f ca="1">INDIRECT("MOSFET_Selection["&amp;$N$115&amp;"]") OFFSET(INDIRECT("MOSFET_Selection[[#Headers], ["&amp;$N$115&amp;"]]"),$I125,)</f>
        <v>73</v>
      </c>
      <c r="O125" s="117">
        <f ca="1">INDIRECT("MOSFET_Selection["&amp;$N$115&amp;"]") OFFSET(INDIRECT("MOSFET_Selection[[#Headers], ["&amp;$N$115&amp;"]]"),$I125,)</f>
        <v>73</v>
      </c>
      <c r="P125" s="42" t="s">
        <v>140</v>
      </c>
      <c r="Q125" s="29"/>
      <c r="R125" s="29"/>
      <c r="S125" s="30"/>
      <c r="T125" s="18"/>
      <c r="U125" s="19"/>
      <c r="V125" s="19"/>
      <c r="W125" s="19"/>
      <c r="X125" s="32" t="s">
        <v>146</v>
      </c>
      <c r="Y125" s="119">
        <v>36</v>
      </c>
      <c r="Z125" s="119">
        <v>36</v>
      </c>
      <c r="AA125" s="119">
        <v>46</v>
      </c>
      <c r="AB125" s="119">
        <v>73</v>
      </c>
      <c r="AC125" s="119">
        <v>35.4</v>
      </c>
      <c r="AD125" s="42" t="s">
        <v>140</v>
      </c>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c r="BP125" s="19"/>
      <c r="BQ125" s="19"/>
      <c r="BR125" s="19"/>
      <c r="BS125" s="19"/>
      <c r="BT125" s="19"/>
      <c r="BU125" s="19"/>
      <c r="BV125" s="19"/>
      <c r="BW125" s="19"/>
      <c r="BX125" s="19"/>
      <c r="BY125" s="19"/>
      <c r="BZ125" s="19"/>
      <c r="CA125" s="19"/>
      <c r="CB125" s="19"/>
      <c r="CC125" s="19"/>
      <c r="CD125" s="19"/>
      <c r="CE125" s="19"/>
      <c r="CF125" s="19"/>
      <c r="CG125" s="19"/>
      <c r="CH125" s="19"/>
      <c r="CI125" s="19"/>
      <c r="CJ125" s="19"/>
      <c r="CK125" s="19"/>
      <c r="CL125" s="19"/>
      <c r="CM125" s="19"/>
      <c r="CN125" s="19"/>
      <c r="CO125" s="19"/>
      <c r="CP125" s="19"/>
      <c r="CQ125" s="19"/>
      <c r="CR125" s="19"/>
      <c r="CS125" s="19"/>
      <c r="CT125" s="19"/>
      <c r="CU125" s="19"/>
      <c r="CV125" s="19"/>
      <c r="CW125" s="19"/>
      <c r="CX125" s="19"/>
      <c r="CY125" s="19"/>
      <c r="CZ125" s="19"/>
      <c r="DA125" s="19"/>
      <c r="DB125" s="19"/>
      <c r="DC125" s="19"/>
      <c r="DD125" s="19"/>
      <c r="DE125" s="19"/>
      <c r="DF125" s="19"/>
      <c r="DG125" s="19"/>
      <c r="DH125" s="19"/>
      <c r="DI125" s="19"/>
      <c r="DJ125" s="19"/>
      <c r="DK125" s="19"/>
      <c r="DL125" s="19"/>
      <c r="DM125" s="19"/>
      <c r="DN125" s="19"/>
      <c r="DO125" s="19"/>
      <c r="DP125" s="19"/>
      <c r="DQ125" s="19"/>
      <c r="DR125" s="19"/>
      <c r="DS125" s="19"/>
      <c r="DT125" s="19"/>
      <c r="DU125" s="19"/>
      <c r="DV125" s="19"/>
      <c r="DW125" s="19"/>
      <c r="DX125" s="19"/>
      <c r="DY125" s="19"/>
      <c r="DZ125" s="19"/>
      <c r="EA125" s="19"/>
      <c r="EB125" s="19"/>
      <c r="EC125" s="19"/>
      <c r="ED125" s="19"/>
      <c r="EE125" s="19"/>
      <c r="EF125" s="19"/>
      <c r="EG125" s="19"/>
      <c r="EH125" s="19"/>
      <c r="EI125" s="19"/>
      <c r="EJ125" s="19"/>
      <c r="EK125" s="19"/>
      <c r="EL125" s="19"/>
      <c r="EM125" s="19"/>
      <c r="EN125" s="19"/>
      <c r="EO125" s="19"/>
      <c r="EP125" s="19"/>
      <c r="EQ125" s="19"/>
      <c r="ER125" s="19"/>
      <c r="ES125" s="19"/>
      <c r="ET125" s="19"/>
      <c r="EU125" s="19"/>
      <c r="EV125" s="19"/>
      <c r="EW125" s="19"/>
      <c r="EX125" s="19"/>
      <c r="EY125" s="19"/>
      <c r="EZ125" s="19"/>
      <c r="FA125" s="19"/>
      <c r="FB125" s="19"/>
      <c r="FC125" s="19"/>
      <c r="FD125" s="19"/>
      <c r="FE125" s="19"/>
      <c r="FF125" s="19"/>
      <c r="FG125" s="19"/>
      <c r="FH125" s="19"/>
      <c r="FI125" s="19"/>
      <c r="FJ125" s="19"/>
    </row>
    <row r="126" spans="1:166" x14ac:dyDescent="0.25">
      <c r="A126" s="49"/>
      <c r="B126" s="49"/>
      <c r="C126" s="49"/>
      <c r="D126" s="32" t="s">
        <v>147</v>
      </c>
      <c r="E126" s="2">
        <v>0.8</v>
      </c>
      <c r="F126" s="2">
        <v>0.8</v>
      </c>
      <c r="G126" s="120" t="s">
        <v>148</v>
      </c>
      <c r="H126" s="13"/>
      <c r="I126" s="48">
        <v>10</v>
      </c>
      <c r="J126" s="29"/>
      <c r="K126" s="49"/>
      <c r="L126" s="49"/>
      <c r="M126" s="32" t="s">
        <v>147</v>
      </c>
      <c r="N126" s="117">
        <f ca="1">INDIRECT("MOSFET_Selection["&amp;$N$115&amp;"]") OFFSET(INDIRECT("MOSFET_Selection[[#Headers], ["&amp;$N$115&amp;"]]"),$I126,)</f>
        <v>0.95</v>
      </c>
      <c r="O126" s="117">
        <f ca="1">INDIRECT("MOSFET_Selection["&amp;$N$115&amp;"]") OFFSET(INDIRECT("MOSFET_Selection[[#Headers], ["&amp;$N$115&amp;"]]"),$I126,)</f>
        <v>0.95</v>
      </c>
      <c r="P126" s="120" t="s">
        <v>148</v>
      </c>
      <c r="Q126" s="29"/>
      <c r="R126" s="29"/>
      <c r="S126" s="30"/>
      <c r="T126" s="18"/>
      <c r="U126" s="19"/>
      <c r="V126" s="19"/>
      <c r="W126" s="19"/>
      <c r="X126" s="32" t="s">
        <v>147</v>
      </c>
      <c r="Y126" s="119">
        <v>1.5</v>
      </c>
      <c r="Z126" s="119">
        <v>1.5</v>
      </c>
      <c r="AA126" s="119">
        <v>1.1000000000000001</v>
      </c>
      <c r="AB126" s="119">
        <v>0.95</v>
      </c>
      <c r="AC126" s="119">
        <v>0.8</v>
      </c>
      <c r="AD126" s="120" t="s">
        <v>148</v>
      </c>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c r="BP126" s="19"/>
      <c r="BQ126" s="19"/>
      <c r="BR126" s="19"/>
      <c r="BS126" s="19"/>
      <c r="BT126" s="19"/>
      <c r="BU126" s="19"/>
      <c r="BV126" s="19"/>
      <c r="BW126" s="19"/>
      <c r="BX126" s="19"/>
      <c r="BY126" s="19"/>
      <c r="BZ126" s="19"/>
      <c r="CA126" s="19"/>
      <c r="CB126" s="19"/>
      <c r="CC126" s="19"/>
      <c r="CD126" s="19"/>
      <c r="CE126" s="19"/>
      <c r="CF126" s="19"/>
      <c r="CG126" s="19"/>
      <c r="CH126" s="19"/>
      <c r="CI126" s="19"/>
      <c r="CJ126" s="19"/>
      <c r="CK126" s="19"/>
      <c r="CL126" s="19"/>
      <c r="CM126" s="19"/>
      <c r="CN126" s="19"/>
      <c r="CO126" s="19"/>
      <c r="CP126" s="19"/>
      <c r="CQ126" s="19"/>
      <c r="CR126" s="19"/>
      <c r="CS126" s="19"/>
      <c r="CT126" s="19"/>
      <c r="CU126" s="19"/>
      <c r="CV126" s="19"/>
      <c r="CW126" s="19"/>
      <c r="CX126" s="19"/>
      <c r="CY126" s="19"/>
      <c r="CZ126" s="19"/>
      <c r="DA126" s="19"/>
      <c r="DB126" s="19"/>
      <c r="DC126" s="19"/>
      <c r="DD126" s="19"/>
      <c r="DE126" s="19"/>
      <c r="DF126" s="19"/>
      <c r="DG126" s="19"/>
      <c r="DH126" s="19"/>
      <c r="DI126" s="19"/>
      <c r="DJ126" s="19"/>
      <c r="DK126" s="19"/>
      <c r="DL126" s="19"/>
      <c r="DM126" s="19"/>
      <c r="DN126" s="19"/>
      <c r="DO126" s="19"/>
      <c r="DP126" s="19"/>
      <c r="DQ126" s="19"/>
      <c r="DR126" s="19"/>
      <c r="DS126" s="19"/>
      <c r="DT126" s="19"/>
      <c r="DU126" s="19"/>
      <c r="DV126" s="19"/>
      <c r="DW126" s="19"/>
      <c r="DX126" s="19"/>
      <c r="DY126" s="19"/>
      <c r="DZ126" s="19"/>
      <c r="EA126" s="19"/>
      <c r="EB126" s="19"/>
      <c r="EC126" s="19"/>
      <c r="ED126" s="19"/>
      <c r="EE126" s="19"/>
      <c r="EF126" s="19"/>
      <c r="EG126" s="19"/>
      <c r="EH126" s="19"/>
      <c r="EI126" s="19"/>
      <c r="EJ126" s="19"/>
      <c r="EK126" s="19"/>
      <c r="EL126" s="19"/>
      <c r="EM126" s="19"/>
      <c r="EN126" s="19"/>
      <c r="EO126" s="19"/>
      <c r="EP126" s="19"/>
      <c r="EQ126" s="19"/>
      <c r="ER126" s="19"/>
      <c r="ES126" s="19"/>
      <c r="ET126" s="19"/>
      <c r="EU126" s="19"/>
      <c r="EV126" s="19"/>
      <c r="EW126" s="19"/>
      <c r="EX126" s="19"/>
      <c r="EY126" s="19"/>
      <c r="EZ126" s="19"/>
      <c r="FA126" s="19"/>
      <c r="FB126" s="19"/>
      <c r="FC126" s="19"/>
      <c r="FD126" s="19"/>
      <c r="FE126" s="19"/>
      <c r="FF126" s="19"/>
      <c r="FG126" s="19"/>
      <c r="FH126" s="19"/>
      <c r="FI126" s="19"/>
      <c r="FJ126" s="19"/>
    </row>
    <row r="127" spans="1:166" x14ac:dyDescent="0.25">
      <c r="A127" s="49"/>
      <c r="B127" s="49"/>
      <c r="C127" s="49"/>
      <c r="D127" s="32" t="s">
        <v>149</v>
      </c>
      <c r="E127" s="2">
        <v>116</v>
      </c>
      <c r="F127" s="2">
        <v>116</v>
      </c>
      <c r="G127" s="42" t="s">
        <v>150</v>
      </c>
      <c r="H127" s="13"/>
      <c r="I127" s="48">
        <v>11</v>
      </c>
      <c r="J127" s="29"/>
      <c r="K127" s="49"/>
      <c r="L127" s="49"/>
      <c r="M127" s="32" t="s">
        <v>149</v>
      </c>
      <c r="N127" s="117">
        <f ca="1">INDIRECT("MOSFET_Selection["&amp;$N$115&amp;"]") OFFSET(INDIRECT("MOSFET_Selection[[#Headers], ["&amp;$N$115&amp;"]]"),$I127,)</f>
        <v>130</v>
      </c>
      <c r="O127" s="117">
        <f ca="1">INDIRECT("MOSFET_Selection["&amp;$N$115&amp;"]") OFFSET(INDIRECT("MOSFET_Selection[[#Headers], ["&amp;$N$115&amp;"]]"),$I127,)</f>
        <v>130</v>
      </c>
      <c r="P127" s="42" t="s">
        <v>150</v>
      </c>
      <c r="Q127" s="29"/>
      <c r="R127" s="29"/>
      <c r="S127" s="30"/>
      <c r="T127" s="18"/>
      <c r="U127" s="19"/>
      <c r="V127" s="19"/>
      <c r="W127" s="19"/>
      <c r="X127" s="32" t="s">
        <v>149</v>
      </c>
      <c r="Y127" s="119">
        <v>60</v>
      </c>
      <c r="Z127" s="119">
        <v>150</v>
      </c>
      <c r="AA127" s="119">
        <v>100</v>
      </c>
      <c r="AB127" s="119">
        <v>130</v>
      </c>
      <c r="AC127" s="119">
        <v>49</v>
      </c>
      <c r="AD127" s="42" t="s">
        <v>150</v>
      </c>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c r="BP127" s="19"/>
      <c r="BQ127" s="19"/>
      <c r="BR127" s="19"/>
      <c r="BS127" s="19"/>
      <c r="BT127" s="19"/>
      <c r="BU127" s="19"/>
      <c r="BV127" s="19"/>
      <c r="BW127" s="19"/>
      <c r="BX127" s="19"/>
      <c r="BY127" s="19"/>
      <c r="BZ127" s="19"/>
      <c r="CA127" s="19"/>
      <c r="CB127" s="19"/>
      <c r="CC127" s="19"/>
      <c r="CD127" s="19"/>
      <c r="CE127" s="19"/>
      <c r="CF127" s="19"/>
      <c r="CG127" s="19"/>
      <c r="CH127" s="19"/>
      <c r="CI127" s="19"/>
      <c r="CJ127" s="19"/>
      <c r="CK127" s="19"/>
      <c r="CL127" s="19"/>
      <c r="CM127" s="19"/>
      <c r="CN127" s="19"/>
      <c r="CO127" s="19"/>
      <c r="CP127" s="19"/>
      <c r="CQ127" s="19"/>
      <c r="CR127" s="19"/>
      <c r="CS127" s="19"/>
      <c r="CT127" s="19"/>
      <c r="CU127" s="19"/>
      <c r="CV127" s="19"/>
      <c r="CW127" s="19"/>
      <c r="CX127" s="19"/>
      <c r="CY127" s="19"/>
      <c r="CZ127" s="19"/>
      <c r="DA127" s="19"/>
      <c r="DB127" s="19"/>
      <c r="DC127" s="19"/>
      <c r="DD127" s="19"/>
      <c r="DE127" s="19"/>
      <c r="DF127" s="19"/>
      <c r="DG127" s="19"/>
      <c r="DH127" s="19"/>
      <c r="DI127" s="19"/>
      <c r="DJ127" s="19"/>
      <c r="DK127" s="19"/>
      <c r="DL127" s="19"/>
      <c r="DM127" s="19"/>
      <c r="DN127" s="19"/>
      <c r="DO127" s="19"/>
      <c r="DP127" s="19"/>
      <c r="DQ127" s="19"/>
      <c r="DR127" s="19"/>
      <c r="DS127" s="19"/>
      <c r="DT127" s="19"/>
      <c r="DU127" s="19"/>
      <c r="DV127" s="19"/>
      <c r="DW127" s="19"/>
      <c r="DX127" s="19"/>
      <c r="DY127" s="19"/>
      <c r="DZ127" s="19"/>
      <c r="EA127" s="19"/>
      <c r="EB127" s="19"/>
      <c r="EC127" s="19"/>
      <c r="ED127" s="19"/>
      <c r="EE127" s="19"/>
      <c r="EF127" s="19"/>
      <c r="EG127" s="19"/>
      <c r="EH127" s="19"/>
      <c r="EI127" s="19"/>
      <c r="EJ127" s="19"/>
      <c r="EK127" s="19"/>
      <c r="EL127" s="19"/>
      <c r="EM127" s="19"/>
      <c r="EN127" s="19"/>
      <c r="EO127" s="19"/>
      <c r="EP127" s="19"/>
      <c r="EQ127" s="19"/>
      <c r="ER127" s="19"/>
      <c r="ES127" s="19"/>
      <c r="ET127" s="19"/>
      <c r="EU127" s="19"/>
      <c r="EV127" s="19"/>
      <c r="EW127" s="19"/>
      <c r="EX127" s="19"/>
      <c r="EY127" s="19"/>
      <c r="EZ127" s="19"/>
      <c r="FA127" s="19"/>
      <c r="FB127" s="19"/>
      <c r="FC127" s="19"/>
      <c r="FD127" s="19"/>
      <c r="FE127" s="19"/>
      <c r="FF127" s="19"/>
      <c r="FG127" s="19"/>
      <c r="FH127" s="19"/>
      <c r="FI127" s="19"/>
      <c r="FJ127" s="19"/>
    </row>
    <row r="128" spans="1:166" x14ac:dyDescent="0.25">
      <c r="A128" s="49"/>
      <c r="B128" s="49"/>
      <c r="C128" s="49"/>
      <c r="D128" s="32" t="s">
        <v>151</v>
      </c>
      <c r="E128" s="2">
        <v>1.9</v>
      </c>
      <c r="F128" s="2">
        <v>1.9</v>
      </c>
      <c r="G128" s="42" t="s">
        <v>7</v>
      </c>
      <c r="H128" s="13"/>
      <c r="I128" s="48">
        <v>12</v>
      </c>
      <c r="J128" s="29"/>
      <c r="K128" s="49"/>
      <c r="L128" s="49"/>
      <c r="M128" s="32" t="s">
        <v>151</v>
      </c>
      <c r="N128" s="117">
        <f ca="1">INDIRECT("MOSFET_Selection["&amp;$N$115&amp;"]") OFFSET(INDIRECT("MOSFET_Selection[[#Headers], ["&amp;$N$115&amp;"]]"),$I128,)</f>
        <v>1.75</v>
      </c>
      <c r="O128" s="117">
        <f ca="1">INDIRECT("MOSFET_Selection["&amp;$N$115&amp;"]") OFFSET(INDIRECT("MOSFET_Selection[[#Headers], ["&amp;$N$115&amp;"]]"),$I128,)</f>
        <v>1.75</v>
      </c>
      <c r="P128" s="42" t="s">
        <v>7</v>
      </c>
      <c r="Q128" s="29"/>
      <c r="R128" s="29"/>
      <c r="S128" s="30"/>
      <c r="T128" s="18"/>
      <c r="U128" s="19"/>
      <c r="V128" s="19"/>
      <c r="W128" s="19"/>
      <c r="X128" s="32" t="s">
        <v>151</v>
      </c>
      <c r="Y128" s="119">
        <v>2</v>
      </c>
      <c r="Z128" s="119">
        <v>1.1000000000000001</v>
      </c>
      <c r="AA128" s="119">
        <v>1.8</v>
      </c>
      <c r="AB128" s="119">
        <v>1.75</v>
      </c>
      <c r="AC128" s="119">
        <v>1.7</v>
      </c>
      <c r="AD128" s="42" t="s">
        <v>7</v>
      </c>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c r="BP128" s="19"/>
      <c r="BQ128" s="19"/>
      <c r="BR128" s="19"/>
      <c r="BS128" s="19"/>
      <c r="BT128" s="19"/>
      <c r="BU128" s="19"/>
      <c r="BV128" s="19"/>
      <c r="BW128" s="19"/>
      <c r="BX128" s="19"/>
      <c r="BY128" s="19"/>
      <c r="BZ128" s="19"/>
      <c r="CA128" s="19"/>
      <c r="CB128" s="19"/>
      <c r="CC128" s="19"/>
      <c r="CD128" s="19"/>
      <c r="CE128" s="19"/>
      <c r="CF128" s="19"/>
      <c r="CG128" s="19"/>
      <c r="CH128" s="19"/>
      <c r="CI128" s="19"/>
      <c r="CJ128" s="19"/>
      <c r="CK128" s="19"/>
      <c r="CL128" s="19"/>
      <c r="CM128" s="19"/>
      <c r="CN128" s="19"/>
      <c r="CO128" s="19"/>
      <c r="CP128" s="19"/>
      <c r="CQ128" s="19"/>
      <c r="CR128" s="19"/>
      <c r="CS128" s="19"/>
      <c r="CT128" s="19"/>
      <c r="CU128" s="19"/>
      <c r="CV128" s="19"/>
      <c r="CW128" s="19"/>
      <c r="CX128" s="19"/>
      <c r="CY128" s="19"/>
      <c r="CZ128" s="19"/>
      <c r="DA128" s="19"/>
      <c r="DB128" s="19"/>
      <c r="DC128" s="19"/>
      <c r="DD128" s="19"/>
      <c r="DE128" s="19"/>
      <c r="DF128" s="19"/>
      <c r="DG128" s="19"/>
      <c r="DH128" s="19"/>
      <c r="DI128" s="19"/>
      <c r="DJ128" s="19"/>
      <c r="DK128" s="19"/>
      <c r="DL128" s="19"/>
      <c r="DM128" s="19"/>
      <c r="DN128" s="19"/>
      <c r="DO128" s="19"/>
      <c r="DP128" s="19"/>
      <c r="DQ128" s="19"/>
      <c r="DR128" s="19"/>
      <c r="DS128" s="19"/>
      <c r="DT128" s="19"/>
      <c r="DU128" s="19"/>
      <c r="DV128" s="19"/>
      <c r="DW128" s="19"/>
      <c r="DX128" s="19"/>
      <c r="DY128" s="19"/>
      <c r="DZ128" s="19"/>
      <c r="EA128" s="19"/>
      <c r="EB128" s="19"/>
      <c r="EC128" s="19"/>
      <c r="ED128" s="19"/>
      <c r="EE128" s="19"/>
      <c r="EF128" s="19"/>
      <c r="EG128" s="19"/>
      <c r="EH128" s="19"/>
      <c r="EI128" s="19"/>
      <c r="EJ128" s="19"/>
      <c r="EK128" s="19"/>
      <c r="EL128" s="19"/>
      <c r="EM128" s="19"/>
      <c r="EN128" s="19"/>
      <c r="EO128" s="19"/>
      <c r="EP128" s="19"/>
      <c r="EQ128" s="19"/>
      <c r="ER128" s="19"/>
      <c r="ES128" s="19"/>
      <c r="ET128" s="19"/>
      <c r="EU128" s="19"/>
      <c r="EV128" s="19"/>
      <c r="EW128" s="19"/>
      <c r="EX128" s="19"/>
      <c r="EY128" s="19"/>
      <c r="EZ128" s="19"/>
      <c r="FA128" s="19"/>
      <c r="FB128" s="19"/>
      <c r="FC128" s="19"/>
      <c r="FD128" s="19"/>
      <c r="FE128" s="19"/>
      <c r="FF128" s="19"/>
      <c r="FG128" s="19"/>
      <c r="FH128" s="19"/>
      <c r="FI128" s="19"/>
      <c r="FJ128" s="19"/>
    </row>
    <row r="129" spans="1:166" x14ac:dyDescent="0.25">
      <c r="A129" s="49"/>
      <c r="B129" s="49"/>
      <c r="C129" s="49"/>
      <c r="D129" s="32" t="s">
        <v>152</v>
      </c>
      <c r="E129" s="2">
        <v>0.8</v>
      </c>
      <c r="F129" s="2">
        <v>0.8</v>
      </c>
      <c r="G129" s="42" t="s">
        <v>7</v>
      </c>
      <c r="H129" s="13"/>
      <c r="I129" s="48">
        <v>13</v>
      </c>
      <c r="J129" s="29"/>
      <c r="K129" s="49"/>
      <c r="L129" s="49"/>
      <c r="M129" s="32" t="s">
        <v>152</v>
      </c>
      <c r="N129" s="117">
        <f ca="1">INDIRECT("MOSFET_Selection["&amp;$N$115&amp;"]") OFFSET(INDIRECT("MOSFET_Selection[[#Headers], ["&amp;$N$115&amp;"]]"),$I129,)</f>
        <v>0.72</v>
      </c>
      <c r="O129" s="117">
        <f ca="1">INDIRECT("MOSFET_Selection["&amp;$N$115&amp;"]") OFFSET(INDIRECT("MOSFET_Selection[[#Headers], ["&amp;$N$115&amp;"]]"),$I129,)</f>
        <v>0.72</v>
      </c>
      <c r="P129" s="42" t="s">
        <v>7</v>
      </c>
      <c r="Q129" s="29"/>
      <c r="R129" s="29"/>
      <c r="S129" s="30"/>
      <c r="T129" s="18"/>
      <c r="U129" s="19"/>
      <c r="V129" s="19"/>
      <c r="W129" s="19"/>
      <c r="X129" s="32" t="s">
        <v>152</v>
      </c>
      <c r="Y129" s="119">
        <v>0.8</v>
      </c>
      <c r="Z129" s="119">
        <v>0.8</v>
      </c>
      <c r="AA129" s="119">
        <v>0.69</v>
      </c>
      <c r="AB129" s="119">
        <v>0.72</v>
      </c>
      <c r="AC129" s="119">
        <v>0.74</v>
      </c>
      <c r="AD129" s="42" t="s">
        <v>7</v>
      </c>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c r="BP129" s="19"/>
      <c r="BQ129" s="19"/>
      <c r="BR129" s="19"/>
      <c r="BS129" s="19"/>
      <c r="BT129" s="19"/>
      <c r="BU129" s="19"/>
      <c r="BV129" s="19"/>
      <c r="BW129" s="19"/>
      <c r="BX129" s="19"/>
      <c r="BY129" s="19"/>
      <c r="BZ129" s="19"/>
      <c r="CA129" s="19"/>
      <c r="CB129" s="19"/>
      <c r="CC129" s="19"/>
      <c r="CD129" s="19"/>
      <c r="CE129" s="19"/>
      <c r="CF129" s="19"/>
      <c r="CG129" s="19"/>
      <c r="CH129" s="19"/>
      <c r="CI129" s="19"/>
      <c r="CJ129" s="19"/>
      <c r="CK129" s="19"/>
      <c r="CL129" s="19"/>
      <c r="CM129" s="19"/>
      <c r="CN129" s="19"/>
      <c r="CO129" s="19"/>
      <c r="CP129" s="19"/>
      <c r="CQ129" s="19"/>
      <c r="CR129" s="19"/>
      <c r="CS129" s="19"/>
      <c r="CT129" s="19"/>
      <c r="CU129" s="19"/>
      <c r="CV129" s="19"/>
      <c r="CW129" s="19"/>
      <c r="CX129" s="19"/>
      <c r="CY129" s="19"/>
      <c r="CZ129" s="19"/>
      <c r="DA129" s="19"/>
      <c r="DB129" s="19"/>
      <c r="DC129" s="19"/>
      <c r="DD129" s="19"/>
      <c r="DE129" s="19"/>
      <c r="DF129" s="19"/>
      <c r="DG129" s="19"/>
      <c r="DH129" s="19"/>
      <c r="DI129" s="19"/>
      <c r="DJ129" s="19"/>
      <c r="DK129" s="19"/>
      <c r="DL129" s="19"/>
      <c r="DM129" s="19"/>
      <c r="DN129" s="19"/>
      <c r="DO129" s="19"/>
      <c r="DP129" s="19"/>
      <c r="DQ129" s="19"/>
      <c r="DR129" s="19"/>
      <c r="DS129" s="19"/>
      <c r="DT129" s="19"/>
      <c r="DU129" s="19"/>
      <c r="DV129" s="19"/>
      <c r="DW129" s="19"/>
      <c r="DX129" s="19"/>
      <c r="DY129" s="19"/>
      <c r="DZ129" s="19"/>
      <c r="EA129" s="19"/>
      <c r="EB129" s="19"/>
      <c r="EC129" s="19"/>
      <c r="ED129" s="19"/>
      <c r="EE129" s="19"/>
      <c r="EF129" s="19"/>
      <c r="EG129" s="19"/>
      <c r="EH129" s="19"/>
      <c r="EI129" s="19"/>
      <c r="EJ129" s="19"/>
      <c r="EK129" s="19"/>
      <c r="EL129" s="19"/>
      <c r="EM129" s="19"/>
      <c r="EN129" s="19"/>
      <c r="EO129" s="19"/>
      <c r="EP129" s="19"/>
      <c r="EQ129" s="19"/>
      <c r="ER129" s="19"/>
      <c r="ES129" s="19"/>
      <c r="ET129" s="19"/>
      <c r="EU129" s="19"/>
      <c r="EV129" s="19"/>
      <c r="EW129" s="19"/>
      <c r="EX129" s="19"/>
      <c r="EY129" s="19"/>
      <c r="EZ129" s="19"/>
      <c r="FA129" s="19"/>
      <c r="FB129" s="19"/>
      <c r="FC129" s="19"/>
      <c r="FD129" s="19"/>
      <c r="FE129" s="19"/>
      <c r="FF129" s="19"/>
      <c r="FG129" s="19"/>
      <c r="FH129" s="19"/>
      <c r="FI129" s="19"/>
      <c r="FJ129" s="19"/>
    </row>
    <row r="130" spans="1:166" x14ac:dyDescent="0.25">
      <c r="A130" s="49"/>
      <c r="B130" s="49"/>
      <c r="C130" s="49"/>
      <c r="D130" s="32" t="s">
        <v>153</v>
      </c>
      <c r="E130" s="49"/>
      <c r="F130" s="2">
        <v>145</v>
      </c>
      <c r="G130" s="42" t="s">
        <v>140</v>
      </c>
      <c r="H130" s="13"/>
      <c r="I130" s="48">
        <v>14</v>
      </c>
      <c r="J130" s="29"/>
      <c r="K130" s="49"/>
      <c r="L130" s="49"/>
      <c r="M130" s="32" t="s">
        <v>153</v>
      </c>
      <c r="N130" s="49"/>
      <c r="O130" s="117">
        <f ca="1">INDIRECT("MOSFET_Selection["&amp;$N$115&amp;"]") OFFSET(INDIRECT("MOSFET_Selection[[#Headers], ["&amp;$N$115&amp;"]]"),$I130,)</f>
        <v>77</v>
      </c>
      <c r="P130" s="42" t="s">
        <v>140</v>
      </c>
      <c r="Q130" s="29"/>
      <c r="R130" s="29"/>
      <c r="S130" s="30"/>
      <c r="T130" s="18"/>
      <c r="U130" s="19"/>
      <c r="V130" s="19"/>
      <c r="W130" s="19"/>
      <c r="X130" s="32" t="s">
        <v>153</v>
      </c>
      <c r="Y130" s="119">
        <v>63</v>
      </c>
      <c r="Z130" s="119">
        <v>33</v>
      </c>
      <c r="AA130" s="119">
        <v>73</v>
      </c>
      <c r="AB130" s="119">
        <v>77</v>
      </c>
      <c r="AC130" s="119">
        <v>52</v>
      </c>
      <c r="AD130" s="42" t="s">
        <v>140</v>
      </c>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c r="BP130" s="19"/>
      <c r="BQ130" s="19"/>
      <c r="BR130" s="19"/>
      <c r="BS130" s="19"/>
      <c r="BT130" s="19"/>
      <c r="BU130" s="19"/>
      <c r="BV130" s="19"/>
      <c r="BW130" s="19"/>
      <c r="BX130" s="19"/>
      <c r="BY130" s="19"/>
      <c r="BZ130" s="19"/>
      <c r="CA130" s="19"/>
      <c r="CB130" s="19"/>
      <c r="CC130" s="19"/>
      <c r="CD130" s="19"/>
      <c r="CE130" s="19"/>
      <c r="CF130" s="19"/>
      <c r="CG130" s="19"/>
      <c r="CH130" s="19"/>
      <c r="CI130" s="19"/>
      <c r="CJ130" s="19"/>
      <c r="CK130" s="19"/>
      <c r="CL130" s="19"/>
      <c r="CM130" s="19"/>
      <c r="CN130" s="19"/>
      <c r="CO130" s="19"/>
      <c r="CP130" s="19"/>
      <c r="CQ130" s="19"/>
      <c r="CR130" s="19"/>
      <c r="CS130" s="19"/>
      <c r="CT130" s="19"/>
      <c r="CU130" s="19"/>
      <c r="CV130" s="19"/>
      <c r="CW130" s="19"/>
      <c r="CX130" s="19"/>
      <c r="CY130" s="19"/>
      <c r="CZ130" s="19"/>
      <c r="DA130" s="19"/>
      <c r="DB130" s="19"/>
      <c r="DC130" s="19"/>
      <c r="DD130" s="19"/>
      <c r="DE130" s="19"/>
      <c r="DF130" s="19"/>
      <c r="DG130" s="19"/>
      <c r="DH130" s="19"/>
      <c r="DI130" s="19"/>
      <c r="DJ130" s="19"/>
      <c r="DK130" s="19"/>
      <c r="DL130" s="19"/>
      <c r="DM130" s="19"/>
      <c r="DN130" s="19"/>
      <c r="DO130" s="19"/>
      <c r="DP130" s="19"/>
      <c r="DQ130" s="19"/>
      <c r="DR130" s="19"/>
      <c r="DS130" s="19"/>
      <c r="DT130" s="19"/>
      <c r="DU130" s="19"/>
      <c r="DV130" s="19"/>
      <c r="DW130" s="19"/>
      <c r="DX130" s="19"/>
      <c r="DY130" s="19"/>
      <c r="DZ130" s="19"/>
      <c r="EA130" s="19"/>
      <c r="EB130" s="19"/>
      <c r="EC130" s="19"/>
      <c r="ED130" s="19"/>
      <c r="EE130" s="19"/>
      <c r="EF130" s="19"/>
      <c r="EG130" s="19"/>
      <c r="EH130" s="19"/>
      <c r="EI130" s="19"/>
      <c r="EJ130" s="19"/>
      <c r="EK130" s="19"/>
      <c r="EL130" s="19"/>
      <c r="EM130" s="19"/>
      <c r="EN130" s="19"/>
      <c r="EO130" s="19"/>
      <c r="EP130" s="19"/>
      <c r="EQ130" s="19"/>
      <c r="ER130" s="19"/>
      <c r="ES130" s="19"/>
      <c r="ET130" s="19"/>
      <c r="EU130" s="19"/>
      <c r="EV130" s="19"/>
      <c r="EW130" s="19"/>
      <c r="EX130" s="19"/>
      <c r="EY130" s="19"/>
      <c r="EZ130" s="19"/>
      <c r="FA130" s="19"/>
      <c r="FB130" s="19"/>
      <c r="FC130" s="19"/>
      <c r="FD130" s="19"/>
      <c r="FE130" s="19"/>
      <c r="FF130" s="19"/>
      <c r="FG130" s="19"/>
      <c r="FH130" s="19"/>
      <c r="FI130" s="19"/>
      <c r="FJ130" s="19"/>
    </row>
    <row r="131" spans="1:166" ht="15.75" thickBot="1" x14ac:dyDescent="0.3">
      <c r="A131" s="47"/>
      <c r="B131" s="47"/>
      <c r="C131" s="47"/>
      <c r="D131" s="35" t="s">
        <v>154</v>
      </c>
      <c r="E131" s="3">
        <v>50</v>
      </c>
      <c r="F131" s="3">
        <v>50</v>
      </c>
      <c r="G131" s="45" t="s">
        <v>155</v>
      </c>
      <c r="H131" s="13"/>
      <c r="I131" s="46">
        <v>15</v>
      </c>
      <c r="J131" s="114"/>
      <c r="K131" s="47"/>
      <c r="L131" s="47"/>
      <c r="M131" s="35" t="s">
        <v>154</v>
      </c>
      <c r="N131" s="121">
        <f ca="1">INDIRECT("MOSFET_Selection["&amp;$N$115&amp;"]") OFFSET(INDIRECT("MOSFET_Selection[[#Headers], ["&amp;$N$115&amp;"]]"),$I131,)</f>
        <v>15</v>
      </c>
      <c r="O131" s="121">
        <f ca="1">INDIRECT("MOSFET_Selection["&amp;$N$115&amp;"]") OFFSET(INDIRECT("MOSFET_Selection[[#Headers], ["&amp;$N$115&amp;"]]"),$I131,)</f>
        <v>15</v>
      </c>
      <c r="P131" s="45" t="s">
        <v>155</v>
      </c>
      <c r="Q131" s="29"/>
      <c r="R131" s="29"/>
      <c r="S131" s="30"/>
      <c r="T131" s="18"/>
      <c r="U131" s="19"/>
      <c r="V131" s="19"/>
      <c r="W131" s="19"/>
      <c r="X131" s="32" t="s">
        <v>154</v>
      </c>
      <c r="Y131" s="119">
        <v>50</v>
      </c>
      <c r="Z131" s="122">
        <v>50</v>
      </c>
      <c r="AA131" s="119">
        <v>50</v>
      </c>
      <c r="AB131" s="119">
        <v>15</v>
      </c>
      <c r="AC131" s="119">
        <v>25</v>
      </c>
      <c r="AD131" s="45" t="s">
        <v>155</v>
      </c>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c r="BP131" s="19"/>
      <c r="BQ131" s="19"/>
      <c r="BR131" s="19"/>
      <c r="BS131" s="19"/>
      <c r="BT131" s="19"/>
      <c r="BU131" s="19"/>
      <c r="BV131" s="19"/>
      <c r="BW131" s="19"/>
      <c r="BX131" s="19"/>
      <c r="BY131" s="19"/>
      <c r="BZ131" s="19"/>
      <c r="CA131" s="19"/>
      <c r="CB131" s="19"/>
      <c r="CC131" s="19"/>
      <c r="CD131" s="19"/>
      <c r="CE131" s="19"/>
      <c r="CF131" s="19"/>
      <c r="CG131" s="19"/>
      <c r="CH131" s="19"/>
      <c r="CI131" s="19"/>
      <c r="CJ131" s="19"/>
      <c r="CK131" s="19"/>
      <c r="CL131" s="19"/>
      <c r="CM131" s="19"/>
      <c r="CN131" s="19"/>
      <c r="CO131" s="19"/>
      <c r="CP131" s="19"/>
      <c r="CQ131" s="19"/>
      <c r="CR131" s="19"/>
      <c r="CS131" s="19"/>
      <c r="CT131" s="19"/>
      <c r="CU131" s="19"/>
      <c r="CV131" s="19"/>
      <c r="CW131" s="19"/>
      <c r="CX131" s="19"/>
      <c r="CY131" s="19"/>
      <c r="CZ131" s="19"/>
      <c r="DA131" s="19"/>
      <c r="DB131" s="19"/>
      <c r="DC131" s="19"/>
      <c r="DD131" s="19"/>
      <c r="DE131" s="19"/>
      <c r="DF131" s="19"/>
      <c r="DG131" s="19"/>
      <c r="DH131" s="19"/>
      <c r="DI131" s="19"/>
      <c r="DJ131" s="19"/>
      <c r="DK131" s="19"/>
      <c r="DL131" s="19"/>
      <c r="DM131" s="19"/>
      <c r="DN131" s="19"/>
      <c r="DO131" s="19"/>
      <c r="DP131" s="19"/>
      <c r="DQ131" s="19"/>
      <c r="DR131" s="19"/>
      <c r="DS131" s="19"/>
      <c r="DT131" s="19"/>
      <c r="DU131" s="19"/>
      <c r="DV131" s="19"/>
      <c r="DW131" s="19"/>
      <c r="DX131" s="19"/>
      <c r="DY131" s="19"/>
      <c r="DZ131" s="19"/>
      <c r="EA131" s="19"/>
      <c r="EB131" s="19"/>
      <c r="EC131" s="19"/>
      <c r="ED131" s="19"/>
      <c r="EE131" s="19"/>
      <c r="EF131" s="19"/>
      <c r="EG131" s="19"/>
      <c r="EH131" s="19"/>
      <c r="EI131" s="19"/>
      <c r="EJ131" s="19"/>
      <c r="EK131" s="19"/>
      <c r="EL131" s="19"/>
      <c r="EM131" s="19"/>
      <c r="EN131" s="19"/>
      <c r="EO131" s="19"/>
      <c r="EP131" s="19"/>
      <c r="EQ131" s="19"/>
      <c r="ER131" s="19"/>
      <c r="ES131" s="19"/>
      <c r="ET131" s="19"/>
      <c r="EU131" s="19"/>
      <c r="EV131" s="19"/>
      <c r="EW131" s="19"/>
      <c r="EX131" s="19"/>
      <c r="EY131" s="19"/>
      <c r="EZ131" s="19"/>
      <c r="FA131" s="19"/>
      <c r="FB131" s="19"/>
      <c r="FC131" s="19"/>
      <c r="FD131" s="19"/>
      <c r="FE131" s="19"/>
      <c r="FF131" s="19"/>
      <c r="FG131" s="19"/>
      <c r="FH131" s="19"/>
      <c r="FI131" s="19"/>
      <c r="FJ131" s="19"/>
    </row>
    <row r="132" spans="1:166" ht="15.75" thickBot="1" x14ac:dyDescent="0.3">
      <c r="A132" s="49"/>
      <c r="B132" s="49"/>
      <c r="C132" s="49"/>
      <c r="D132" s="39"/>
      <c r="E132" s="49"/>
      <c r="F132" s="49"/>
      <c r="G132" s="49"/>
      <c r="H132" s="13"/>
      <c r="I132" s="49"/>
      <c r="J132" s="29"/>
      <c r="K132" s="49"/>
      <c r="L132" s="49"/>
      <c r="M132" s="39"/>
      <c r="N132" s="49"/>
      <c r="O132" s="49"/>
      <c r="P132" s="49"/>
      <c r="Q132" s="29"/>
      <c r="R132" s="29"/>
      <c r="S132" s="30"/>
      <c r="T132" s="18"/>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c r="BP132" s="19"/>
      <c r="BQ132" s="19"/>
      <c r="BR132" s="19"/>
      <c r="BS132" s="19"/>
      <c r="BT132" s="19"/>
      <c r="BU132" s="19"/>
      <c r="BV132" s="19"/>
      <c r="BW132" s="19"/>
      <c r="BX132" s="19"/>
      <c r="BY132" s="19"/>
      <c r="BZ132" s="19"/>
      <c r="CA132" s="19"/>
      <c r="CB132" s="19"/>
      <c r="CC132" s="19"/>
      <c r="CD132" s="19"/>
      <c r="CE132" s="19"/>
      <c r="CF132" s="19"/>
      <c r="CG132" s="19"/>
      <c r="CH132" s="19"/>
      <c r="CI132" s="19"/>
      <c r="CJ132" s="19"/>
      <c r="CK132" s="19"/>
      <c r="CL132" s="19"/>
      <c r="CM132" s="19"/>
      <c r="CN132" s="19"/>
      <c r="CO132" s="19"/>
      <c r="CP132" s="19"/>
      <c r="CQ132" s="19"/>
      <c r="CR132" s="19"/>
      <c r="CS132" s="19"/>
      <c r="CT132" s="19"/>
      <c r="CU132" s="19"/>
      <c r="CV132" s="19"/>
      <c r="CW132" s="19"/>
      <c r="CX132" s="19"/>
      <c r="CY132" s="19"/>
      <c r="CZ132" s="19"/>
      <c r="DA132" s="19"/>
      <c r="DB132" s="19"/>
      <c r="DC132" s="19"/>
      <c r="DD132" s="19"/>
      <c r="DE132" s="19"/>
      <c r="DF132" s="19"/>
      <c r="DG132" s="19"/>
      <c r="DH132" s="19"/>
      <c r="DI132" s="19"/>
      <c r="DJ132" s="19"/>
      <c r="DK132" s="19"/>
      <c r="DL132" s="19"/>
      <c r="DM132" s="19"/>
      <c r="DN132" s="19"/>
      <c r="DO132" s="19"/>
      <c r="DP132" s="19"/>
      <c r="DQ132" s="19"/>
      <c r="DR132" s="19"/>
      <c r="DS132" s="19"/>
      <c r="DT132" s="19"/>
      <c r="DU132" s="19"/>
      <c r="DV132" s="19"/>
      <c r="DW132" s="19"/>
      <c r="DX132" s="19"/>
      <c r="DY132" s="19"/>
      <c r="DZ132" s="19"/>
      <c r="EA132" s="19"/>
      <c r="EB132" s="19"/>
      <c r="EC132" s="19"/>
      <c r="ED132" s="19"/>
      <c r="EE132" s="19"/>
      <c r="EF132" s="19"/>
      <c r="EG132" s="19"/>
      <c r="EH132" s="19"/>
      <c r="EI132" s="19"/>
      <c r="EJ132" s="19"/>
      <c r="EK132" s="19"/>
      <c r="EL132" s="19"/>
      <c r="EM132" s="19"/>
      <c r="EN132" s="19"/>
      <c r="EO132" s="19"/>
      <c r="EP132" s="19"/>
      <c r="EQ132" s="19"/>
      <c r="ER132" s="19"/>
      <c r="ES132" s="19"/>
      <c r="ET132" s="19"/>
      <c r="EU132" s="19"/>
      <c r="EV132" s="19"/>
      <c r="EW132" s="19"/>
      <c r="EX132" s="19"/>
      <c r="EY132" s="19"/>
      <c r="EZ132" s="19"/>
      <c r="FA132" s="19"/>
      <c r="FB132" s="19"/>
      <c r="FC132" s="19"/>
      <c r="FD132" s="19"/>
      <c r="FE132" s="19"/>
      <c r="FF132" s="19"/>
      <c r="FG132" s="19"/>
      <c r="FH132" s="19"/>
      <c r="FI132" s="19"/>
    </row>
    <row r="133" spans="1:166" x14ac:dyDescent="0.25">
      <c r="A133" s="50"/>
      <c r="B133" s="62"/>
      <c r="C133" s="50"/>
      <c r="D133" s="63" t="s">
        <v>156</v>
      </c>
      <c r="E133" s="64"/>
      <c r="F133" s="50"/>
      <c r="G133" s="38"/>
      <c r="H133" s="13"/>
      <c r="I133" s="54"/>
      <c r="J133" s="25"/>
      <c r="K133" s="62"/>
      <c r="L133" s="50"/>
      <c r="M133" s="63" t="s">
        <v>156</v>
      </c>
      <c r="N133" s="125" t="s">
        <v>123</v>
      </c>
      <c r="O133" s="50"/>
      <c r="P133" s="38"/>
      <c r="Q133" s="29"/>
      <c r="R133" s="29"/>
      <c r="S133" s="30"/>
      <c r="T133" s="18"/>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c r="BP133" s="19"/>
      <c r="BQ133" s="19"/>
      <c r="BR133" s="19"/>
      <c r="BS133" s="19"/>
      <c r="BT133" s="19"/>
      <c r="BU133" s="19"/>
      <c r="BV133" s="19"/>
      <c r="BW133" s="19"/>
      <c r="BX133" s="19"/>
      <c r="BY133" s="19"/>
      <c r="BZ133" s="19"/>
      <c r="CA133" s="19"/>
      <c r="CB133" s="19"/>
      <c r="CC133" s="19"/>
      <c r="CD133" s="19"/>
      <c r="CE133" s="19"/>
      <c r="CF133" s="19"/>
      <c r="CG133" s="19"/>
      <c r="CH133" s="19"/>
      <c r="CI133" s="19"/>
      <c r="CJ133" s="19"/>
      <c r="CK133" s="19"/>
      <c r="CL133" s="19"/>
      <c r="CM133" s="19"/>
      <c r="CN133" s="19"/>
      <c r="CO133" s="19"/>
      <c r="CP133" s="19"/>
      <c r="CQ133" s="19"/>
      <c r="CR133" s="19"/>
      <c r="CS133" s="19"/>
      <c r="CT133" s="19"/>
      <c r="CU133" s="19"/>
      <c r="CV133" s="19"/>
      <c r="CW133" s="19"/>
      <c r="CX133" s="19"/>
      <c r="CY133" s="19"/>
      <c r="CZ133" s="19"/>
      <c r="DA133" s="19"/>
      <c r="DB133" s="19"/>
      <c r="DC133" s="19"/>
      <c r="DD133" s="19"/>
      <c r="DE133" s="19"/>
      <c r="DF133" s="19"/>
      <c r="DG133" s="19"/>
      <c r="DH133" s="19"/>
      <c r="DI133" s="19"/>
      <c r="DJ133" s="19"/>
      <c r="DK133" s="19"/>
      <c r="DL133" s="19"/>
      <c r="DM133" s="19"/>
      <c r="DN133" s="19"/>
      <c r="DO133" s="19"/>
      <c r="DP133" s="19"/>
      <c r="DQ133" s="19"/>
      <c r="DR133" s="19"/>
      <c r="DS133" s="19"/>
      <c r="DT133" s="19"/>
      <c r="DU133" s="19"/>
      <c r="DV133" s="19"/>
      <c r="DW133" s="19"/>
      <c r="DX133" s="19"/>
      <c r="DY133" s="19"/>
      <c r="DZ133" s="19"/>
      <c r="EA133" s="19"/>
      <c r="EB133" s="19"/>
      <c r="EC133" s="19"/>
      <c r="ED133" s="19"/>
      <c r="EE133" s="19"/>
      <c r="EF133" s="19"/>
      <c r="EG133" s="19"/>
      <c r="EH133" s="19"/>
      <c r="EI133" s="19"/>
      <c r="EJ133" s="19"/>
      <c r="EK133" s="19"/>
      <c r="EL133" s="19"/>
      <c r="EM133" s="19"/>
      <c r="EN133" s="19"/>
      <c r="EO133" s="19"/>
      <c r="EP133" s="19"/>
      <c r="EQ133" s="19"/>
      <c r="ER133" s="19"/>
      <c r="ES133" s="19"/>
      <c r="ET133" s="19"/>
      <c r="EU133" s="19"/>
      <c r="EV133" s="19"/>
      <c r="EW133" s="19"/>
      <c r="EX133" s="19"/>
      <c r="EY133" s="19"/>
      <c r="EZ133" s="19"/>
      <c r="FA133" s="19"/>
      <c r="FB133" s="19"/>
      <c r="FC133" s="19"/>
      <c r="FD133" s="19"/>
      <c r="FE133" s="19"/>
      <c r="FF133" s="19"/>
      <c r="FG133" s="19"/>
      <c r="FH133" s="19"/>
      <c r="FI133" s="19"/>
    </row>
    <row r="134" spans="1:166" x14ac:dyDescent="0.25">
      <c r="A134" s="49"/>
      <c r="B134" s="49"/>
      <c r="C134" s="49"/>
      <c r="D134" s="39"/>
      <c r="E134" s="49" t="s">
        <v>125</v>
      </c>
      <c r="F134" s="49" t="s">
        <v>126</v>
      </c>
      <c r="G134" s="42"/>
      <c r="H134" s="13"/>
      <c r="I134" s="48"/>
      <c r="J134" s="29"/>
      <c r="K134" s="49"/>
      <c r="L134" s="49"/>
      <c r="M134" s="39"/>
      <c r="N134" s="49" t="s">
        <v>125</v>
      </c>
      <c r="O134" s="49" t="s">
        <v>126</v>
      </c>
      <c r="P134" s="42"/>
      <c r="Q134" s="29"/>
      <c r="R134" s="29"/>
      <c r="S134" s="30"/>
      <c r="T134" s="18"/>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c r="BP134" s="19"/>
      <c r="BQ134" s="19"/>
      <c r="BR134" s="19"/>
      <c r="BS134" s="19"/>
      <c r="BT134" s="19"/>
      <c r="BU134" s="19"/>
      <c r="BV134" s="19"/>
      <c r="BW134" s="19"/>
      <c r="BX134" s="19"/>
      <c r="BY134" s="19"/>
      <c r="BZ134" s="19"/>
      <c r="CA134" s="19"/>
      <c r="CB134" s="19"/>
      <c r="CC134" s="19"/>
      <c r="CD134" s="19"/>
      <c r="CE134" s="19"/>
      <c r="CF134" s="19"/>
      <c r="CG134" s="19"/>
      <c r="CH134" s="19"/>
      <c r="CI134" s="19"/>
      <c r="CJ134" s="19"/>
      <c r="CK134" s="19"/>
      <c r="CL134" s="19"/>
      <c r="CM134" s="19"/>
      <c r="CN134" s="19"/>
      <c r="CO134" s="19"/>
      <c r="CP134" s="19"/>
      <c r="CQ134" s="19"/>
      <c r="CR134" s="19"/>
      <c r="CS134" s="19"/>
      <c r="CT134" s="19"/>
      <c r="CU134" s="19"/>
      <c r="CV134" s="19"/>
      <c r="CW134" s="19"/>
      <c r="CX134" s="19"/>
      <c r="CY134" s="19"/>
      <c r="CZ134" s="19"/>
      <c r="DA134" s="19"/>
      <c r="DB134" s="19"/>
      <c r="DC134" s="19"/>
      <c r="DD134" s="19"/>
      <c r="DE134" s="19"/>
      <c r="DF134" s="19"/>
      <c r="DG134" s="19"/>
      <c r="DH134" s="19"/>
      <c r="DI134" s="19"/>
      <c r="DJ134" s="19"/>
      <c r="DK134" s="19"/>
      <c r="DL134" s="19"/>
      <c r="DM134" s="19"/>
      <c r="DN134" s="19"/>
      <c r="DO134" s="19"/>
      <c r="DP134" s="19"/>
      <c r="DQ134" s="19"/>
      <c r="DR134" s="19"/>
      <c r="DS134" s="19"/>
      <c r="DT134" s="19"/>
      <c r="DU134" s="19"/>
      <c r="DV134" s="19"/>
      <c r="DW134" s="19"/>
      <c r="DX134" s="19"/>
      <c r="DY134" s="19"/>
      <c r="DZ134" s="19"/>
      <c r="EA134" s="19"/>
      <c r="EB134" s="19"/>
      <c r="EC134" s="19"/>
      <c r="ED134" s="19"/>
      <c r="EE134" s="19"/>
      <c r="EF134" s="19"/>
      <c r="EG134" s="19"/>
      <c r="EH134" s="19"/>
      <c r="EI134" s="19"/>
      <c r="EJ134" s="19"/>
      <c r="EK134" s="19"/>
      <c r="EL134" s="19"/>
      <c r="EM134" s="19"/>
      <c r="EN134" s="19"/>
      <c r="EO134" s="19"/>
      <c r="EP134" s="19"/>
      <c r="EQ134" s="19"/>
      <c r="ER134" s="19"/>
      <c r="ES134" s="19"/>
      <c r="ET134" s="19"/>
      <c r="EU134" s="19"/>
      <c r="EV134" s="19"/>
      <c r="EW134" s="19"/>
      <c r="EX134" s="19"/>
      <c r="EY134" s="19"/>
      <c r="EZ134" s="19"/>
      <c r="FA134" s="19"/>
      <c r="FB134" s="19"/>
      <c r="FC134" s="19"/>
      <c r="FD134" s="19"/>
      <c r="FE134" s="19"/>
      <c r="FF134" s="19"/>
      <c r="FG134" s="19"/>
      <c r="FH134" s="19"/>
      <c r="FI134" s="19"/>
    </row>
    <row r="135" spans="1:166" x14ac:dyDescent="0.25">
      <c r="A135" s="49"/>
      <c r="B135" s="49"/>
      <c r="C135" s="49"/>
      <c r="D135" s="32" t="s">
        <v>135</v>
      </c>
      <c r="E135" s="2">
        <v>2.6</v>
      </c>
      <c r="F135" s="2">
        <v>2.6</v>
      </c>
      <c r="G135" s="42" t="s">
        <v>136</v>
      </c>
      <c r="H135" s="13"/>
      <c r="I135" s="48">
        <v>1</v>
      </c>
      <c r="J135" s="29"/>
      <c r="K135" s="49"/>
      <c r="L135" s="49"/>
      <c r="M135" s="32" t="s">
        <v>135</v>
      </c>
      <c r="N135" s="117">
        <f ca="1">INDIRECT("MOSFET_Selection["&amp;$N$133&amp;"]") OFFSET(INDIRECT("MOSFET_Selection[[#Headers], ["&amp;$N$133&amp;"]]"),$I135,)</f>
        <v>3.55</v>
      </c>
      <c r="O135" s="117">
        <f ca="1">INDIRECT("MOSFET_Selection["&amp;$N$133&amp;"]") OFFSET(INDIRECT("MOSFET_Selection[[#Headers], ["&amp;$N$133&amp;"]]"),$I135,)</f>
        <v>3.55</v>
      </c>
      <c r="P135" s="42" t="s">
        <v>136</v>
      </c>
      <c r="Q135" s="29"/>
      <c r="R135" s="29"/>
      <c r="S135" s="30"/>
      <c r="T135" s="18"/>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c r="BP135" s="19"/>
      <c r="BQ135" s="19"/>
      <c r="BR135" s="19"/>
      <c r="BS135" s="19"/>
      <c r="BT135" s="19"/>
      <c r="BU135" s="19"/>
      <c r="BV135" s="19"/>
      <c r="BW135" s="19"/>
      <c r="BX135" s="19"/>
      <c r="BY135" s="19"/>
      <c r="BZ135" s="19"/>
      <c r="CA135" s="19"/>
      <c r="CB135" s="19"/>
      <c r="CC135" s="19"/>
      <c r="CD135" s="19"/>
      <c r="CE135" s="19"/>
      <c r="CF135" s="19"/>
      <c r="CG135" s="19"/>
      <c r="CH135" s="19"/>
      <c r="CI135" s="19"/>
      <c r="CJ135" s="19"/>
      <c r="CK135" s="19"/>
      <c r="CL135" s="19"/>
      <c r="CM135" s="19"/>
      <c r="CN135" s="19"/>
      <c r="CO135" s="19"/>
      <c r="CP135" s="19"/>
      <c r="CQ135" s="19"/>
      <c r="CR135" s="19"/>
      <c r="CS135" s="19"/>
      <c r="CT135" s="19"/>
      <c r="CU135" s="19"/>
      <c r="CV135" s="19"/>
      <c r="CW135" s="19"/>
      <c r="CX135" s="19"/>
      <c r="CY135" s="19"/>
      <c r="CZ135" s="19"/>
      <c r="DA135" s="19"/>
      <c r="DB135" s="19"/>
      <c r="DC135" s="19"/>
      <c r="DD135" s="19"/>
      <c r="DE135" s="19"/>
      <c r="DF135" s="19"/>
      <c r="DG135" s="19"/>
      <c r="DH135" s="19"/>
      <c r="DI135" s="19"/>
      <c r="DJ135" s="19"/>
      <c r="DK135" s="19"/>
      <c r="DL135" s="19"/>
      <c r="DM135" s="19"/>
      <c r="DN135" s="19"/>
      <c r="DO135" s="19"/>
      <c r="DP135" s="19"/>
      <c r="DQ135" s="19"/>
      <c r="DR135" s="19"/>
      <c r="DS135" s="19"/>
      <c r="DT135" s="19"/>
      <c r="DU135" s="19"/>
      <c r="DV135" s="19"/>
      <c r="DW135" s="19"/>
      <c r="DX135" s="19"/>
      <c r="DY135" s="19"/>
      <c r="DZ135" s="19"/>
      <c r="EA135" s="19"/>
      <c r="EB135" s="19"/>
      <c r="EC135" s="19"/>
      <c r="ED135" s="19"/>
      <c r="EE135" s="19"/>
      <c r="EF135" s="19"/>
      <c r="EG135" s="19"/>
      <c r="EH135" s="19"/>
      <c r="EI135" s="19"/>
      <c r="EJ135" s="19"/>
      <c r="EK135" s="19"/>
      <c r="EL135" s="19"/>
      <c r="EM135" s="19"/>
      <c r="EN135" s="19"/>
      <c r="EO135" s="19"/>
      <c r="EP135" s="19"/>
      <c r="EQ135" s="19"/>
      <c r="ER135" s="19"/>
      <c r="ES135" s="19"/>
      <c r="ET135" s="19"/>
      <c r="EU135" s="19"/>
      <c r="EV135" s="19"/>
      <c r="EW135" s="19"/>
      <c r="EX135" s="19"/>
      <c r="EY135" s="19"/>
      <c r="EZ135" s="19"/>
      <c r="FA135" s="19"/>
      <c r="FB135" s="19"/>
      <c r="FC135" s="19"/>
      <c r="FD135" s="19"/>
      <c r="FE135" s="19"/>
      <c r="FF135" s="19"/>
      <c r="FG135" s="19"/>
      <c r="FH135" s="19"/>
      <c r="FI135" s="19"/>
    </row>
    <row r="136" spans="1:166" x14ac:dyDescent="0.25">
      <c r="A136" s="49"/>
      <c r="B136" s="49"/>
      <c r="C136" s="49"/>
      <c r="D136" s="32" t="s">
        <v>137</v>
      </c>
      <c r="E136" s="2">
        <v>1.8</v>
      </c>
      <c r="F136" s="2">
        <v>1.8</v>
      </c>
      <c r="G136" s="42"/>
      <c r="H136" s="13"/>
      <c r="I136" s="48">
        <v>2</v>
      </c>
      <c r="J136" s="29"/>
      <c r="K136" s="49"/>
      <c r="L136" s="49"/>
      <c r="M136" s="32" t="s">
        <v>137</v>
      </c>
      <c r="N136" s="117">
        <f ca="1">INDIRECT("MOSFET_Selection["&amp;$N$133&amp;"]") OFFSET(INDIRECT("MOSFET_Selection[[#Headers], ["&amp;$N$133&amp;"]]"),$I136,)</f>
        <v>2.8</v>
      </c>
      <c r="O136" s="117">
        <f ca="1">INDIRECT("MOSFET_Selection["&amp;$N$133&amp;"]") OFFSET(INDIRECT("MOSFET_Selection[[#Headers], ["&amp;$N$133&amp;"]]"),$I136,)</f>
        <v>2.8</v>
      </c>
      <c r="P136" s="42"/>
      <c r="Q136" s="29"/>
      <c r="R136" s="29"/>
      <c r="S136" s="30"/>
      <c r="T136" s="18"/>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c r="BP136" s="19"/>
      <c r="BQ136" s="19"/>
      <c r="BR136" s="19"/>
      <c r="BS136" s="19"/>
      <c r="BT136" s="19"/>
      <c r="BU136" s="19"/>
      <c r="BV136" s="19"/>
      <c r="BW136" s="19"/>
      <c r="BX136" s="19"/>
      <c r="BY136" s="19"/>
      <c r="BZ136" s="19"/>
      <c r="CA136" s="19"/>
      <c r="CB136" s="19"/>
      <c r="CC136" s="19"/>
      <c r="CD136" s="19"/>
      <c r="CE136" s="19"/>
      <c r="CF136" s="19"/>
      <c r="CG136" s="19"/>
      <c r="CH136" s="19"/>
      <c r="CI136" s="19"/>
      <c r="CJ136" s="19"/>
      <c r="CK136" s="19"/>
      <c r="CL136" s="19"/>
      <c r="CM136" s="19"/>
      <c r="CN136" s="19"/>
      <c r="CO136" s="19"/>
      <c r="CP136" s="19"/>
      <c r="CQ136" s="19"/>
      <c r="CR136" s="19"/>
      <c r="CS136" s="19"/>
      <c r="CT136" s="19"/>
      <c r="CU136" s="19"/>
      <c r="CV136" s="19"/>
      <c r="CW136" s="19"/>
      <c r="CX136" s="19"/>
      <c r="CY136" s="19"/>
      <c r="CZ136" s="19"/>
      <c r="DA136" s="19"/>
      <c r="DB136" s="19"/>
      <c r="DC136" s="19"/>
      <c r="DD136" s="19"/>
      <c r="DE136" s="19"/>
      <c r="DF136" s="19"/>
      <c r="DG136" s="19"/>
      <c r="DH136" s="19"/>
      <c r="DI136" s="19"/>
      <c r="DJ136" s="19"/>
      <c r="DK136" s="19"/>
      <c r="DL136" s="19"/>
      <c r="DM136" s="19"/>
      <c r="DN136" s="19"/>
      <c r="DO136" s="19"/>
      <c r="DP136" s="19"/>
      <c r="DQ136" s="19"/>
      <c r="DR136" s="19"/>
      <c r="DS136" s="19"/>
      <c r="DT136" s="19"/>
      <c r="DU136" s="19"/>
      <c r="DV136" s="19"/>
      <c r="DW136" s="19"/>
      <c r="DX136" s="19"/>
      <c r="DY136" s="19"/>
      <c r="DZ136" s="19"/>
      <c r="EA136" s="19"/>
      <c r="EB136" s="19"/>
      <c r="EC136" s="19"/>
      <c r="ED136" s="19"/>
      <c r="EE136" s="19"/>
      <c r="EF136" s="19"/>
      <c r="EG136" s="19"/>
      <c r="EH136" s="19"/>
      <c r="EI136" s="19"/>
      <c r="EJ136" s="19"/>
      <c r="EK136" s="19"/>
      <c r="EL136" s="19"/>
      <c r="EM136" s="19"/>
      <c r="EN136" s="19"/>
      <c r="EO136" s="19"/>
      <c r="EP136" s="19"/>
      <c r="EQ136" s="19"/>
      <c r="ER136" s="19"/>
      <c r="ES136" s="19"/>
      <c r="ET136" s="19"/>
      <c r="EU136" s="19"/>
      <c r="EV136" s="19"/>
      <c r="EW136" s="19"/>
      <c r="EX136" s="19"/>
      <c r="EY136" s="19"/>
      <c r="EZ136" s="19"/>
      <c r="FA136" s="19"/>
      <c r="FB136" s="19"/>
      <c r="FC136" s="19"/>
      <c r="FD136" s="19"/>
      <c r="FE136" s="19"/>
      <c r="FF136" s="19"/>
      <c r="FG136" s="19"/>
      <c r="FH136" s="19"/>
      <c r="FI136" s="19"/>
    </row>
    <row r="137" spans="1:166" x14ac:dyDescent="0.25">
      <c r="A137" s="49"/>
      <c r="B137" s="49"/>
      <c r="C137" s="49"/>
      <c r="D137" s="32" t="s">
        <v>138</v>
      </c>
      <c r="E137" s="2">
        <v>1.7</v>
      </c>
      <c r="F137" s="2">
        <v>1.7</v>
      </c>
      <c r="G137" s="42"/>
      <c r="H137" s="13"/>
      <c r="I137" s="48"/>
      <c r="J137" s="29"/>
      <c r="K137" s="49"/>
      <c r="L137" s="49"/>
      <c r="M137" s="32" t="s">
        <v>138</v>
      </c>
      <c r="N137" s="2"/>
      <c r="O137" s="2"/>
      <c r="P137" s="42"/>
      <c r="Q137" s="29"/>
      <c r="R137" s="29"/>
      <c r="S137" s="30"/>
      <c r="T137" s="18"/>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c r="BP137" s="19"/>
      <c r="BQ137" s="19"/>
      <c r="BR137" s="19"/>
      <c r="BS137" s="19"/>
      <c r="BT137" s="19"/>
      <c r="BU137" s="19"/>
      <c r="BV137" s="19"/>
      <c r="BW137" s="19"/>
      <c r="BX137" s="19"/>
      <c r="BY137" s="19"/>
      <c r="BZ137" s="19"/>
      <c r="CA137" s="19"/>
      <c r="CB137" s="19"/>
      <c r="CC137" s="19"/>
      <c r="CD137" s="19"/>
      <c r="CE137" s="19"/>
      <c r="CF137" s="19"/>
      <c r="CG137" s="19"/>
      <c r="CH137" s="19"/>
      <c r="CI137" s="19"/>
      <c r="CJ137" s="19"/>
      <c r="CK137" s="19"/>
      <c r="CL137" s="19"/>
      <c r="CM137" s="19"/>
      <c r="CN137" s="19"/>
      <c r="CO137" s="19"/>
      <c r="CP137" s="19"/>
      <c r="CQ137" s="19"/>
      <c r="CR137" s="19"/>
      <c r="CS137" s="19"/>
      <c r="CT137" s="19"/>
      <c r="CU137" s="19"/>
      <c r="CV137" s="19"/>
      <c r="CW137" s="19"/>
      <c r="CX137" s="19"/>
      <c r="CY137" s="19"/>
      <c r="CZ137" s="19"/>
      <c r="DA137" s="19"/>
      <c r="DB137" s="19"/>
      <c r="DC137" s="19"/>
      <c r="DD137" s="19"/>
      <c r="DE137" s="19"/>
      <c r="DF137" s="19"/>
      <c r="DG137" s="19"/>
      <c r="DH137" s="19"/>
      <c r="DI137" s="19"/>
      <c r="DJ137" s="19"/>
      <c r="DK137" s="19"/>
      <c r="DL137" s="19"/>
      <c r="DM137" s="19"/>
      <c r="DN137" s="19"/>
      <c r="DO137" s="19"/>
      <c r="DP137" s="19"/>
      <c r="DQ137" s="19"/>
      <c r="DR137" s="19"/>
      <c r="DS137" s="19"/>
      <c r="DT137" s="19"/>
      <c r="DU137" s="19"/>
      <c r="DV137" s="19"/>
      <c r="DW137" s="19"/>
      <c r="DX137" s="19"/>
      <c r="DY137" s="19"/>
      <c r="DZ137" s="19"/>
      <c r="EA137" s="19"/>
      <c r="EB137" s="19"/>
      <c r="EC137" s="19"/>
      <c r="ED137" s="19"/>
      <c r="EE137" s="19"/>
      <c r="EF137" s="19"/>
      <c r="EG137" s="19"/>
      <c r="EH137" s="19"/>
      <c r="EI137" s="19"/>
      <c r="EJ137" s="19"/>
      <c r="EK137" s="19"/>
      <c r="EL137" s="19"/>
      <c r="EM137" s="19"/>
      <c r="EN137" s="19"/>
      <c r="EO137" s="19"/>
      <c r="EP137" s="19"/>
      <c r="EQ137" s="19"/>
      <c r="ER137" s="19"/>
      <c r="ES137" s="19"/>
      <c r="ET137" s="19"/>
      <c r="EU137" s="19"/>
      <c r="EV137" s="19"/>
      <c r="EW137" s="19"/>
      <c r="EX137" s="19"/>
      <c r="EY137" s="19"/>
      <c r="EZ137" s="19"/>
      <c r="FA137" s="19"/>
      <c r="FB137" s="19"/>
      <c r="FC137" s="19"/>
      <c r="FD137" s="19"/>
      <c r="FE137" s="19"/>
      <c r="FF137" s="19"/>
      <c r="FG137" s="19"/>
      <c r="FH137" s="19"/>
      <c r="FI137" s="19"/>
    </row>
    <row r="138" spans="1:166" x14ac:dyDescent="0.25">
      <c r="A138" s="49"/>
      <c r="B138" s="49"/>
      <c r="C138" s="49"/>
      <c r="D138" s="32" t="s">
        <v>139</v>
      </c>
      <c r="E138" s="2">
        <v>20</v>
      </c>
      <c r="F138" s="2">
        <v>20</v>
      </c>
      <c r="G138" s="42" t="s">
        <v>140</v>
      </c>
      <c r="H138" s="13"/>
      <c r="I138" s="48">
        <v>4</v>
      </c>
      <c r="J138" s="29"/>
      <c r="K138" s="49"/>
      <c r="L138" s="49"/>
      <c r="M138" s="32" t="s">
        <v>139</v>
      </c>
      <c r="N138" s="117">
        <f ca="1">INDIRECT("MOSFET_Selection["&amp;$N$133&amp;"]") OFFSET(INDIRECT("MOSFET_Selection[[#Headers], ["&amp;$N$133&amp;"]]"),$I138,)</f>
        <v>40.5</v>
      </c>
      <c r="O138" s="117">
        <f ca="1">INDIRECT("MOSFET_Selection["&amp;$N$133&amp;"]") OFFSET(INDIRECT("MOSFET_Selection[[#Headers], ["&amp;$N$133&amp;"]]"),$I138,)</f>
        <v>40.5</v>
      </c>
      <c r="P138" s="42" t="s">
        <v>140</v>
      </c>
      <c r="Q138" s="29"/>
      <c r="R138" s="29"/>
      <c r="S138" s="30"/>
      <c r="T138" s="18"/>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c r="BP138" s="19"/>
      <c r="BQ138" s="19"/>
      <c r="BR138" s="19"/>
      <c r="BS138" s="19"/>
      <c r="BT138" s="19"/>
      <c r="BU138" s="19"/>
      <c r="BV138" s="19"/>
      <c r="BW138" s="19"/>
      <c r="BX138" s="19"/>
      <c r="BY138" s="19"/>
      <c r="BZ138" s="19"/>
      <c r="CA138" s="19"/>
      <c r="CB138" s="19"/>
      <c r="CC138" s="19"/>
      <c r="CD138" s="19"/>
      <c r="CE138" s="19"/>
      <c r="CF138" s="19"/>
      <c r="CG138" s="19"/>
      <c r="CH138" s="19"/>
      <c r="CI138" s="19"/>
      <c r="CJ138" s="19"/>
      <c r="CK138" s="19"/>
      <c r="CL138" s="19"/>
      <c r="CM138" s="19"/>
      <c r="CN138" s="19"/>
      <c r="CO138" s="19"/>
      <c r="CP138" s="19"/>
      <c r="CQ138" s="19"/>
      <c r="CR138" s="19"/>
      <c r="CS138" s="19"/>
      <c r="CT138" s="19"/>
      <c r="CU138" s="19"/>
      <c r="CV138" s="19"/>
      <c r="CW138" s="19"/>
      <c r="CX138" s="19"/>
      <c r="CY138" s="19"/>
      <c r="CZ138" s="19"/>
      <c r="DA138" s="19"/>
      <c r="DB138" s="19"/>
      <c r="DC138" s="19"/>
      <c r="DD138" s="19"/>
      <c r="DE138" s="19"/>
      <c r="DF138" s="19"/>
      <c r="DG138" s="19"/>
      <c r="DH138" s="19"/>
      <c r="DI138" s="19"/>
      <c r="DJ138" s="19"/>
      <c r="DK138" s="19"/>
      <c r="DL138" s="19"/>
      <c r="DM138" s="19"/>
      <c r="DN138" s="19"/>
      <c r="DO138" s="19"/>
      <c r="DP138" s="19"/>
      <c r="DQ138" s="19"/>
      <c r="DR138" s="19"/>
      <c r="DS138" s="19"/>
      <c r="DT138" s="19"/>
      <c r="DU138" s="19"/>
      <c r="DV138" s="19"/>
      <c r="DW138" s="19"/>
      <c r="DX138" s="19"/>
      <c r="DY138" s="19"/>
      <c r="DZ138" s="19"/>
      <c r="EA138" s="19"/>
      <c r="EB138" s="19"/>
      <c r="EC138" s="19"/>
      <c r="ED138" s="19"/>
      <c r="EE138" s="19"/>
      <c r="EF138" s="19"/>
      <c r="EG138" s="19"/>
      <c r="EH138" s="19"/>
      <c r="EI138" s="19"/>
      <c r="EJ138" s="19"/>
      <c r="EK138" s="19"/>
      <c r="EL138" s="19"/>
      <c r="EM138" s="19"/>
      <c r="EN138" s="19"/>
      <c r="EO138" s="19"/>
      <c r="EP138" s="19"/>
      <c r="EQ138" s="19"/>
      <c r="ER138" s="19"/>
      <c r="ES138" s="19"/>
      <c r="ET138" s="19"/>
      <c r="EU138" s="19"/>
      <c r="EV138" s="19"/>
      <c r="EW138" s="19"/>
      <c r="EX138" s="19"/>
      <c r="EY138" s="19"/>
      <c r="EZ138" s="19"/>
      <c r="FA138" s="19"/>
      <c r="FB138" s="19"/>
      <c r="FC138" s="19"/>
      <c r="FD138" s="19"/>
      <c r="FE138" s="19"/>
      <c r="FF138" s="19"/>
      <c r="FG138" s="19"/>
      <c r="FH138" s="19"/>
      <c r="FI138" s="19"/>
    </row>
    <row r="139" spans="1:166" x14ac:dyDescent="0.25">
      <c r="A139" s="49"/>
      <c r="B139" s="49"/>
      <c r="C139" s="49"/>
      <c r="D139" s="32" t="s">
        <v>141</v>
      </c>
      <c r="E139" s="2">
        <v>41</v>
      </c>
      <c r="F139" s="2">
        <v>41</v>
      </c>
      <c r="G139" s="42"/>
      <c r="H139" s="13"/>
      <c r="I139" s="48">
        <v>5</v>
      </c>
      <c r="J139" s="29"/>
      <c r="K139" s="49"/>
      <c r="L139" s="49"/>
      <c r="M139" s="32" t="s">
        <v>141</v>
      </c>
      <c r="N139" s="117">
        <f ca="1">INDIRECT("MOSFET_Selection["&amp;$N$133&amp;"]") OFFSET(INDIRECT("MOSFET_Selection[[#Headers], ["&amp;$N$133&amp;"]]"),$I139,)</f>
        <v>90</v>
      </c>
      <c r="O139" s="117">
        <f ca="1">INDIRECT("MOSFET_Selection["&amp;$N$133&amp;"]") OFFSET(INDIRECT("MOSFET_Selection[[#Headers], ["&amp;$N$133&amp;"]]"),$I139,)</f>
        <v>90</v>
      </c>
      <c r="P139" s="42"/>
      <c r="Q139" s="29"/>
      <c r="R139" s="29"/>
      <c r="S139" s="30"/>
      <c r="T139" s="18"/>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c r="BP139" s="19"/>
      <c r="BQ139" s="19"/>
      <c r="BR139" s="19"/>
      <c r="BS139" s="19"/>
      <c r="BT139" s="19"/>
      <c r="BU139" s="19"/>
      <c r="BV139" s="19"/>
      <c r="BW139" s="19"/>
      <c r="BX139" s="19"/>
      <c r="BY139" s="19"/>
      <c r="BZ139" s="19"/>
      <c r="CA139" s="19"/>
      <c r="CB139" s="19"/>
      <c r="CC139" s="19"/>
      <c r="CD139" s="19"/>
      <c r="CE139" s="19"/>
      <c r="CF139" s="19"/>
      <c r="CG139" s="19"/>
      <c r="CH139" s="19"/>
      <c r="CI139" s="19"/>
      <c r="CJ139" s="19"/>
      <c r="CK139" s="19"/>
      <c r="CL139" s="19"/>
      <c r="CM139" s="19"/>
      <c r="CN139" s="19"/>
      <c r="CO139" s="19"/>
      <c r="CP139" s="19"/>
      <c r="CQ139" s="19"/>
      <c r="CR139" s="19"/>
      <c r="CS139" s="19"/>
      <c r="CT139" s="19"/>
      <c r="CU139" s="19"/>
      <c r="CV139" s="19"/>
      <c r="CW139" s="19"/>
      <c r="CX139" s="19"/>
      <c r="CY139" s="19"/>
      <c r="CZ139" s="19"/>
      <c r="DA139" s="19"/>
      <c r="DB139" s="19"/>
      <c r="DC139" s="19"/>
      <c r="DD139" s="19"/>
      <c r="DE139" s="19"/>
      <c r="DF139" s="19"/>
      <c r="DG139" s="19"/>
      <c r="DH139" s="19"/>
      <c r="DI139" s="19"/>
      <c r="DJ139" s="19"/>
      <c r="DK139" s="19"/>
      <c r="DL139" s="19"/>
      <c r="DM139" s="19"/>
      <c r="DN139" s="19"/>
      <c r="DO139" s="19"/>
      <c r="DP139" s="19"/>
      <c r="DQ139" s="19"/>
      <c r="DR139" s="19"/>
      <c r="DS139" s="19"/>
      <c r="DT139" s="19"/>
      <c r="DU139" s="19"/>
      <c r="DV139" s="19"/>
      <c r="DW139" s="19"/>
      <c r="DX139" s="19"/>
      <c r="DY139" s="19"/>
      <c r="DZ139" s="19"/>
      <c r="EA139" s="19"/>
      <c r="EB139" s="19"/>
      <c r="EC139" s="19"/>
      <c r="ED139" s="19"/>
      <c r="EE139" s="19"/>
      <c r="EF139" s="19"/>
      <c r="EG139" s="19"/>
      <c r="EH139" s="19"/>
      <c r="EI139" s="19"/>
      <c r="EJ139" s="19"/>
      <c r="EK139" s="19"/>
      <c r="EL139" s="19"/>
      <c r="EM139" s="19"/>
      <c r="EN139" s="19"/>
      <c r="EO139" s="19"/>
      <c r="EP139" s="19"/>
      <c r="EQ139" s="19"/>
      <c r="ER139" s="19"/>
      <c r="ES139" s="19"/>
      <c r="ET139" s="19"/>
      <c r="EU139" s="19"/>
      <c r="EV139" s="19"/>
      <c r="EW139" s="19"/>
      <c r="EX139" s="19"/>
      <c r="EY139" s="19"/>
      <c r="EZ139" s="19"/>
      <c r="FA139" s="19"/>
      <c r="FB139" s="19"/>
      <c r="FC139" s="19"/>
      <c r="FD139" s="19"/>
      <c r="FE139" s="19"/>
      <c r="FF139" s="19"/>
      <c r="FG139" s="19"/>
      <c r="FH139" s="19"/>
      <c r="FI139" s="19"/>
    </row>
    <row r="140" spans="1:166" x14ac:dyDescent="0.25">
      <c r="A140" s="49"/>
      <c r="B140" s="49"/>
      <c r="C140" s="49"/>
      <c r="D140" s="32" t="s">
        <v>142</v>
      </c>
      <c r="E140" s="2">
        <v>48.6</v>
      </c>
      <c r="F140" s="2">
        <v>48.6</v>
      </c>
      <c r="G140" s="42"/>
      <c r="H140" s="13"/>
      <c r="I140" s="48"/>
      <c r="J140" s="29"/>
      <c r="K140" s="49"/>
      <c r="L140" s="49"/>
      <c r="M140" s="32" t="s">
        <v>142</v>
      </c>
      <c r="N140" s="2"/>
      <c r="O140" s="2"/>
      <c r="P140" s="42"/>
      <c r="Q140" s="29"/>
      <c r="R140" s="29"/>
      <c r="S140" s="30"/>
      <c r="T140" s="18"/>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c r="BP140" s="19"/>
      <c r="BQ140" s="19"/>
      <c r="BR140" s="19"/>
      <c r="BS140" s="19"/>
      <c r="BT140" s="19"/>
      <c r="BU140" s="19"/>
      <c r="BV140" s="19"/>
      <c r="BW140" s="19"/>
      <c r="BX140" s="19"/>
      <c r="BY140" s="19"/>
      <c r="BZ140" s="19"/>
      <c r="CA140" s="19"/>
      <c r="CB140" s="19"/>
      <c r="CC140" s="19"/>
      <c r="CD140" s="19"/>
      <c r="CE140" s="19"/>
      <c r="CF140" s="19"/>
      <c r="CG140" s="19"/>
      <c r="CH140" s="19"/>
      <c r="CI140" s="19"/>
      <c r="CJ140" s="19"/>
      <c r="CK140" s="19"/>
      <c r="CL140" s="19"/>
      <c r="CM140" s="19"/>
      <c r="CN140" s="19"/>
      <c r="CO140" s="19"/>
      <c r="CP140" s="19"/>
      <c r="CQ140" s="19"/>
      <c r="CR140" s="19"/>
      <c r="CS140" s="19"/>
      <c r="CT140" s="19"/>
      <c r="CU140" s="19"/>
      <c r="CV140" s="19"/>
      <c r="CW140" s="19"/>
      <c r="CX140" s="19"/>
      <c r="CY140" s="19"/>
      <c r="CZ140" s="19"/>
      <c r="DA140" s="19"/>
      <c r="DB140" s="19"/>
      <c r="DC140" s="19"/>
      <c r="DD140" s="19"/>
      <c r="DE140" s="19"/>
      <c r="DF140" s="19"/>
      <c r="DG140" s="19"/>
      <c r="DH140" s="19"/>
      <c r="DI140" s="19"/>
      <c r="DJ140" s="19"/>
      <c r="DK140" s="19"/>
      <c r="DL140" s="19"/>
      <c r="DM140" s="19"/>
      <c r="DN140" s="19"/>
      <c r="DO140" s="19"/>
      <c r="DP140" s="19"/>
      <c r="DQ140" s="19"/>
      <c r="DR140" s="19"/>
      <c r="DS140" s="19"/>
      <c r="DT140" s="19"/>
      <c r="DU140" s="19"/>
      <c r="DV140" s="19"/>
      <c r="DW140" s="19"/>
      <c r="DX140" s="19"/>
      <c r="DY140" s="19"/>
      <c r="DZ140" s="19"/>
      <c r="EA140" s="19"/>
      <c r="EB140" s="19"/>
      <c r="EC140" s="19"/>
      <c r="ED140" s="19"/>
      <c r="EE140" s="19"/>
      <c r="EF140" s="19"/>
      <c r="EG140" s="19"/>
      <c r="EH140" s="19"/>
      <c r="EI140" s="19"/>
      <c r="EJ140" s="19"/>
      <c r="EK140" s="19"/>
      <c r="EL140" s="19"/>
      <c r="EM140" s="19"/>
      <c r="EN140" s="19"/>
      <c r="EO140" s="19"/>
      <c r="EP140" s="19"/>
      <c r="EQ140" s="19"/>
      <c r="ER140" s="19"/>
      <c r="ES140" s="19"/>
      <c r="ET140" s="19"/>
      <c r="EU140" s="19"/>
      <c r="EV140" s="19"/>
      <c r="EW140" s="19"/>
      <c r="EX140" s="19"/>
      <c r="EY140" s="19"/>
      <c r="EZ140" s="19"/>
      <c r="FA140" s="19"/>
      <c r="FB140" s="19"/>
      <c r="FC140" s="19"/>
      <c r="FD140" s="19"/>
      <c r="FE140" s="19"/>
      <c r="FF140" s="19"/>
      <c r="FG140" s="19"/>
      <c r="FH140" s="19"/>
      <c r="FI140" s="19"/>
    </row>
    <row r="141" spans="1:166" x14ac:dyDescent="0.25">
      <c r="A141" s="49"/>
      <c r="B141" s="49"/>
      <c r="C141" s="49"/>
      <c r="D141" s="32" t="s">
        <v>143</v>
      </c>
      <c r="E141" s="2">
        <v>6.7</v>
      </c>
      <c r="F141" s="2">
        <v>6.7</v>
      </c>
      <c r="G141" s="42" t="s">
        <v>140</v>
      </c>
      <c r="H141" s="13"/>
      <c r="I141" s="48">
        <v>7</v>
      </c>
      <c r="J141" s="29"/>
      <c r="K141" s="49"/>
      <c r="L141" s="49"/>
      <c r="M141" s="32" t="s">
        <v>143</v>
      </c>
      <c r="N141" s="117">
        <f ca="1">INDIRECT("MOSFET_Selection["&amp;$N$133&amp;"]") OFFSET(INDIRECT("MOSFET_Selection[[#Headers], ["&amp;$N$133&amp;"]]"),$I141,)</f>
        <v>8.8000000000000007</v>
      </c>
      <c r="O141" s="117">
        <f ca="1">INDIRECT("MOSFET_Selection["&amp;$N$133&amp;"]") OFFSET(INDIRECT("MOSFET_Selection[[#Headers], ["&amp;$N$133&amp;"]]"),$I141,)</f>
        <v>8.8000000000000007</v>
      </c>
      <c r="P141" s="42" t="s">
        <v>140</v>
      </c>
      <c r="Q141" s="29"/>
      <c r="R141" s="29"/>
      <c r="S141" s="30"/>
      <c r="T141" s="18"/>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c r="BP141" s="19"/>
      <c r="BQ141" s="19"/>
      <c r="BR141" s="19"/>
      <c r="BS141" s="19"/>
      <c r="BT141" s="19"/>
      <c r="BU141" s="19"/>
      <c r="BV141" s="19"/>
      <c r="BW141" s="19"/>
      <c r="BX141" s="19"/>
      <c r="BY141" s="19"/>
      <c r="BZ141" s="19"/>
      <c r="CA141" s="19"/>
      <c r="CB141" s="19"/>
      <c r="CC141" s="19"/>
      <c r="CD141" s="19"/>
      <c r="CE141" s="19"/>
      <c r="CF141" s="19"/>
      <c r="CG141" s="19"/>
      <c r="CH141" s="19"/>
      <c r="CI141" s="19"/>
      <c r="CJ141" s="19"/>
      <c r="CK141" s="19"/>
      <c r="CL141" s="19"/>
      <c r="CM141" s="19"/>
      <c r="CN141" s="19"/>
      <c r="CO141" s="19"/>
      <c r="CP141" s="19"/>
      <c r="CQ141" s="19"/>
      <c r="CR141" s="19"/>
      <c r="CS141" s="19"/>
      <c r="CT141" s="19"/>
      <c r="CU141" s="19"/>
      <c r="CV141" s="19"/>
      <c r="CW141" s="19"/>
      <c r="CX141" s="19"/>
      <c r="CY141" s="19"/>
      <c r="CZ141" s="19"/>
      <c r="DA141" s="19"/>
      <c r="DB141" s="19"/>
      <c r="DC141" s="19"/>
      <c r="DD141" s="19"/>
      <c r="DE141" s="19"/>
      <c r="DF141" s="19"/>
      <c r="DG141" s="19"/>
      <c r="DH141" s="19"/>
      <c r="DI141" s="19"/>
      <c r="DJ141" s="19"/>
      <c r="DK141" s="19"/>
      <c r="DL141" s="19"/>
      <c r="DM141" s="19"/>
      <c r="DN141" s="19"/>
      <c r="DO141" s="19"/>
      <c r="DP141" s="19"/>
      <c r="DQ141" s="19"/>
      <c r="DR141" s="19"/>
      <c r="DS141" s="19"/>
      <c r="DT141" s="19"/>
      <c r="DU141" s="19"/>
      <c r="DV141" s="19"/>
      <c r="DW141" s="19"/>
      <c r="DX141" s="19"/>
      <c r="DY141" s="19"/>
      <c r="DZ141" s="19"/>
      <c r="EA141" s="19"/>
      <c r="EB141" s="19"/>
      <c r="EC141" s="19"/>
      <c r="ED141" s="19"/>
      <c r="EE141" s="19"/>
      <c r="EF141" s="19"/>
      <c r="EG141" s="19"/>
      <c r="EH141" s="19"/>
      <c r="EI141" s="19"/>
      <c r="EJ141" s="19"/>
      <c r="EK141" s="19"/>
      <c r="EL141" s="19"/>
      <c r="EM141" s="19"/>
      <c r="EN141" s="19"/>
      <c r="EO141" s="19"/>
      <c r="EP141" s="19"/>
      <c r="EQ141" s="19"/>
      <c r="ER141" s="19"/>
      <c r="ES141" s="19"/>
      <c r="ET141" s="19"/>
      <c r="EU141" s="19"/>
      <c r="EV141" s="19"/>
      <c r="EW141" s="19"/>
      <c r="EX141" s="19"/>
      <c r="EY141" s="19"/>
      <c r="EZ141" s="19"/>
      <c r="FA141" s="19"/>
      <c r="FB141" s="19"/>
      <c r="FC141" s="19"/>
      <c r="FD141" s="19"/>
      <c r="FE141" s="19"/>
      <c r="FF141" s="19"/>
      <c r="FG141" s="19"/>
      <c r="FH141" s="19"/>
      <c r="FI141" s="19"/>
    </row>
    <row r="142" spans="1:166" x14ac:dyDescent="0.25">
      <c r="A142" s="49"/>
      <c r="B142" s="49"/>
      <c r="C142" s="49"/>
      <c r="D142" s="32" t="s">
        <v>144</v>
      </c>
      <c r="E142" s="2">
        <v>8.8000000000000007</v>
      </c>
      <c r="F142" s="2">
        <v>8.8000000000000007</v>
      </c>
      <c r="G142" s="42" t="s">
        <v>140</v>
      </c>
      <c r="H142" s="13"/>
      <c r="I142" s="48">
        <v>8</v>
      </c>
      <c r="J142" s="29"/>
      <c r="K142" s="49"/>
      <c r="L142" s="49"/>
      <c r="M142" s="32" t="s">
        <v>144</v>
      </c>
      <c r="N142" s="117">
        <f ca="1">INDIRECT("MOSFET_Selection["&amp;$N$133&amp;"]") OFFSET(INDIRECT("MOSFET_Selection[[#Headers], ["&amp;$N$133&amp;"]]"),$I142,)</f>
        <v>20</v>
      </c>
      <c r="O142" s="117">
        <f ca="1">INDIRECT("MOSFET_Selection["&amp;$N$133&amp;"]") OFFSET(INDIRECT("MOSFET_Selection[[#Headers], ["&amp;$N$133&amp;"]]"),$I142,)</f>
        <v>20</v>
      </c>
      <c r="P142" s="42" t="s">
        <v>140</v>
      </c>
      <c r="Q142" s="29"/>
      <c r="R142" s="29"/>
      <c r="S142" s="30"/>
      <c r="T142" s="18"/>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c r="BP142" s="19"/>
      <c r="BQ142" s="19"/>
      <c r="BR142" s="19"/>
      <c r="BS142" s="19"/>
      <c r="BT142" s="19"/>
      <c r="BU142" s="19"/>
      <c r="BV142" s="19"/>
      <c r="BW142" s="19"/>
      <c r="BX142" s="19"/>
      <c r="BY142" s="19"/>
      <c r="BZ142" s="19"/>
      <c r="CA142" s="19"/>
      <c r="CB142" s="19"/>
      <c r="CC142" s="19"/>
      <c r="CD142" s="19"/>
      <c r="CE142" s="19"/>
      <c r="CF142" s="19"/>
      <c r="CG142" s="19"/>
      <c r="CH142" s="19"/>
      <c r="CI142" s="19"/>
      <c r="CJ142" s="19"/>
      <c r="CK142" s="19"/>
      <c r="CL142" s="19"/>
      <c r="CM142" s="19"/>
      <c r="CN142" s="19"/>
      <c r="CO142" s="19"/>
      <c r="CP142" s="19"/>
      <c r="CQ142" s="19"/>
      <c r="CR142" s="19"/>
      <c r="CS142" s="19"/>
      <c r="CT142" s="19"/>
      <c r="CU142" s="19"/>
      <c r="CV142" s="19"/>
      <c r="CW142" s="19"/>
      <c r="CX142" s="19"/>
      <c r="CY142" s="19"/>
      <c r="CZ142" s="19"/>
      <c r="DA142" s="19"/>
      <c r="DB142" s="19"/>
      <c r="DC142" s="19"/>
      <c r="DD142" s="19"/>
      <c r="DE142" s="19"/>
      <c r="DF142" s="19"/>
      <c r="DG142" s="19"/>
      <c r="DH142" s="19"/>
      <c r="DI142" s="19"/>
      <c r="DJ142" s="19"/>
      <c r="DK142" s="19"/>
      <c r="DL142" s="19"/>
      <c r="DM142" s="19"/>
      <c r="DN142" s="19"/>
      <c r="DO142" s="19"/>
      <c r="DP142" s="19"/>
      <c r="DQ142" s="19"/>
      <c r="DR142" s="19"/>
      <c r="DS142" s="19"/>
      <c r="DT142" s="19"/>
      <c r="DU142" s="19"/>
      <c r="DV142" s="19"/>
      <c r="DW142" s="19"/>
      <c r="DX142" s="19"/>
      <c r="DY142" s="19"/>
      <c r="DZ142" s="19"/>
      <c r="EA142" s="19"/>
      <c r="EB142" s="19"/>
      <c r="EC142" s="19"/>
      <c r="ED142" s="19"/>
      <c r="EE142" s="19"/>
      <c r="EF142" s="19"/>
      <c r="EG142" s="19"/>
      <c r="EH142" s="19"/>
      <c r="EI142" s="19"/>
      <c r="EJ142" s="19"/>
      <c r="EK142" s="19"/>
      <c r="EL142" s="19"/>
      <c r="EM142" s="19"/>
      <c r="EN142" s="19"/>
      <c r="EO142" s="19"/>
      <c r="EP142" s="19"/>
      <c r="EQ142" s="19"/>
      <c r="ER142" s="19"/>
      <c r="ES142" s="19"/>
      <c r="ET142" s="19"/>
      <c r="EU142" s="19"/>
      <c r="EV142" s="19"/>
      <c r="EW142" s="19"/>
      <c r="EX142" s="19"/>
      <c r="EY142" s="19"/>
      <c r="EZ142" s="19"/>
      <c r="FA142" s="19"/>
      <c r="FB142" s="19"/>
      <c r="FC142" s="19"/>
      <c r="FD142" s="19"/>
      <c r="FE142" s="19"/>
      <c r="FF142" s="19"/>
      <c r="FG142" s="19"/>
      <c r="FH142" s="19"/>
      <c r="FI142" s="19"/>
    </row>
    <row r="143" spans="1:166" x14ac:dyDescent="0.25">
      <c r="A143" s="49"/>
      <c r="B143" s="49"/>
      <c r="C143" s="49"/>
      <c r="D143" s="32" t="s">
        <v>145</v>
      </c>
      <c r="E143" s="2">
        <v>83</v>
      </c>
      <c r="F143" s="2">
        <v>83</v>
      </c>
      <c r="G143" s="42" t="s">
        <v>140</v>
      </c>
      <c r="H143" s="13"/>
      <c r="I143" s="48">
        <v>9</v>
      </c>
      <c r="J143" s="29"/>
      <c r="K143" s="49"/>
      <c r="L143" s="49"/>
      <c r="M143" s="32" t="s">
        <v>146</v>
      </c>
      <c r="N143" s="117">
        <f ca="1">INDIRECT("MOSFET_Selection["&amp;$N$133&amp;"]") OFFSET(INDIRECT("MOSFET_Selection[[#Headers], ["&amp;$N$133&amp;"]]"),$I143,)</f>
        <v>73</v>
      </c>
      <c r="O143" s="117">
        <f ca="1">INDIRECT("MOSFET_Selection["&amp;$N$133&amp;"]") OFFSET(INDIRECT("MOSFET_Selection[[#Headers], ["&amp;$N$133&amp;"]]"),$I143,)</f>
        <v>73</v>
      </c>
      <c r="P143" s="42" t="s">
        <v>140</v>
      </c>
      <c r="Q143" s="29"/>
      <c r="R143" s="29"/>
      <c r="S143" s="30"/>
      <c r="T143" s="18"/>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c r="BP143" s="19"/>
      <c r="BQ143" s="19"/>
      <c r="BR143" s="19"/>
      <c r="BS143" s="19"/>
      <c r="BT143" s="19"/>
      <c r="BU143" s="19"/>
      <c r="BV143" s="19"/>
      <c r="BW143" s="19"/>
      <c r="BX143" s="19"/>
      <c r="BY143" s="19"/>
      <c r="BZ143" s="19"/>
      <c r="CA143" s="19"/>
      <c r="CB143" s="19"/>
      <c r="CC143" s="19"/>
      <c r="CD143" s="19"/>
      <c r="CE143" s="19"/>
      <c r="CF143" s="19"/>
      <c r="CG143" s="19"/>
      <c r="CH143" s="19"/>
      <c r="CI143" s="19"/>
      <c r="CJ143" s="19"/>
      <c r="CK143" s="19"/>
      <c r="CL143" s="19"/>
      <c r="CM143" s="19"/>
      <c r="CN143" s="19"/>
      <c r="CO143" s="19"/>
      <c r="CP143" s="19"/>
      <c r="CQ143" s="19"/>
      <c r="CR143" s="19"/>
      <c r="CS143" s="19"/>
      <c r="CT143" s="19"/>
      <c r="CU143" s="19"/>
      <c r="CV143" s="19"/>
      <c r="CW143" s="19"/>
      <c r="CX143" s="19"/>
      <c r="CY143" s="19"/>
      <c r="CZ143" s="19"/>
      <c r="DA143" s="19"/>
      <c r="DB143" s="19"/>
      <c r="DC143" s="19"/>
      <c r="DD143" s="19"/>
      <c r="DE143" s="19"/>
      <c r="DF143" s="19"/>
      <c r="DG143" s="19"/>
      <c r="DH143" s="19"/>
      <c r="DI143" s="19"/>
      <c r="DJ143" s="19"/>
      <c r="DK143" s="19"/>
      <c r="DL143" s="19"/>
      <c r="DM143" s="19"/>
      <c r="DN143" s="19"/>
      <c r="DO143" s="19"/>
      <c r="DP143" s="19"/>
      <c r="DQ143" s="19"/>
      <c r="DR143" s="19"/>
      <c r="DS143" s="19"/>
      <c r="DT143" s="19"/>
      <c r="DU143" s="19"/>
      <c r="DV143" s="19"/>
      <c r="DW143" s="19"/>
      <c r="DX143" s="19"/>
      <c r="DY143" s="19"/>
      <c r="DZ143" s="19"/>
      <c r="EA143" s="19"/>
      <c r="EB143" s="19"/>
      <c r="EC143" s="19"/>
      <c r="ED143" s="19"/>
      <c r="EE143" s="19"/>
      <c r="EF143" s="19"/>
      <c r="EG143" s="19"/>
      <c r="EH143" s="19"/>
      <c r="EI143" s="19"/>
      <c r="EJ143" s="19"/>
      <c r="EK143" s="19"/>
      <c r="EL143" s="19"/>
      <c r="EM143" s="19"/>
      <c r="EN143" s="19"/>
      <c r="EO143" s="19"/>
      <c r="EP143" s="19"/>
      <c r="EQ143" s="19"/>
      <c r="ER143" s="19"/>
      <c r="ES143" s="19"/>
      <c r="ET143" s="19"/>
      <c r="EU143" s="19"/>
      <c r="EV143" s="19"/>
      <c r="EW143" s="19"/>
      <c r="EX143" s="19"/>
      <c r="EY143" s="19"/>
      <c r="EZ143" s="19"/>
      <c r="FA143" s="19"/>
      <c r="FB143" s="19"/>
      <c r="FC143" s="19"/>
      <c r="FD143" s="19"/>
      <c r="FE143" s="19"/>
      <c r="FF143" s="19"/>
      <c r="FG143" s="19"/>
      <c r="FH143" s="19"/>
      <c r="FI143" s="19"/>
    </row>
    <row r="144" spans="1:166" x14ac:dyDescent="0.25">
      <c r="A144" s="49"/>
      <c r="B144" s="49"/>
      <c r="C144" s="49"/>
      <c r="D144" s="32" t="s">
        <v>147</v>
      </c>
      <c r="E144" s="2">
        <v>0.8</v>
      </c>
      <c r="F144" s="2">
        <v>0.8</v>
      </c>
      <c r="G144" s="120" t="s">
        <v>148</v>
      </c>
      <c r="H144" s="13"/>
      <c r="I144" s="48">
        <v>10</v>
      </c>
      <c r="J144" s="29"/>
      <c r="K144" s="49"/>
      <c r="L144" s="49"/>
      <c r="M144" s="32" t="s">
        <v>147</v>
      </c>
      <c r="N144" s="117">
        <f ca="1">INDIRECT("MOSFET_Selection["&amp;$N$133&amp;"]") OFFSET(INDIRECT("MOSFET_Selection[[#Headers], ["&amp;$N$133&amp;"]]"),$I144,)</f>
        <v>0.95</v>
      </c>
      <c r="O144" s="117">
        <f ca="1">INDIRECT("MOSFET_Selection["&amp;$N$133&amp;"]") OFFSET(INDIRECT("MOSFET_Selection[[#Headers], ["&amp;$N$133&amp;"]]"),$I144,)</f>
        <v>0.95</v>
      </c>
      <c r="P144" s="120" t="s">
        <v>148</v>
      </c>
      <c r="Q144" s="29"/>
      <c r="R144" s="29"/>
      <c r="S144" s="30"/>
      <c r="T144" s="18"/>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c r="BP144" s="19"/>
      <c r="BQ144" s="19"/>
      <c r="BR144" s="19"/>
      <c r="BS144" s="19"/>
      <c r="BT144" s="19"/>
      <c r="BU144" s="19"/>
      <c r="BV144" s="19"/>
      <c r="BW144" s="19"/>
      <c r="BX144" s="19"/>
      <c r="BY144" s="19"/>
      <c r="BZ144" s="19"/>
      <c r="CA144" s="19"/>
      <c r="CB144" s="19"/>
      <c r="CC144" s="19"/>
      <c r="CD144" s="19"/>
      <c r="CE144" s="19"/>
      <c r="CF144" s="19"/>
      <c r="CG144" s="19"/>
      <c r="CH144" s="19"/>
      <c r="CI144" s="19"/>
      <c r="CJ144" s="19"/>
      <c r="CK144" s="19"/>
      <c r="CL144" s="19"/>
      <c r="CM144" s="19"/>
      <c r="CN144" s="19"/>
      <c r="CO144" s="19"/>
      <c r="CP144" s="19"/>
      <c r="CQ144" s="19"/>
      <c r="CR144" s="19"/>
      <c r="CS144" s="19"/>
      <c r="CT144" s="19"/>
      <c r="CU144" s="19"/>
      <c r="CV144" s="19"/>
      <c r="CW144" s="19"/>
      <c r="CX144" s="19"/>
      <c r="CY144" s="19"/>
      <c r="CZ144" s="19"/>
      <c r="DA144" s="19"/>
      <c r="DB144" s="19"/>
      <c r="DC144" s="19"/>
      <c r="DD144" s="19"/>
      <c r="DE144" s="19"/>
      <c r="DF144" s="19"/>
      <c r="DG144" s="19"/>
      <c r="DH144" s="19"/>
      <c r="DI144" s="19"/>
      <c r="DJ144" s="19"/>
      <c r="DK144" s="19"/>
      <c r="DL144" s="19"/>
      <c r="DM144" s="19"/>
      <c r="DN144" s="19"/>
      <c r="DO144" s="19"/>
      <c r="DP144" s="19"/>
      <c r="DQ144" s="19"/>
      <c r="DR144" s="19"/>
      <c r="DS144" s="19"/>
      <c r="DT144" s="19"/>
      <c r="DU144" s="19"/>
      <c r="DV144" s="19"/>
      <c r="DW144" s="19"/>
      <c r="DX144" s="19"/>
      <c r="DY144" s="19"/>
      <c r="DZ144" s="19"/>
      <c r="EA144" s="19"/>
      <c r="EB144" s="19"/>
      <c r="EC144" s="19"/>
      <c r="ED144" s="19"/>
      <c r="EE144" s="19"/>
      <c r="EF144" s="19"/>
      <c r="EG144" s="19"/>
      <c r="EH144" s="19"/>
      <c r="EI144" s="19"/>
      <c r="EJ144" s="19"/>
      <c r="EK144" s="19"/>
      <c r="EL144" s="19"/>
      <c r="EM144" s="19"/>
      <c r="EN144" s="19"/>
      <c r="EO144" s="19"/>
      <c r="EP144" s="19"/>
      <c r="EQ144" s="19"/>
      <c r="ER144" s="19"/>
      <c r="ES144" s="19"/>
      <c r="ET144" s="19"/>
      <c r="EU144" s="19"/>
      <c r="EV144" s="19"/>
      <c r="EW144" s="19"/>
      <c r="EX144" s="19"/>
      <c r="EY144" s="19"/>
      <c r="EZ144" s="19"/>
      <c r="FA144" s="19"/>
      <c r="FB144" s="19"/>
      <c r="FC144" s="19"/>
      <c r="FD144" s="19"/>
      <c r="FE144" s="19"/>
      <c r="FF144" s="19"/>
      <c r="FG144" s="19"/>
      <c r="FH144" s="19"/>
      <c r="FI144" s="19"/>
    </row>
    <row r="145" spans="1:165" x14ac:dyDescent="0.25">
      <c r="A145" s="49"/>
      <c r="B145" s="49"/>
      <c r="C145" s="49"/>
      <c r="D145" s="32" t="s">
        <v>149</v>
      </c>
      <c r="E145" s="2">
        <v>116</v>
      </c>
      <c r="F145" s="2">
        <v>116</v>
      </c>
      <c r="G145" s="42" t="s">
        <v>150</v>
      </c>
      <c r="H145" s="13"/>
      <c r="I145" s="48">
        <v>11</v>
      </c>
      <c r="J145" s="29"/>
      <c r="K145" s="49"/>
      <c r="L145" s="49"/>
      <c r="M145" s="32" t="s">
        <v>149</v>
      </c>
      <c r="N145" s="117">
        <f ca="1">INDIRECT("MOSFET_Selection["&amp;$N$133&amp;"]") OFFSET(INDIRECT("MOSFET_Selection[[#Headers], ["&amp;$N$133&amp;"]]"),$I145,)</f>
        <v>130</v>
      </c>
      <c r="O145" s="117">
        <f ca="1">INDIRECT("MOSFET_Selection["&amp;$N$133&amp;"]") OFFSET(INDIRECT("MOSFET_Selection[[#Headers], ["&amp;$N$133&amp;"]]"),$I145,)</f>
        <v>130</v>
      </c>
      <c r="P145" s="42" t="s">
        <v>150</v>
      </c>
      <c r="Q145" s="29"/>
      <c r="R145" s="29"/>
      <c r="S145" s="30"/>
      <c r="T145" s="18"/>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c r="BP145" s="19"/>
      <c r="BQ145" s="19"/>
      <c r="BR145" s="19"/>
      <c r="BS145" s="19"/>
      <c r="BT145" s="19"/>
      <c r="BU145" s="19"/>
      <c r="BV145" s="19"/>
      <c r="BW145" s="19"/>
      <c r="BX145" s="19"/>
      <c r="BY145" s="19"/>
      <c r="BZ145" s="19"/>
      <c r="CA145" s="19"/>
      <c r="CB145" s="19"/>
      <c r="CC145" s="19"/>
      <c r="CD145" s="19"/>
      <c r="CE145" s="19"/>
      <c r="CF145" s="19"/>
      <c r="CG145" s="19"/>
      <c r="CH145" s="19"/>
      <c r="CI145" s="19"/>
      <c r="CJ145" s="19"/>
      <c r="CK145" s="19"/>
      <c r="CL145" s="19"/>
      <c r="CM145" s="19"/>
      <c r="CN145" s="19"/>
      <c r="CO145" s="19"/>
      <c r="CP145" s="19"/>
      <c r="CQ145" s="19"/>
      <c r="CR145" s="19"/>
      <c r="CS145" s="19"/>
      <c r="CT145" s="19"/>
      <c r="CU145" s="19"/>
      <c r="CV145" s="19"/>
      <c r="CW145" s="19"/>
      <c r="CX145" s="19"/>
      <c r="CY145" s="19"/>
      <c r="CZ145" s="19"/>
      <c r="DA145" s="19"/>
      <c r="DB145" s="19"/>
      <c r="DC145" s="19"/>
      <c r="DD145" s="19"/>
      <c r="DE145" s="19"/>
      <c r="DF145" s="19"/>
      <c r="DG145" s="19"/>
      <c r="DH145" s="19"/>
      <c r="DI145" s="19"/>
      <c r="DJ145" s="19"/>
      <c r="DK145" s="19"/>
      <c r="DL145" s="19"/>
      <c r="DM145" s="19"/>
      <c r="DN145" s="19"/>
      <c r="DO145" s="19"/>
      <c r="DP145" s="19"/>
      <c r="DQ145" s="19"/>
      <c r="DR145" s="19"/>
      <c r="DS145" s="19"/>
      <c r="DT145" s="19"/>
      <c r="DU145" s="19"/>
      <c r="DV145" s="19"/>
      <c r="DW145" s="19"/>
      <c r="DX145" s="19"/>
      <c r="DY145" s="19"/>
      <c r="DZ145" s="19"/>
      <c r="EA145" s="19"/>
      <c r="EB145" s="19"/>
      <c r="EC145" s="19"/>
      <c r="ED145" s="19"/>
      <c r="EE145" s="19"/>
      <c r="EF145" s="19"/>
      <c r="EG145" s="19"/>
      <c r="EH145" s="19"/>
      <c r="EI145" s="19"/>
      <c r="EJ145" s="19"/>
      <c r="EK145" s="19"/>
      <c r="EL145" s="19"/>
      <c r="EM145" s="19"/>
      <c r="EN145" s="19"/>
      <c r="EO145" s="19"/>
      <c r="EP145" s="19"/>
      <c r="EQ145" s="19"/>
      <c r="ER145" s="19"/>
      <c r="ES145" s="19"/>
      <c r="ET145" s="19"/>
      <c r="EU145" s="19"/>
      <c r="EV145" s="19"/>
      <c r="EW145" s="19"/>
      <c r="EX145" s="19"/>
      <c r="EY145" s="19"/>
      <c r="EZ145" s="19"/>
      <c r="FA145" s="19"/>
      <c r="FB145" s="19"/>
      <c r="FC145" s="19"/>
      <c r="FD145" s="19"/>
      <c r="FE145" s="19"/>
      <c r="FF145" s="19"/>
      <c r="FG145" s="19"/>
      <c r="FH145" s="19"/>
      <c r="FI145" s="19"/>
    </row>
    <row r="146" spans="1:165" x14ac:dyDescent="0.25">
      <c r="A146" s="49"/>
      <c r="B146" s="49"/>
      <c r="C146" s="49"/>
      <c r="D146" s="32" t="s">
        <v>151</v>
      </c>
      <c r="E146" s="2">
        <v>1.9</v>
      </c>
      <c r="F146" s="2">
        <v>1.9</v>
      </c>
      <c r="G146" s="42" t="s">
        <v>7</v>
      </c>
      <c r="H146" s="13"/>
      <c r="I146" s="48">
        <v>12</v>
      </c>
      <c r="J146" s="29"/>
      <c r="K146" s="49"/>
      <c r="L146" s="49"/>
      <c r="M146" s="32" t="s">
        <v>151</v>
      </c>
      <c r="N146" s="117">
        <f ca="1">INDIRECT("MOSFET_Selection["&amp;$N$133&amp;"]") OFFSET(INDIRECT("MOSFET_Selection[[#Headers], ["&amp;$N$133&amp;"]]"),$I146,)</f>
        <v>1.75</v>
      </c>
      <c r="O146" s="117">
        <f ca="1">INDIRECT("MOSFET_Selection["&amp;$N$133&amp;"]") OFFSET(INDIRECT("MOSFET_Selection[[#Headers], ["&amp;$N$133&amp;"]]"),$I146,)</f>
        <v>1.75</v>
      </c>
      <c r="P146" s="42" t="s">
        <v>7</v>
      </c>
      <c r="Q146" s="29"/>
      <c r="R146" s="29"/>
      <c r="S146" s="30"/>
      <c r="T146" s="18"/>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c r="BP146" s="19"/>
      <c r="BQ146" s="19"/>
      <c r="BR146" s="19"/>
      <c r="BS146" s="19"/>
      <c r="BT146" s="19"/>
      <c r="BU146" s="19"/>
      <c r="BV146" s="19"/>
      <c r="BW146" s="19"/>
      <c r="BX146" s="19"/>
      <c r="BY146" s="19"/>
      <c r="BZ146" s="19"/>
      <c r="CA146" s="19"/>
      <c r="CB146" s="19"/>
      <c r="CC146" s="19"/>
      <c r="CD146" s="19"/>
      <c r="CE146" s="19"/>
      <c r="CF146" s="19"/>
      <c r="CG146" s="19"/>
      <c r="CH146" s="19"/>
      <c r="CI146" s="19"/>
      <c r="CJ146" s="19"/>
      <c r="CK146" s="19"/>
      <c r="CL146" s="19"/>
      <c r="CM146" s="19"/>
      <c r="CN146" s="19"/>
      <c r="CO146" s="19"/>
      <c r="CP146" s="19"/>
      <c r="CQ146" s="19"/>
      <c r="CR146" s="19"/>
      <c r="CS146" s="19"/>
      <c r="CT146" s="19"/>
      <c r="CU146" s="19"/>
      <c r="CV146" s="19"/>
      <c r="CW146" s="19"/>
      <c r="CX146" s="19"/>
      <c r="CY146" s="19"/>
      <c r="CZ146" s="19"/>
      <c r="DA146" s="19"/>
      <c r="DB146" s="19"/>
      <c r="DC146" s="19"/>
      <c r="DD146" s="19"/>
      <c r="DE146" s="19"/>
      <c r="DF146" s="19"/>
      <c r="DG146" s="19"/>
      <c r="DH146" s="19"/>
      <c r="DI146" s="19"/>
      <c r="DJ146" s="19"/>
      <c r="DK146" s="19"/>
      <c r="DL146" s="19"/>
      <c r="DM146" s="19"/>
      <c r="DN146" s="19"/>
      <c r="DO146" s="19"/>
      <c r="DP146" s="19"/>
      <c r="DQ146" s="19"/>
      <c r="DR146" s="19"/>
      <c r="DS146" s="19"/>
      <c r="DT146" s="19"/>
      <c r="DU146" s="19"/>
      <c r="DV146" s="19"/>
      <c r="DW146" s="19"/>
      <c r="DX146" s="19"/>
      <c r="DY146" s="19"/>
      <c r="DZ146" s="19"/>
      <c r="EA146" s="19"/>
      <c r="EB146" s="19"/>
      <c r="EC146" s="19"/>
      <c r="ED146" s="19"/>
      <c r="EE146" s="19"/>
      <c r="EF146" s="19"/>
      <c r="EG146" s="19"/>
      <c r="EH146" s="19"/>
      <c r="EI146" s="19"/>
      <c r="EJ146" s="19"/>
      <c r="EK146" s="19"/>
      <c r="EL146" s="19"/>
      <c r="EM146" s="19"/>
      <c r="EN146" s="19"/>
      <c r="EO146" s="19"/>
      <c r="EP146" s="19"/>
      <c r="EQ146" s="19"/>
      <c r="ER146" s="19"/>
      <c r="ES146" s="19"/>
      <c r="ET146" s="19"/>
      <c r="EU146" s="19"/>
      <c r="EV146" s="19"/>
      <c r="EW146" s="19"/>
      <c r="EX146" s="19"/>
      <c r="EY146" s="19"/>
      <c r="EZ146" s="19"/>
      <c r="FA146" s="19"/>
      <c r="FB146" s="19"/>
      <c r="FC146" s="19"/>
      <c r="FD146" s="19"/>
      <c r="FE146" s="19"/>
      <c r="FF146" s="19"/>
      <c r="FG146" s="19"/>
      <c r="FH146" s="19"/>
      <c r="FI146" s="19"/>
    </row>
    <row r="147" spans="1:165" x14ac:dyDescent="0.25">
      <c r="A147" s="49"/>
      <c r="B147" s="49"/>
      <c r="C147" s="49"/>
      <c r="D147" s="32" t="s">
        <v>157</v>
      </c>
      <c r="E147" s="2">
        <v>0.8</v>
      </c>
      <c r="F147" s="2">
        <v>0.8</v>
      </c>
      <c r="G147" s="42" t="s">
        <v>7</v>
      </c>
      <c r="H147" s="13"/>
      <c r="I147" s="48">
        <v>13</v>
      </c>
      <c r="J147" s="29"/>
      <c r="K147" s="49"/>
      <c r="L147" s="49"/>
      <c r="M147" s="32" t="s">
        <v>157</v>
      </c>
      <c r="N147" s="117">
        <f ca="1">INDIRECT("MOSFET_Selection["&amp;$N$133&amp;"]") OFFSET(INDIRECT("MOSFET_Selection[[#Headers], ["&amp;$N$133&amp;"]]"),$I147,)</f>
        <v>0.72</v>
      </c>
      <c r="O147" s="117">
        <f ca="1">INDIRECT("MOSFET_Selection["&amp;$N$133&amp;"]") OFFSET(INDIRECT("MOSFET_Selection[[#Headers], ["&amp;$N$133&amp;"]]"),$I147,)</f>
        <v>0.72</v>
      </c>
      <c r="P147" s="42" t="s">
        <v>7</v>
      </c>
      <c r="Q147" s="29"/>
      <c r="R147" s="29"/>
      <c r="S147" s="30"/>
      <c r="T147" s="18"/>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c r="BP147" s="19"/>
      <c r="BQ147" s="19"/>
      <c r="BR147" s="19"/>
      <c r="BS147" s="19"/>
      <c r="BT147" s="19"/>
      <c r="BU147" s="19"/>
      <c r="BV147" s="19"/>
      <c r="BW147" s="19"/>
      <c r="BX147" s="19"/>
      <c r="BY147" s="19"/>
      <c r="BZ147" s="19"/>
      <c r="CA147" s="19"/>
      <c r="CB147" s="19"/>
      <c r="CC147" s="19"/>
      <c r="CD147" s="19"/>
      <c r="CE147" s="19"/>
      <c r="CF147" s="19"/>
      <c r="CG147" s="19"/>
      <c r="CH147" s="19"/>
      <c r="CI147" s="19"/>
      <c r="CJ147" s="19"/>
      <c r="CK147" s="19"/>
      <c r="CL147" s="19"/>
      <c r="CM147" s="19"/>
      <c r="CN147" s="19"/>
      <c r="CO147" s="19"/>
      <c r="CP147" s="19"/>
      <c r="CQ147" s="19"/>
      <c r="CR147" s="19"/>
      <c r="CS147" s="19"/>
      <c r="CT147" s="19"/>
      <c r="CU147" s="19"/>
      <c r="CV147" s="19"/>
      <c r="CW147" s="19"/>
      <c r="CX147" s="19"/>
      <c r="CY147" s="19"/>
      <c r="CZ147" s="19"/>
      <c r="DA147" s="19"/>
      <c r="DB147" s="19"/>
      <c r="DC147" s="19"/>
      <c r="DD147" s="19"/>
      <c r="DE147" s="19"/>
      <c r="DF147" s="19"/>
      <c r="DG147" s="19"/>
      <c r="DH147" s="19"/>
      <c r="DI147" s="19"/>
      <c r="DJ147" s="19"/>
      <c r="DK147" s="19"/>
      <c r="DL147" s="19"/>
      <c r="DM147" s="19"/>
      <c r="DN147" s="19"/>
      <c r="DO147" s="19"/>
      <c r="DP147" s="19"/>
      <c r="DQ147" s="19"/>
      <c r="DR147" s="19"/>
      <c r="DS147" s="19"/>
      <c r="DT147" s="19"/>
      <c r="DU147" s="19"/>
      <c r="DV147" s="19"/>
      <c r="DW147" s="19"/>
      <c r="DX147" s="19"/>
      <c r="DY147" s="19"/>
      <c r="DZ147" s="19"/>
      <c r="EA147" s="19"/>
      <c r="EB147" s="19"/>
      <c r="EC147" s="19"/>
      <c r="ED147" s="19"/>
      <c r="EE147" s="19"/>
      <c r="EF147" s="19"/>
      <c r="EG147" s="19"/>
      <c r="EH147" s="19"/>
      <c r="EI147" s="19"/>
      <c r="EJ147" s="19"/>
      <c r="EK147" s="19"/>
      <c r="EL147" s="19"/>
      <c r="EM147" s="19"/>
      <c r="EN147" s="19"/>
      <c r="EO147" s="19"/>
      <c r="EP147" s="19"/>
      <c r="EQ147" s="19"/>
      <c r="ER147" s="19"/>
      <c r="ES147" s="19"/>
      <c r="ET147" s="19"/>
      <c r="EU147" s="19"/>
      <c r="EV147" s="19"/>
      <c r="EW147" s="19"/>
      <c r="EX147" s="19"/>
      <c r="EY147" s="19"/>
      <c r="EZ147" s="19"/>
      <c r="FA147" s="19"/>
      <c r="FB147" s="19"/>
      <c r="FC147" s="19"/>
      <c r="FD147" s="19"/>
      <c r="FE147" s="19"/>
      <c r="FF147" s="19"/>
      <c r="FG147" s="19"/>
      <c r="FH147" s="19"/>
      <c r="FI147" s="19"/>
    </row>
    <row r="148" spans="1:165" x14ac:dyDescent="0.25">
      <c r="A148" s="49"/>
      <c r="B148" s="49"/>
      <c r="C148" s="49"/>
      <c r="D148" s="32" t="s">
        <v>158</v>
      </c>
      <c r="E148" s="2">
        <v>145</v>
      </c>
      <c r="F148" s="65"/>
      <c r="G148" s="42" t="s">
        <v>140</v>
      </c>
      <c r="H148" s="13"/>
      <c r="I148" s="48">
        <v>14</v>
      </c>
      <c r="J148" s="29"/>
      <c r="K148" s="49"/>
      <c r="L148" s="49"/>
      <c r="M148" s="32" t="s">
        <v>158</v>
      </c>
      <c r="N148" s="117">
        <f ca="1">INDIRECT("MOSFET_Selection["&amp;$N$133&amp;"]") OFFSET(INDIRECT("MOSFET_Selection[[#Headers], ["&amp;$N$133&amp;"]]"),$I148,)</f>
        <v>77</v>
      </c>
      <c r="O148" s="49"/>
      <c r="P148" s="42" t="s">
        <v>140</v>
      </c>
      <c r="Q148" s="29"/>
      <c r="R148" s="29"/>
      <c r="S148" s="30"/>
      <c r="T148" s="18"/>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c r="BP148" s="19"/>
      <c r="BQ148" s="19"/>
      <c r="BR148" s="19"/>
      <c r="BS148" s="19"/>
      <c r="BT148" s="19"/>
      <c r="BU148" s="19"/>
      <c r="BV148" s="19"/>
      <c r="BW148" s="19"/>
      <c r="BX148" s="19"/>
      <c r="BY148" s="19"/>
      <c r="BZ148" s="19"/>
      <c r="CA148" s="19"/>
      <c r="CB148" s="19"/>
      <c r="CC148" s="19"/>
      <c r="CD148" s="19"/>
      <c r="CE148" s="19"/>
      <c r="CF148" s="19"/>
      <c r="CG148" s="19"/>
      <c r="CH148" s="19"/>
      <c r="CI148" s="19"/>
      <c r="CJ148" s="19"/>
      <c r="CK148" s="19"/>
      <c r="CL148" s="19"/>
      <c r="CM148" s="19"/>
      <c r="CN148" s="19"/>
      <c r="CO148" s="19"/>
      <c r="CP148" s="19"/>
      <c r="CQ148" s="19"/>
      <c r="CR148" s="19"/>
      <c r="CS148" s="19"/>
      <c r="CT148" s="19"/>
      <c r="CU148" s="19"/>
      <c r="CV148" s="19"/>
      <c r="CW148" s="19"/>
      <c r="CX148" s="19"/>
      <c r="CY148" s="19"/>
      <c r="CZ148" s="19"/>
      <c r="DA148" s="19"/>
      <c r="DB148" s="19"/>
      <c r="DC148" s="19"/>
      <c r="DD148" s="19"/>
      <c r="DE148" s="19"/>
      <c r="DF148" s="19"/>
      <c r="DG148" s="19"/>
      <c r="DH148" s="19"/>
      <c r="DI148" s="19"/>
      <c r="DJ148" s="19"/>
      <c r="DK148" s="19"/>
      <c r="DL148" s="19"/>
      <c r="DM148" s="19"/>
      <c r="DN148" s="19"/>
      <c r="DO148" s="19"/>
      <c r="DP148" s="19"/>
      <c r="DQ148" s="19"/>
      <c r="DR148" s="19"/>
      <c r="DS148" s="19"/>
      <c r="DT148" s="19"/>
      <c r="DU148" s="19"/>
      <c r="DV148" s="19"/>
      <c r="DW148" s="19"/>
      <c r="DX148" s="19"/>
      <c r="DY148" s="19"/>
      <c r="DZ148" s="19"/>
      <c r="EA148" s="19"/>
      <c r="EB148" s="19"/>
      <c r="EC148" s="19"/>
      <c r="ED148" s="19"/>
      <c r="EE148" s="19"/>
      <c r="EF148" s="19"/>
      <c r="EG148" s="19"/>
      <c r="EH148" s="19"/>
      <c r="EI148" s="19"/>
      <c r="EJ148" s="19"/>
      <c r="EK148" s="19"/>
      <c r="EL148" s="19"/>
      <c r="EM148" s="19"/>
      <c r="EN148" s="19"/>
      <c r="EO148" s="19"/>
      <c r="EP148" s="19"/>
      <c r="EQ148" s="19"/>
      <c r="ER148" s="19"/>
      <c r="ES148" s="19"/>
      <c r="ET148" s="19"/>
      <c r="EU148" s="19"/>
      <c r="EV148" s="19"/>
      <c r="EW148" s="19"/>
      <c r="EX148" s="19"/>
      <c r="EY148" s="19"/>
      <c r="EZ148" s="19"/>
      <c r="FA148" s="19"/>
      <c r="FB148" s="19"/>
      <c r="FC148" s="19"/>
      <c r="FD148" s="19"/>
      <c r="FE148" s="19"/>
      <c r="FF148" s="19"/>
      <c r="FG148" s="19"/>
      <c r="FH148" s="19"/>
      <c r="FI148" s="19"/>
    </row>
    <row r="149" spans="1:165" ht="15.75" thickBot="1" x14ac:dyDescent="0.3">
      <c r="A149" s="47"/>
      <c r="B149" s="47"/>
      <c r="C149" s="47"/>
      <c r="D149" s="35" t="s">
        <v>154</v>
      </c>
      <c r="E149" s="3">
        <v>50</v>
      </c>
      <c r="F149" s="3">
        <v>50</v>
      </c>
      <c r="G149" s="45" t="s">
        <v>155</v>
      </c>
      <c r="H149" s="13"/>
      <c r="I149" s="46">
        <v>15</v>
      </c>
      <c r="J149" s="114"/>
      <c r="K149" s="47"/>
      <c r="L149" s="47"/>
      <c r="M149" s="35" t="s">
        <v>154</v>
      </c>
      <c r="N149" s="121">
        <f ca="1">INDIRECT("MOSFET_Selection["&amp;$N$133&amp;"]") OFFSET(INDIRECT("MOSFET_Selection[[#Headers], ["&amp;$N$133&amp;"]]"),$I149,)</f>
        <v>15</v>
      </c>
      <c r="O149" s="121">
        <f ca="1">INDIRECT("MOSFET_Selection["&amp;$N$133&amp;"]") OFFSET(INDIRECT("MOSFET_Selection[[#Headers], ["&amp;$N$133&amp;"]]"),$I149,)</f>
        <v>15</v>
      </c>
      <c r="P149" s="45" t="s">
        <v>155</v>
      </c>
      <c r="Q149" s="29"/>
      <c r="R149" s="29"/>
      <c r="S149" s="30"/>
      <c r="T149" s="18"/>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c r="BP149" s="19"/>
      <c r="BQ149" s="19"/>
      <c r="BR149" s="19"/>
      <c r="BS149" s="19"/>
      <c r="BT149" s="19"/>
      <c r="BU149" s="19"/>
      <c r="BV149" s="19"/>
      <c r="BW149" s="19"/>
      <c r="BX149" s="19"/>
      <c r="BY149" s="19"/>
      <c r="BZ149" s="19"/>
      <c r="CA149" s="19"/>
      <c r="CB149" s="19"/>
      <c r="CC149" s="19"/>
      <c r="CD149" s="19"/>
      <c r="CE149" s="19"/>
      <c r="CF149" s="19"/>
      <c r="CG149" s="19"/>
      <c r="CH149" s="19"/>
      <c r="CI149" s="19"/>
      <c r="CJ149" s="19"/>
      <c r="CK149" s="19"/>
      <c r="CL149" s="19"/>
      <c r="CM149" s="19"/>
      <c r="CN149" s="19"/>
      <c r="CO149" s="19"/>
      <c r="CP149" s="19"/>
      <c r="CQ149" s="19"/>
      <c r="CR149" s="19"/>
      <c r="CS149" s="19"/>
      <c r="CT149" s="19"/>
      <c r="CU149" s="19"/>
      <c r="CV149" s="19"/>
      <c r="CW149" s="19"/>
      <c r="CX149" s="19"/>
      <c r="CY149" s="19"/>
      <c r="CZ149" s="19"/>
      <c r="DA149" s="19"/>
      <c r="DB149" s="19"/>
      <c r="DC149" s="19"/>
      <c r="DD149" s="19"/>
      <c r="DE149" s="19"/>
      <c r="DF149" s="19"/>
      <c r="DG149" s="19"/>
      <c r="DH149" s="19"/>
      <c r="DI149" s="19"/>
      <c r="DJ149" s="19"/>
      <c r="DK149" s="19"/>
      <c r="DL149" s="19"/>
      <c r="DM149" s="19"/>
      <c r="DN149" s="19"/>
      <c r="DO149" s="19"/>
      <c r="DP149" s="19"/>
      <c r="DQ149" s="19"/>
      <c r="DR149" s="19"/>
      <c r="DS149" s="19"/>
      <c r="DT149" s="19"/>
      <c r="DU149" s="19"/>
      <c r="DV149" s="19"/>
      <c r="DW149" s="19"/>
      <c r="DX149" s="19"/>
      <c r="DY149" s="19"/>
      <c r="DZ149" s="19"/>
      <c r="EA149" s="19"/>
      <c r="EB149" s="19"/>
      <c r="EC149" s="19"/>
      <c r="ED149" s="19"/>
      <c r="EE149" s="19"/>
      <c r="EF149" s="19"/>
      <c r="EG149" s="19"/>
      <c r="EH149" s="19"/>
      <c r="EI149" s="19"/>
      <c r="EJ149" s="19"/>
      <c r="EK149" s="19"/>
      <c r="EL149" s="19"/>
      <c r="EM149" s="19"/>
      <c r="EN149" s="19"/>
      <c r="EO149" s="19"/>
      <c r="EP149" s="19"/>
      <c r="EQ149" s="19"/>
      <c r="ER149" s="19"/>
      <c r="ES149" s="19"/>
      <c r="ET149" s="19"/>
      <c r="EU149" s="19"/>
      <c r="EV149" s="19"/>
      <c r="EW149" s="19"/>
      <c r="EX149" s="19"/>
      <c r="EY149" s="19"/>
      <c r="EZ149" s="19"/>
      <c r="FA149" s="19"/>
      <c r="FB149" s="19"/>
      <c r="FC149" s="19"/>
      <c r="FD149" s="19"/>
      <c r="FE149" s="19"/>
      <c r="FF149" s="19"/>
      <c r="FG149" s="19"/>
      <c r="FH149" s="19"/>
      <c r="FI149" s="19"/>
    </row>
    <row r="150" spans="1:165" x14ac:dyDescent="0.25">
      <c r="A150" s="48"/>
      <c r="B150" s="49"/>
      <c r="C150" s="49"/>
      <c r="D150" s="39"/>
      <c r="E150" s="49"/>
      <c r="F150" s="49"/>
      <c r="G150" s="49"/>
      <c r="H150" s="13"/>
      <c r="I150" s="13"/>
      <c r="J150" s="29"/>
      <c r="K150" s="29"/>
      <c r="L150" s="29"/>
      <c r="M150" s="29"/>
      <c r="N150" s="29"/>
      <c r="O150" s="29"/>
      <c r="P150" s="29"/>
      <c r="Q150" s="29"/>
      <c r="R150" s="29"/>
      <c r="S150" s="30"/>
      <c r="T150" s="18"/>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c r="BE150" s="19"/>
      <c r="BF150" s="19"/>
      <c r="BG150" s="19"/>
      <c r="BH150" s="19"/>
      <c r="BI150" s="19"/>
      <c r="BJ150" s="19"/>
      <c r="BK150" s="19"/>
      <c r="BL150" s="19"/>
      <c r="BM150" s="19"/>
      <c r="BN150" s="19"/>
      <c r="BO150" s="19"/>
      <c r="BP150" s="19"/>
      <c r="BQ150" s="19"/>
      <c r="BR150" s="19"/>
      <c r="BS150" s="19"/>
      <c r="BT150" s="19"/>
      <c r="BU150" s="19"/>
      <c r="BV150" s="19"/>
      <c r="BW150" s="19"/>
      <c r="BX150" s="19"/>
      <c r="BY150" s="19"/>
      <c r="BZ150" s="19"/>
      <c r="CA150" s="19"/>
      <c r="CB150" s="19"/>
      <c r="CC150" s="19"/>
      <c r="CD150" s="19"/>
      <c r="CE150" s="19"/>
      <c r="CF150" s="19"/>
      <c r="CG150" s="19"/>
      <c r="CH150" s="19"/>
      <c r="CI150" s="19"/>
      <c r="CJ150" s="19"/>
      <c r="CK150" s="19"/>
      <c r="CL150" s="19"/>
      <c r="CM150" s="19"/>
      <c r="CN150" s="19"/>
      <c r="CO150" s="19"/>
      <c r="CP150" s="19"/>
      <c r="CQ150" s="19"/>
      <c r="CR150" s="19"/>
      <c r="CS150" s="19"/>
      <c r="CT150" s="19"/>
      <c r="CU150" s="19"/>
      <c r="CV150" s="19"/>
      <c r="CW150" s="19"/>
      <c r="CX150" s="19"/>
      <c r="CY150" s="19"/>
      <c r="CZ150" s="19"/>
      <c r="DA150" s="19"/>
      <c r="DB150" s="19"/>
      <c r="DC150" s="19"/>
      <c r="DD150" s="19"/>
      <c r="DE150" s="19"/>
      <c r="DF150" s="19"/>
      <c r="DG150" s="19"/>
      <c r="DH150" s="19"/>
      <c r="DI150" s="19"/>
      <c r="DJ150" s="19"/>
      <c r="DK150" s="19"/>
      <c r="DL150" s="19"/>
      <c r="DM150" s="19"/>
      <c r="DN150" s="19"/>
      <c r="DO150" s="19"/>
      <c r="DP150" s="19"/>
      <c r="DQ150" s="19"/>
      <c r="DR150" s="19"/>
      <c r="DS150" s="19"/>
      <c r="DT150" s="19"/>
      <c r="DU150" s="19"/>
      <c r="DV150" s="19"/>
      <c r="DW150" s="19"/>
      <c r="DX150" s="19"/>
      <c r="DY150" s="19"/>
      <c r="DZ150" s="19"/>
      <c r="EA150" s="19"/>
      <c r="EB150" s="19"/>
      <c r="EC150" s="19"/>
      <c r="ED150" s="19"/>
      <c r="EE150" s="19"/>
      <c r="EF150" s="19"/>
      <c r="EG150" s="19"/>
      <c r="EH150" s="19"/>
      <c r="EI150" s="19"/>
      <c r="EJ150" s="19"/>
      <c r="EK150" s="19"/>
      <c r="EL150" s="19"/>
      <c r="EM150" s="19"/>
      <c r="EN150" s="19"/>
      <c r="EO150" s="19"/>
      <c r="EP150" s="19"/>
      <c r="EQ150" s="19"/>
      <c r="ER150" s="19"/>
      <c r="ES150" s="19"/>
      <c r="ET150" s="19"/>
      <c r="EU150" s="19"/>
      <c r="EV150" s="19"/>
      <c r="EW150" s="19"/>
      <c r="EX150" s="19"/>
      <c r="EY150" s="19"/>
      <c r="EZ150" s="19"/>
      <c r="FA150" s="19"/>
      <c r="FB150" s="19"/>
      <c r="FC150" s="19"/>
      <c r="FD150" s="19"/>
      <c r="FE150" s="19"/>
      <c r="FF150" s="19"/>
      <c r="FG150" s="19"/>
      <c r="FH150" s="19"/>
      <c r="FI150" s="19"/>
    </row>
    <row r="151" spans="1:165" ht="15.75" thickBot="1" x14ac:dyDescent="0.3">
      <c r="A151" s="36" t="s">
        <v>159</v>
      </c>
      <c r="B151" s="49"/>
      <c r="C151" s="49"/>
      <c r="D151" s="39"/>
      <c r="E151" s="49"/>
      <c r="F151" s="49"/>
      <c r="G151" s="49"/>
      <c r="H151" s="13"/>
      <c r="I151" s="13"/>
      <c r="J151" s="29"/>
      <c r="K151" s="29"/>
      <c r="L151" s="29"/>
      <c r="M151" s="29"/>
      <c r="N151" s="29"/>
      <c r="O151" s="29"/>
      <c r="P151" s="29"/>
      <c r="Q151" s="29"/>
      <c r="R151" s="29"/>
      <c r="S151" s="30"/>
      <c r="T151" s="18"/>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c r="BE151" s="19"/>
      <c r="BF151" s="19"/>
      <c r="BG151" s="19"/>
      <c r="BH151" s="19"/>
      <c r="BI151" s="19"/>
      <c r="BJ151" s="19"/>
      <c r="BK151" s="19"/>
      <c r="BL151" s="19"/>
      <c r="BM151" s="19"/>
      <c r="BN151" s="19"/>
      <c r="BO151" s="19"/>
      <c r="BP151" s="19"/>
      <c r="BQ151" s="19"/>
      <c r="BR151" s="19"/>
      <c r="BS151" s="19"/>
      <c r="BT151" s="19"/>
      <c r="BU151" s="19"/>
      <c r="BV151" s="19"/>
      <c r="BW151" s="19"/>
      <c r="BX151" s="19"/>
      <c r="BY151" s="19"/>
      <c r="BZ151" s="19"/>
      <c r="CA151" s="19"/>
      <c r="CB151" s="19"/>
      <c r="CC151" s="19"/>
      <c r="CD151" s="19"/>
      <c r="CE151" s="19"/>
      <c r="CF151" s="19"/>
      <c r="CG151" s="19"/>
      <c r="CH151" s="19"/>
      <c r="CI151" s="19"/>
      <c r="CJ151" s="19"/>
      <c r="CK151" s="19"/>
      <c r="CL151" s="19"/>
      <c r="CM151" s="19"/>
      <c r="CN151" s="19"/>
      <c r="CO151" s="19"/>
      <c r="CP151" s="19"/>
      <c r="CQ151" s="19"/>
      <c r="CR151" s="19"/>
      <c r="CS151" s="19"/>
      <c r="CT151" s="19"/>
      <c r="CU151" s="19"/>
      <c r="CV151" s="19"/>
      <c r="CW151" s="19"/>
      <c r="CX151" s="19"/>
      <c r="CY151" s="19"/>
      <c r="CZ151" s="19"/>
      <c r="DA151" s="19"/>
      <c r="DB151" s="19"/>
      <c r="DC151" s="19"/>
      <c r="DD151" s="19"/>
      <c r="DE151" s="19"/>
      <c r="DF151" s="19"/>
      <c r="DG151" s="19"/>
      <c r="DH151" s="19"/>
      <c r="DI151" s="19"/>
      <c r="DJ151" s="19"/>
      <c r="DK151" s="19"/>
      <c r="DL151" s="19"/>
      <c r="DM151" s="19"/>
      <c r="DN151" s="19"/>
      <c r="DO151" s="19"/>
      <c r="DP151" s="19"/>
      <c r="DQ151" s="19"/>
      <c r="DR151" s="19"/>
      <c r="DS151" s="19"/>
      <c r="DT151" s="19"/>
      <c r="DU151" s="19"/>
      <c r="DV151" s="19"/>
      <c r="DW151" s="19"/>
      <c r="DX151" s="19"/>
      <c r="DY151" s="19"/>
      <c r="DZ151" s="19"/>
      <c r="EA151" s="19"/>
      <c r="EB151" s="19"/>
      <c r="EC151" s="19"/>
      <c r="ED151" s="19"/>
      <c r="EE151" s="19"/>
      <c r="EF151" s="19"/>
      <c r="EG151" s="19"/>
      <c r="EH151" s="19"/>
      <c r="EI151" s="19"/>
      <c r="EJ151" s="19"/>
      <c r="EK151" s="19"/>
      <c r="EL151" s="19"/>
      <c r="EM151" s="19"/>
      <c r="EN151" s="19"/>
      <c r="EO151" s="19"/>
      <c r="EP151" s="19"/>
      <c r="EQ151" s="19"/>
      <c r="ER151" s="19"/>
      <c r="ES151" s="19"/>
      <c r="ET151" s="19"/>
      <c r="EU151" s="19"/>
      <c r="EV151" s="19"/>
      <c r="EW151" s="19"/>
      <c r="EX151" s="19"/>
      <c r="EY151" s="19"/>
      <c r="EZ151" s="19"/>
      <c r="FA151" s="19"/>
      <c r="FB151" s="19"/>
      <c r="FC151" s="19"/>
      <c r="FD151" s="19"/>
      <c r="FE151" s="19"/>
      <c r="FF151" s="19"/>
      <c r="FG151" s="19"/>
      <c r="FH151" s="19"/>
      <c r="FI151" s="19"/>
    </row>
    <row r="152" spans="1:165" ht="15.75" thickBot="1" x14ac:dyDescent="0.3">
      <c r="A152" s="110"/>
      <c r="B152" s="104"/>
      <c r="C152" s="104"/>
      <c r="D152" s="111" t="s">
        <v>160</v>
      </c>
      <c r="E152" s="126">
        <v>12</v>
      </c>
      <c r="F152" s="137" t="s">
        <v>7</v>
      </c>
      <c r="G152" s="49"/>
      <c r="H152" s="13"/>
      <c r="I152" s="13"/>
      <c r="J152" s="29"/>
      <c r="K152" s="29"/>
      <c r="L152" s="29"/>
      <c r="M152" s="29"/>
      <c r="N152" s="29"/>
      <c r="O152" s="29"/>
      <c r="P152" s="29"/>
      <c r="Q152" s="29"/>
      <c r="R152" s="29"/>
      <c r="S152" s="30"/>
      <c r="T152" s="18"/>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c r="BE152" s="19"/>
      <c r="BF152" s="19"/>
      <c r="BG152" s="19"/>
      <c r="BH152" s="19"/>
      <c r="BI152" s="19"/>
      <c r="BJ152" s="19"/>
      <c r="BK152" s="19"/>
      <c r="BL152" s="19"/>
      <c r="BM152" s="19"/>
      <c r="BN152" s="19"/>
      <c r="BO152" s="19"/>
      <c r="BP152" s="19"/>
      <c r="BQ152" s="19"/>
      <c r="BR152" s="19"/>
      <c r="BS152" s="19"/>
      <c r="BT152" s="19"/>
      <c r="BU152" s="19"/>
      <c r="BV152" s="19"/>
      <c r="BW152" s="19"/>
      <c r="BX152" s="19"/>
      <c r="BY152" s="19"/>
      <c r="BZ152" s="19"/>
      <c r="CA152" s="19"/>
      <c r="CB152" s="19"/>
      <c r="CC152" s="19"/>
      <c r="CD152" s="19"/>
      <c r="CE152" s="19"/>
      <c r="CF152" s="19"/>
      <c r="CG152" s="19"/>
      <c r="CH152" s="19"/>
      <c r="CI152" s="19"/>
      <c r="CJ152" s="19"/>
      <c r="CK152" s="19"/>
      <c r="CL152" s="19"/>
      <c r="CM152" s="19"/>
      <c r="CN152" s="19"/>
      <c r="CO152" s="19"/>
      <c r="CP152" s="19"/>
      <c r="CQ152" s="19"/>
      <c r="CR152" s="19"/>
      <c r="CS152" s="19"/>
      <c r="CT152" s="19"/>
      <c r="CU152" s="19"/>
      <c r="CV152" s="19"/>
      <c r="CW152" s="19"/>
      <c r="CX152" s="19"/>
      <c r="CY152" s="19"/>
      <c r="CZ152" s="19"/>
      <c r="DA152" s="19"/>
      <c r="DB152" s="19"/>
      <c r="DC152" s="19"/>
      <c r="DD152" s="19"/>
      <c r="DE152" s="19"/>
      <c r="DF152" s="19"/>
      <c r="DG152" s="19"/>
      <c r="DH152" s="19"/>
      <c r="DI152" s="19"/>
      <c r="DJ152" s="19"/>
      <c r="DK152" s="19"/>
      <c r="DL152" s="19"/>
      <c r="DM152" s="19"/>
      <c r="DN152" s="19"/>
      <c r="DO152" s="19"/>
      <c r="DP152" s="19"/>
      <c r="DQ152" s="19"/>
      <c r="DR152" s="19"/>
      <c r="DS152" s="19"/>
      <c r="DT152" s="19"/>
      <c r="DU152" s="19"/>
      <c r="DV152" s="19"/>
      <c r="DW152" s="19"/>
      <c r="DX152" s="19"/>
      <c r="DY152" s="19"/>
      <c r="DZ152" s="19"/>
      <c r="EA152" s="19"/>
      <c r="EB152" s="19"/>
      <c r="EC152" s="19"/>
      <c r="ED152" s="19"/>
      <c r="EE152" s="19"/>
      <c r="EF152" s="19"/>
      <c r="EG152" s="19"/>
      <c r="EH152" s="19"/>
      <c r="EI152" s="19"/>
      <c r="EJ152" s="19"/>
      <c r="EK152" s="19"/>
      <c r="EL152" s="19"/>
      <c r="EM152" s="19"/>
      <c r="EN152" s="19"/>
      <c r="EO152" s="19"/>
      <c r="EP152" s="19"/>
      <c r="EQ152" s="19"/>
      <c r="ER152" s="19"/>
      <c r="ES152" s="19"/>
      <c r="ET152" s="19"/>
      <c r="EU152" s="19"/>
      <c r="EV152" s="19"/>
      <c r="EW152" s="19"/>
      <c r="EX152" s="19"/>
      <c r="EY152" s="19"/>
      <c r="EZ152" s="19"/>
      <c r="FA152" s="19"/>
      <c r="FB152" s="19"/>
      <c r="FC152" s="19"/>
      <c r="FD152" s="19"/>
      <c r="FE152" s="19"/>
      <c r="FF152" s="19"/>
      <c r="FG152" s="19"/>
      <c r="FH152" s="19"/>
      <c r="FI152" s="19"/>
    </row>
    <row r="153" spans="1:165" ht="15.75" thickBot="1" x14ac:dyDescent="0.3">
      <c r="A153" s="48"/>
      <c r="B153" s="49"/>
      <c r="C153" s="49"/>
      <c r="D153" s="39"/>
      <c r="E153" s="49"/>
      <c r="F153" s="49"/>
      <c r="G153" s="49"/>
      <c r="H153" s="13"/>
      <c r="I153" s="13"/>
      <c r="J153" s="29"/>
      <c r="K153" s="29"/>
      <c r="L153" s="29"/>
      <c r="M153" s="29"/>
      <c r="N153" s="29"/>
      <c r="O153" s="29"/>
      <c r="P153" s="29"/>
      <c r="Q153" s="29"/>
      <c r="R153" s="29"/>
      <c r="S153" s="30"/>
      <c r="T153" s="18"/>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c r="BE153" s="19"/>
      <c r="BF153" s="19"/>
      <c r="BG153" s="19"/>
      <c r="BH153" s="19"/>
      <c r="BI153" s="19"/>
      <c r="BJ153" s="19"/>
      <c r="BK153" s="19"/>
      <c r="BL153" s="19"/>
      <c r="BM153" s="19"/>
      <c r="BN153" s="19"/>
      <c r="BO153" s="19"/>
      <c r="BP153" s="19"/>
      <c r="BQ153" s="19"/>
      <c r="BR153" s="19"/>
      <c r="BS153" s="19"/>
      <c r="BT153" s="19"/>
      <c r="BU153" s="19"/>
      <c r="BV153" s="19"/>
      <c r="BW153" s="19"/>
      <c r="BX153" s="19"/>
      <c r="BY153" s="19"/>
      <c r="BZ153" s="19"/>
      <c r="CA153" s="19"/>
      <c r="CB153" s="19"/>
      <c r="CC153" s="19"/>
      <c r="CD153" s="19"/>
      <c r="CE153" s="19"/>
      <c r="CF153" s="19"/>
      <c r="CG153" s="19"/>
      <c r="CH153" s="19"/>
      <c r="CI153" s="19"/>
      <c r="CJ153" s="19"/>
      <c r="CK153" s="19"/>
      <c r="CL153" s="19"/>
      <c r="CM153" s="19"/>
      <c r="CN153" s="19"/>
      <c r="CO153" s="19"/>
      <c r="CP153" s="19"/>
      <c r="CQ153" s="19"/>
      <c r="CR153" s="19"/>
      <c r="CS153" s="19"/>
      <c r="CT153" s="19"/>
      <c r="CU153" s="19"/>
      <c r="CV153" s="19"/>
      <c r="CW153" s="19"/>
      <c r="CX153" s="19"/>
      <c r="CY153" s="19"/>
      <c r="CZ153" s="19"/>
      <c r="DA153" s="19"/>
      <c r="DB153" s="19"/>
      <c r="DC153" s="19"/>
      <c r="DD153" s="19"/>
      <c r="DE153" s="19"/>
      <c r="DF153" s="19"/>
      <c r="DG153" s="19"/>
      <c r="DH153" s="19"/>
      <c r="DI153" s="19"/>
      <c r="DJ153" s="19"/>
      <c r="DK153" s="19"/>
      <c r="DL153" s="19"/>
      <c r="DM153" s="19"/>
      <c r="DN153" s="19"/>
      <c r="DO153" s="19"/>
      <c r="DP153" s="19"/>
      <c r="DQ153" s="19"/>
      <c r="DR153" s="19"/>
      <c r="DS153" s="19"/>
      <c r="DT153" s="19"/>
      <c r="DU153" s="19"/>
      <c r="DV153" s="19"/>
      <c r="DW153" s="19"/>
      <c r="DX153" s="19"/>
      <c r="DY153" s="19"/>
      <c r="DZ153" s="19"/>
      <c r="EA153" s="19"/>
      <c r="EB153" s="19"/>
      <c r="EC153" s="19"/>
      <c r="ED153" s="19"/>
      <c r="EE153" s="19"/>
      <c r="EF153" s="19"/>
      <c r="EG153" s="19"/>
      <c r="EH153" s="19"/>
      <c r="EI153" s="19"/>
      <c r="EJ153" s="19"/>
      <c r="EK153" s="19"/>
      <c r="EL153" s="19"/>
      <c r="EM153" s="19"/>
      <c r="EN153" s="19"/>
      <c r="EO153" s="19"/>
      <c r="EP153" s="19"/>
      <c r="EQ153" s="19"/>
      <c r="ER153" s="19"/>
      <c r="ES153" s="19"/>
      <c r="ET153" s="19"/>
      <c r="EU153" s="19"/>
      <c r="EV153" s="19"/>
      <c r="EW153" s="19"/>
      <c r="EX153" s="19"/>
      <c r="EY153" s="19"/>
      <c r="EZ153" s="19"/>
      <c r="FA153" s="19"/>
      <c r="FB153" s="19"/>
      <c r="FC153" s="19"/>
      <c r="FD153" s="19"/>
      <c r="FE153" s="19"/>
      <c r="FF153" s="19"/>
      <c r="FG153" s="19"/>
      <c r="FH153" s="19"/>
      <c r="FI153" s="19"/>
    </row>
    <row r="154" spans="1:165" ht="25.5" customHeight="1" thickBot="1" x14ac:dyDescent="0.45">
      <c r="A154" s="228" t="s">
        <v>161</v>
      </c>
      <c r="B154" s="229"/>
      <c r="C154" s="229"/>
      <c r="D154" s="229"/>
      <c r="E154" s="229"/>
      <c r="F154" s="56"/>
      <c r="G154" s="56"/>
      <c r="H154" s="57"/>
      <c r="I154" s="57"/>
      <c r="J154" s="58"/>
      <c r="K154" s="58"/>
      <c r="L154" s="58"/>
      <c r="M154" s="58"/>
      <c r="N154" s="58"/>
      <c r="O154" s="58"/>
      <c r="P154" s="58"/>
      <c r="Q154" s="58"/>
      <c r="R154" s="58"/>
      <c r="S154" s="59"/>
      <c r="T154" s="18"/>
      <c r="U154" s="19"/>
      <c r="V154" s="19"/>
      <c r="W154" s="19"/>
      <c r="X154" s="19"/>
      <c r="Y154" s="19"/>
      <c r="Z154" s="19"/>
      <c r="AA154" s="19"/>
      <c r="AB154" s="19"/>
      <c r="AC154" s="19"/>
      <c r="AD154" s="19"/>
      <c r="AE154" s="19"/>
      <c r="AF154" s="230" t="s">
        <v>162</v>
      </c>
      <c r="AG154" s="231"/>
      <c r="AH154" s="231"/>
      <c r="AI154" s="231"/>
      <c r="AJ154" s="231"/>
      <c r="AK154" s="231"/>
      <c r="AL154" s="231"/>
      <c r="AM154" s="141"/>
      <c r="AN154" s="222" t="s">
        <v>163</v>
      </c>
      <c r="AO154" s="223"/>
      <c r="AP154" s="223"/>
      <c r="AQ154" s="223"/>
      <c r="AR154" s="223"/>
      <c r="AS154" s="223"/>
      <c r="AT154" s="223"/>
      <c r="AU154" s="223"/>
      <c r="AV154" s="223"/>
      <c r="AW154" s="223"/>
      <c r="AX154" s="223"/>
      <c r="AY154" s="223"/>
      <c r="AZ154" s="223"/>
      <c r="BA154" s="223"/>
      <c r="BB154" s="223"/>
      <c r="BC154" s="223"/>
      <c r="BD154" s="223"/>
      <c r="BE154" s="223"/>
      <c r="BF154" s="141"/>
      <c r="BG154" s="222" t="s">
        <v>164</v>
      </c>
      <c r="BH154" s="223"/>
      <c r="BI154" s="223"/>
      <c r="BJ154" s="223"/>
      <c r="BK154" s="223"/>
      <c r="BL154" s="223"/>
      <c r="BM154" s="223"/>
      <c r="BN154" s="223"/>
      <c r="BO154" s="223"/>
      <c r="BP154" s="223"/>
      <c r="BQ154" s="223"/>
      <c r="BR154" s="223"/>
      <c r="BS154" s="223"/>
      <c r="BT154" s="223"/>
      <c r="BU154" s="223"/>
      <c r="BV154" s="223"/>
      <c r="BW154" s="223"/>
      <c r="BX154" s="223"/>
      <c r="BY154" s="141"/>
      <c r="BZ154" s="141"/>
      <c r="CA154" s="141"/>
      <c r="CB154" s="224" t="s">
        <v>165</v>
      </c>
      <c r="CC154" s="225"/>
      <c r="CD154" s="225"/>
      <c r="CE154" s="141"/>
      <c r="CF154" s="222" t="s">
        <v>166</v>
      </c>
      <c r="CG154" s="223"/>
      <c r="CH154" s="223"/>
      <c r="CI154" s="223"/>
      <c r="CJ154" s="141"/>
      <c r="CK154" s="222" t="s">
        <v>167</v>
      </c>
      <c r="CL154" s="223"/>
      <c r="CM154" s="223"/>
      <c r="CN154" s="223"/>
      <c r="CO154" s="141"/>
      <c r="CP154" s="220" t="s">
        <v>168</v>
      </c>
      <c r="CQ154" s="220"/>
      <c r="CR154" s="220"/>
      <c r="CS154" s="141"/>
      <c r="CT154" s="220" t="s">
        <v>169</v>
      </c>
      <c r="CU154" s="220"/>
      <c r="CV154" s="220"/>
      <c r="CW154" s="141"/>
      <c r="CX154" s="220" t="s">
        <v>170</v>
      </c>
      <c r="CY154" s="220"/>
      <c r="CZ154" s="220"/>
      <c r="DA154" s="141"/>
      <c r="DB154" s="220" t="s">
        <v>171</v>
      </c>
      <c r="DC154" s="220"/>
      <c r="DD154" s="220"/>
      <c r="DE154" s="141"/>
      <c r="DF154" s="19"/>
      <c r="DG154" s="19"/>
      <c r="DH154" s="19"/>
      <c r="DI154" s="19"/>
      <c r="DJ154" s="19"/>
      <c r="DK154" s="19"/>
      <c r="DL154" s="19"/>
      <c r="DM154" s="19"/>
      <c r="DN154" s="19"/>
      <c r="DO154" s="19"/>
      <c r="DP154" s="19"/>
      <c r="DQ154" s="19"/>
      <c r="DR154" s="19"/>
      <c r="DS154" s="19"/>
      <c r="DT154" s="19"/>
      <c r="DU154" s="19"/>
      <c r="DV154" s="19"/>
      <c r="DW154" s="19"/>
      <c r="DX154" s="19"/>
      <c r="DY154" s="19"/>
      <c r="DZ154" s="19"/>
      <c r="EA154" s="19"/>
      <c r="EB154" s="19"/>
      <c r="EC154" s="19"/>
      <c r="ED154" s="19"/>
      <c r="EE154" s="19"/>
      <c r="EF154" s="19"/>
      <c r="EG154" s="19"/>
      <c r="EH154" s="19"/>
      <c r="EI154" s="19"/>
      <c r="EJ154" s="19"/>
      <c r="EK154" s="19"/>
      <c r="EL154" s="19"/>
      <c r="EM154" s="19"/>
      <c r="EN154" s="19"/>
      <c r="EO154" s="19"/>
      <c r="EP154" s="19"/>
      <c r="EQ154" s="19"/>
      <c r="ER154" s="19"/>
      <c r="ES154" s="19"/>
      <c r="ET154" s="19"/>
      <c r="EU154" s="19"/>
      <c r="EV154" s="19"/>
      <c r="EW154" s="19"/>
      <c r="EX154" s="19"/>
      <c r="EY154" s="19"/>
      <c r="EZ154" s="19"/>
      <c r="FA154" s="19"/>
      <c r="FB154" s="19"/>
      <c r="FC154" s="19"/>
      <c r="FD154" s="19"/>
      <c r="FE154" s="19"/>
      <c r="FF154" s="19"/>
      <c r="FG154" s="19"/>
      <c r="FH154" s="19"/>
      <c r="FI154" s="19"/>
    </row>
    <row r="155" spans="1:165" ht="19.5" thickBot="1" x14ac:dyDescent="0.3">
      <c r="A155" s="48"/>
      <c r="B155" s="49"/>
      <c r="C155" s="49"/>
      <c r="D155" s="39"/>
      <c r="E155" s="49"/>
      <c r="F155" s="49"/>
      <c r="G155" s="49"/>
      <c r="H155" s="29"/>
      <c r="I155" s="29"/>
      <c r="J155" s="29"/>
      <c r="K155" s="29"/>
      <c r="L155" s="29"/>
      <c r="M155" s="29"/>
      <c r="N155" s="29"/>
      <c r="O155" s="29"/>
      <c r="P155" s="29"/>
      <c r="Q155" s="29"/>
      <c r="R155" s="29"/>
      <c r="S155" s="30"/>
      <c r="T155" s="18"/>
      <c r="U155" s="19"/>
      <c r="V155" s="19"/>
      <c r="W155" s="19"/>
      <c r="X155" s="19"/>
      <c r="Y155" s="19"/>
      <c r="Z155" s="19"/>
      <c r="AA155" s="19"/>
      <c r="AB155" s="19"/>
      <c r="AC155" s="19"/>
      <c r="AD155" s="19"/>
      <c r="AE155" s="19"/>
      <c r="AF155" s="138" t="s">
        <v>172</v>
      </c>
      <c r="AG155" s="138" t="s">
        <v>173</v>
      </c>
      <c r="AH155" s="139" t="s">
        <v>174</v>
      </c>
      <c r="AI155" s="139" t="s">
        <v>175</v>
      </c>
      <c r="AJ155" s="139" t="s">
        <v>176</v>
      </c>
      <c r="AK155" s="139" t="s">
        <v>177</v>
      </c>
      <c r="AL155" s="139" t="s">
        <v>178</v>
      </c>
      <c r="AM155" s="140" t="s">
        <v>179</v>
      </c>
      <c r="AN155" s="139" t="s">
        <v>180</v>
      </c>
      <c r="AO155" s="139" t="s">
        <v>181</v>
      </c>
      <c r="AP155" s="139" t="s">
        <v>182</v>
      </c>
      <c r="AQ155" s="139" t="s">
        <v>183</v>
      </c>
      <c r="AR155" s="139" t="s">
        <v>184</v>
      </c>
      <c r="AS155" s="139" t="s">
        <v>185</v>
      </c>
      <c r="AT155" s="139" t="s">
        <v>186</v>
      </c>
      <c r="AU155" s="139" t="s">
        <v>187</v>
      </c>
      <c r="AV155" s="139" t="s">
        <v>188</v>
      </c>
      <c r="AW155" s="139" t="s">
        <v>189</v>
      </c>
      <c r="AX155" s="139" t="s">
        <v>190</v>
      </c>
      <c r="AY155" s="139" t="s">
        <v>191</v>
      </c>
      <c r="AZ155" s="139" t="s">
        <v>192</v>
      </c>
      <c r="BA155" s="139" t="s">
        <v>193</v>
      </c>
      <c r="BB155" s="139" t="s">
        <v>194</v>
      </c>
      <c r="BC155" s="139" t="s">
        <v>195</v>
      </c>
      <c r="BD155" s="139" t="s">
        <v>196</v>
      </c>
      <c r="BE155" s="139" t="s">
        <v>197</v>
      </c>
      <c r="BF155" s="139" t="s">
        <v>198</v>
      </c>
      <c r="BG155" s="140" t="s">
        <v>199</v>
      </c>
      <c r="BH155" s="139" t="s">
        <v>200</v>
      </c>
      <c r="BI155" s="139" t="s">
        <v>201</v>
      </c>
      <c r="BJ155" s="139" t="s">
        <v>202</v>
      </c>
      <c r="BK155" s="139" t="s">
        <v>203</v>
      </c>
      <c r="BL155" s="139" t="s">
        <v>204</v>
      </c>
      <c r="BM155" s="139" t="s">
        <v>205</v>
      </c>
      <c r="BN155" s="139" t="s">
        <v>206</v>
      </c>
      <c r="BO155" s="139" t="s">
        <v>207</v>
      </c>
      <c r="BP155" s="139" t="s">
        <v>208</v>
      </c>
      <c r="BQ155" s="139" t="s">
        <v>209</v>
      </c>
      <c r="BR155" s="139" t="s">
        <v>210</v>
      </c>
      <c r="BS155" s="139" t="s">
        <v>211</v>
      </c>
      <c r="BT155" s="139" t="s">
        <v>212</v>
      </c>
      <c r="BU155" s="139" t="s">
        <v>213</v>
      </c>
      <c r="BV155" s="139" t="s">
        <v>214</v>
      </c>
      <c r="BW155" s="139" t="s">
        <v>215</v>
      </c>
      <c r="BX155" s="139" t="s">
        <v>216</v>
      </c>
      <c r="BY155" s="139" t="s">
        <v>217</v>
      </c>
      <c r="BZ155" s="151" t="s">
        <v>218</v>
      </c>
      <c r="CA155" s="140" t="s">
        <v>219</v>
      </c>
      <c r="CB155" s="139" t="s">
        <v>220</v>
      </c>
      <c r="CC155" s="139" t="s">
        <v>221</v>
      </c>
      <c r="CD155" s="139" t="s">
        <v>222</v>
      </c>
      <c r="CE155" s="140" t="s">
        <v>223</v>
      </c>
      <c r="CF155" s="139" t="s">
        <v>224</v>
      </c>
      <c r="CG155" s="139" t="s">
        <v>225</v>
      </c>
      <c r="CH155" s="139" t="s">
        <v>226</v>
      </c>
      <c r="CI155" s="139" t="s">
        <v>227</v>
      </c>
      <c r="CJ155" s="140" t="s">
        <v>228</v>
      </c>
      <c r="CK155" s="139" t="s">
        <v>229</v>
      </c>
      <c r="CL155" s="139" t="s">
        <v>230</v>
      </c>
      <c r="CM155" s="139" t="s">
        <v>231</v>
      </c>
      <c r="CN155" s="139" t="s">
        <v>232</v>
      </c>
      <c r="CO155" s="140" t="s">
        <v>233</v>
      </c>
      <c r="CP155" s="139" t="s">
        <v>234</v>
      </c>
      <c r="CQ155" s="139" t="s">
        <v>235</v>
      </c>
      <c r="CR155" s="139" t="s">
        <v>236</v>
      </c>
      <c r="CS155" s="140" t="s">
        <v>237</v>
      </c>
      <c r="CT155" s="139" t="s">
        <v>238</v>
      </c>
      <c r="CU155" s="139" t="s">
        <v>239</v>
      </c>
      <c r="CV155" s="139" t="s">
        <v>240</v>
      </c>
      <c r="CW155" s="140" t="s">
        <v>241</v>
      </c>
      <c r="CX155" s="139" t="s">
        <v>242</v>
      </c>
      <c r="CY155" s="139" t="s">
        <v>243</v>
      </c>
      <c r="CZ155" s="139" t="s">
        <v>244</v>
      </c>
      <c r="DA155" s="140" t="s">
        <v>245</v>
      </c>
      <c r="DB155" s="139" t="s">
        <v>246</v>
      </c>
      <c r="DC155" s="139" t="s">
        <v>247</v>
      </c>
      <c r="DD155" s="139" t="s">
        <v>248</v>
      </c>
      <c r="DE155" s="140" t="s">
        <v>249</v>
      </c>
      <c r="DF155" s="19"/>
      <c r="DG155" s="19"/>
      <c r="DH155" s="19"/>
      <c r="DI155" s="19"/>
      <c r="DJ155" s="19"/>
      <c r="DK155" s="19"/>
      <c r="DL155" s="19"/>
      <c r="DM155" s="19"/>
      <c r="DN155" s="19"/>
      <c r="DO155" s="19"/>
      <c r="DP155" s="19"/>
      <c r="DQ155" s="19"/>
      <c r="DR155" s="19"/>
      <c r="DS155" s="19"/>
      <c r="DT155" s="19"/>
      <c r="DU155" s="19"/>
      <c r="DV155" s="19"/>
      <c r="DW155" s="19"/>
      <c r="DX155" s="19"/>
      <c r="DY155" s="19"/>
      <c r="DZ155" s="19"/>
      <c r="EA155" s="19"/>
      <c r="EB155" s="19"/>
      <c r="EC155" s="19"/>
      <c r="ED155" s="19"/>
      <c r="EE155" s="19"/>
      <c r="EF155" s="19"/>
      <c r="EG155" s="19"/>
      <c r="EH155" s="19"/>
      <c r="EI155" s="19"/>
      <c r="EJ155" s="19"/>
      <c r="EK155" s="19"/>
      <c r="EL155" s="19"/>
      <c r="EM155" s="19"/>
      <c r="EN155" s="19"/>
      <c r="EO155" s="19"/>
      <c r="EP155" s="19"/>
      <c r="EQ155" s="19"/>
      <c r="ER155" s="19"/>
      <c r="ES155" s="19"/>
      <c r="ET155" s="19"/>
      <c r="EU155" s="19"/>
      <c r="EV155" s="19"/>
      <c r="EW155" s="19"/>
      <c r="EX155" s="19"/>
      <c r="EY155" s="19"/>
      <c r="EZ155" s="19"/>
      <c r="FA155" s="19"/>
      <c r="FB155" s="19"/>
      <c r="FC155" s="19"/>
      <c r="FD155" s="19"/>
      <c r="FE155" s="19"/>
      <c r="FF155" s="19"/>
      <c r="FG155" s="19"/>
      <c r="FH155" s="19"/>
      <c r="FI155" s="19"/>
    </row>
    <row r="156" spans="1:165" ht="15.75" thickBot="1" x14ac:dyDescent="0.3">
      <c r="A156" s="36" t="s">
        <v>250</v>
      </c>
      <c r="B156" s="49"/>
      <c r="C156" s="49"/>
      <c r="D156" s="39"/>
      <c r="E156" s="49"/>
      <c r="F156" s="49"/>
      <c r="G156" s="49"/>
      <c r="H156" s="29"/>
      <c r="I156" s="29"/>
      <c r="J156" s="29"/>
      <c r="K156" s="29"/>
      <c r="L156" s="29"/>
      <c r="M156" s="29"/>
      <c r="N156" s="29"/>
      <c r="O156" s="29"/>
      <c r="P156" s="29"/>
      <c r="Q156" s="29"/>
      <c r="R156" s="29"/>
      <c r="S156" s="30"/>
      <c r="T156" s="18"/>
      <c r="U156" s="19"/>
      <c r="V156" s="19"/>
      <c r="W156" s="19"/>
      <c r="X156" s="19"/>
      <c r="Y156" s="19"/>
      <c r="Z156" s="19"/>
      <c r="AA156" s="19"/>
      <c r="AB156" s="19"/>
      <c r="AC156" s="19"/>
      <c r="AD156" s="19"/>
      <c r="AE156" s="19"/>
      <c r="AF156" s="143">
        <v>0</v>
      </c>
      <c r="AG156" s="143">
        <f>0</f>
        <v>0</v>
      </c>
      <c r="AH156" s="144">
        <f t="shared" ref="AH156:AH187" si="3">AG156*VACnom</f>
        <v>0</v>
      </c>
      <c r="AI156" s="145">
        <f t="shared" ref="AI156:AI187" si="4">IF(VACnom&lt;Vbat, (Vbat-VACnom)/Vbat, Vbat/VACnom)</f>
        <v>0.97826086956521752</v>
      </c>
      <c r="AJ156" s="145">
        <f t="shared" ref="AJ156:AJ187" si="5">IF(VACnom&lt;Vbat, AG156/(1-AI156), AG156*AI156)</f>
        <v>0</v>
      </c>
      <c r="AK156" s="145">
        <f t="shared" ref="AK156:AK184" si="6">Ipkpk_VACnom</f>
        <v>0.39130434782608459</v>
      </c>
      <c r="AL156" s="145">
        <f t="shared" ref="AL156:AL184" si="7">SQRT(AJ156^2+AK156^2/12)</f>
        <v>0.11295983527623044</v>
      </c>
      <c r="AM156" s="146"/>
      <c r="AN156" s="145">
        <f>MAX(0,Table7[[#This Row],[I_L]]-0.5*Table7[[#This Row],[I_L pkpk]])</f>
        <v>0</v>
      </c>
      <c r="AO156" s="145">
        <f>Table7[[#This Row],[I_L]]+0.5*Table7[[#This Row],[I_L pkpk]]</f>
        <v>0.19565217391304229</v>
      </c>
      <c r="AP156" s="145">
        <f ca="1">IF(VACnom&gt;Vbat, (VGS_S-(TI_MOSFET_S_VTH_H_BU+Table7[[#This Row],[I_L]]/TI_MOSFET_S_gFS_H_BU))/3.4, (VGS_S-(TI_MOSFET_S_VTH_L_BO+Table7[[#This Row],[I_L]]/TI_MOSFET_S_gFS_L_BO))/3.4 )</f>
        <v>3.0147058823529411</v>
      </c>
      <c r="AQ156" s="145">
        <f ca="1">IF(VACnom&gt;Vbat, ((TI_MOSFET_S_VTH_H_BU+Table7[[#This Row],[I_L]]/TI_MOSFET_S_gFS_H_BU))/1, ((TI_MOSFET_S_VTH_L_BO+Table7[[#This Row],[I_L]]/TI_MOSFET_S_gFS_L_BO))/1 )</f>
        <v>1.75</v>
      </c>
      <c r="AR156" s="145">
        <f ca="1">IF(VACnom&gt;Vbat, (TI_MOSFET_S_QGD_H_BU+TI_MOSFET_S_QGS_H_BU)*10^-9/Table7[[#This Row],[Ion (A)]], (TI_MOSFET_S_QGD_L_BO+TI_MOSFET_S_QGS_L_BO)*10^-9/Table7[[#This Row],[Ion (A)]])/10^-9</f>
        <v>9.5531707317073167</v>
      </c>
      <c r="AS156" s="145">
        <f ca="1">IF(VACnom&gt;Vbat, (TI_MOSFET_S_QGD_H_BU+TI_MOSFET_S_QGS_H_BU)*10^-9/Table7[[#This Row],[Ioff (A)]], (TI_MOSFET_S_QGD_L_BO+TI_MOSFET_S_QGS_L_BO)*10^-9/Table7[[#This Row],[Ioff (A)]])/10^-9</f>
        <v>16.457142857142859</v>
      </c>
      <c r="AT156" s="145">
        <f ca="1" xml:space="preserve"> 0.5*VACnom*Table7[[#This Row],[Ivalley (A)]]*Table7[[#This Row],[ton (ns)]]*10^-9*Fsw*10^3+0.5*VACnom*Table7[[#This Row],[Ipeak (A)]]*Table7[[#This Row],[toff (ns)]]*10^-9*Fsw*10^3/10^-3</f>
        <v>11.849142857142791</v>
      </c>
      <c r="AU156" s="145">
        <f t="shared" ref="AU156:AU187" ca="1" si="8">IF(VACnom&gt;Vbat, 0.5*VACnom*TI_MOSFET_S_QOSS_H_BU*10^-9*Fsw*10^3,0.5*VACnom*TI_MOSFET_S_QOSS_L_BO*10^-9*Fsw*10^3)/10^-3</f>
        <v>268.64000000000004</v>
      </c>
      <c r="AV156" s="145" t="e">
        <f t="shared" ref="AV156:AV187" si="9">IF(VACnom&gt;Vbat, VACnom*TI_MOSFET_S_QG_H_BU*10^-9*Fsw*10^3,VACnom*TI_MOSFET_S_QG_H_BO*10^-9*Fsw*10^3)/10^-3</f>
        <v>#VALUE!</v>
      </c>
      <c r="AW156" s="145">
        <f t="shared" ref="AW156:AW187" ca="1" si="10">IF(VACnom&gt;Vbat, VACnom*TI_MOSFET_S_QRR_L_BU*10^-9*Fsw*10^3, VACnom*TI_MOSFET_S_QRR_H_BO*10^-9*Fsw*10^3)/10^-3</f>
        <v>566.72000000000025</v>
      </c>
      <c r="AX156" s="145">
        <f ca="1">IF(VACnom&gt;Vbat, TI_MOSFET_S_VSD_L_BU*Table7[[#This Row],[Ivalley (A)]]*Fsw*10^3*40*10^-9+TI_MOSFET_S_VSD_L_BU*Table7[[#This Row],[Ipeak (A)]]*Fsw*10^3*30*10^-9, TI_MOSFET_S_VSD_H_BO*Table7[[#This Row],[Ivalley (A)]]*Fsw*10^3*40*10^-9+TI_MOSFET_S_VSD_H_BO*Table7[[#This Row],[Ipeak (A)]]*Fsw*10^3*30*10^-9)/10^-3</f>
        <v>0.84521739130434292</v>
      </c>
      <c r="AY156" s="145" t="e">
        <f t="shared" ref="AY156:AY187" si="11">IF(VACnom&gt;Vbat, VACnom*TI_MOSFET_S_QG_L_BU*10^-9*Fsw*10^3, VACnom*TI_MOSFET_S_QG_L_BO*10^-9*Fsw*10^3)/10^-3</f>
        <v>#VALUE!</v>
      </c>
      <c r="AZ156" s="145" t="e">
        <f>IF(VACnom&lt;Vbat, Table7[[#This Row],[Duty Cycle]]*Table7[[#This Row],[I_L RMS]]^2*TI_MOSFET_S_RDSON_H_BU*10^-3, (1-Table7[[#This Row],[Duty Cycle]])*Table7[[#This Row],[I_L RMS]]^2*TI_MOSFET_S_RDSON_H_BO*10^-3)/10^-3</f>
        <v>#VALUE!</v>
      </c>
      <c r="BA156" s="145" t="e">
        <f ca="1">IF(VACnom&gt;Vbat, Table7[[#This Row],[PIV (mW)]]+Table7[[#This Row],[Pqoss (mW)]]+Table7[[#This Row],[Pgate_top (mW)]], Table7[[#This Row],[PRR (mW)]]+Table7[[#This Row],[Pdead (mW)]]+Table7[[#This Row],[Pgate_top (mW)]])</f>
        <v>#VALUE!</v>
      </c>
      <c r="BB156" s="145" t="e">
        <f ca="1">Table7[[#This Row],[Pcon_top (mW)]]+Table7[[#This Row],[Psw_top (mW)]]</f>
        <v>#VALUE!</v>
      </c>
      <c r="BC156" s="145" t="e">
        <f>IF(VACnom&gt;Vbat, (1-Table7[[#This Row],[Duty Cycle]])*Table7[[#This Row],[I_L RMS]]^2*TI_MOSFET_S_RDSON_L_BU*10^-3, Table7[[#This Row],[Duty Cycle]]*Table7[[#This Row],[I_L RMS]]^2*TI_MOSFET_S_RDSON_L_BO*10^-3)/10^-3</f>
        <v>#VALUE!</v>
      </c>
      <c r="BD156" s="145" t="e">
        <f ca="1">IF(VACnom&gt;Vbat, Table7[[#This Row],[PRR (mW)]]+Table7[[#This Row],[Pdead (mW)]]+Table7[[#This Row],[Pgate_bottom (mW)]], Table7[[#This Row],[PIV (mW)]]+Table7[[#This Row],[Pqoss (mW)]]+Table7[[#This Row],[Pgate_bottom (mW)]])</f>
        <v>#VALUE!</v>
      </c>
      <c r="BE156" s="147" t="e">
        <f ca="1">Table7[[#This Row],[Pcon_bottom (mW)]]+Table7[[#This Row],[Psw_bottom (mW)]]</f>
        <v>#VALUE!</v>
      </c>
      <c r="BF156" s="145" t="e">
        <f ca="1">Table7[[#This Row],[Pbottom (mW)]]+Table7[[#This Row],[Ptop (mW)]]</f>
        <v>#VALUE!</v>
      </c>
      <c r="BG156" s="142"/>
      <c r="BH156" s="145">
        <f>MAX(0,Table7[[#This Row],[I_L]]-0.5*Table7[[#This Row],[I_L pkpk]])</f>
        <v>0</v>
      </c>
      <c r="BI156" s="145">
        <f>Table7[[#This Row],[I_L]]+0.5*Table7[[#This Row],[I_L pkpk]]</f>
        <v>0.19565217391304229</v>
      </c>
      <c r="BJ156" s="145">
        <f>IF(VACnom&gt;Vbat, (VGS_S-(C_MOSFET_S_VTH_H_BU+Table7[[#This Row],[I_L]]/C_MOSFET_S_gFS_H_BU))/3.4, (VGS_S-(C_MOSFET_S_VTH_L_BO+Table7[[#This Row],[I_L]]/C_MOSFET_S_gFS_L_BO))/3.4 )</f>
        <v>2.9705882352941178</v>
      </c>
      <c r="BK156" s="145">
        <f>IF(VACnom&gt;Vbat, ((C_MOSFET_S_VTH_H_BU+Table7[[#This Row],[I_L]]/C_MOSFET_S_gFS_H_BU))/1, ((C_MOSFET_S_VTH_L_BO+Table7[[#This Row],[I_L]]/C_MOSFET_S_gFS_L_BO))/1 )</f>
        <v>1.9</v>
      </c>
      <c r="BL156" s="145">
        <f>IF(VACnom&gt;Vbat, (C_MOSFET_S_QGD_H_BU+C_MOSFET_S_QGS_H_BU)*10^-9/Table7[[#This Row],[Ion (A) C]], (C_MOSFET_S_QGD_L_BO+C_MOSFET_S_QGS_L_BO)*10^-9/Table7[[#This Row],[Ion (A) C]])/10^-9</f>
        <v>5.2178217821782171</v>
      </c>
      <c r="BM156" s="145">
        <f>IF(VACnom&gt;Vbat, (C_MOSFET_S_QGD_H_BU+C_MOSFET_S_QGS_H_BU)*10^-9/Table7[[#This Row],[Ioff (A) C]], (C_MOSFET_S_QGD_L_BO+C_MOSFET_S_QGS_L_BO)*10^-9/Table7[[#This Row],[Ioff (A) C]])/10^-9</f>
        <v>8.1578947368421044</v>
      </c>
      <c r="BN156" s="145">
        <f xml:space="preserve"> 0.5*VACnom*Table7[[#This Row],[Ivalley (A) C]]*Table7[[#This Row],[ton (ns) C]]*10^-9*Fsw*10^3+0.5*VACnom*Table7[[#This Row],[Ipeak (A) C]]*Table7[[#This Row],[toff (ns) C]]*10^-9*Fsw*10^3/10^-3</f>
        <v>5.8736842105262799</v>
      </c>
      <c r="BO156" s="145">
        <f t="shared" ref="BO156:BO187" si="12">IF(VACnom&gt;Vbat, 0.5*VACnom*C_MOSFET_S_QOSS_H_BU*10^-9*Fsw*10^3,0.5*VACnom*C_MOSFET_S_QOSS_L_BO*10^-9*Fsw*10^3)/10^-3</f>
        <v>305.44000000000011</v>
      </c>
      <c r="BP156" s="145">
        <f t="shared" ref="BP156:BP187" si="13">IF(VACnom&gt;Vbat, VACnom*C_MOSFET_S_QG_H_BU*10^-9*Fsw*10^3,VACnom*C_MOSFET_S_QG_H_BO*10^-9*Fsw*10^3)/10^-3</f>
        <v>357.69600000000014</v>
      </c>
      <c r="BQ156" s="145">
        <f t="shared" ref="BQ156:BQ187" si="14">IF(VACnom&gt;Vbat, VACnom*C_MOSFET_S_QRR_L_BU*10^-9*Fsw*10^3, VACnom*C_MOSFET_S_QRR_H_BO*10^-9*Fsw*10^3)/10^-3</f>
        <v>1067.2000000000003</v>
      </c>
      <c r="BR156" s="145">
        <f>IF(VACnom&gt;Vbat, C_MOSFET_S_VSD_L_BU*Table7[[#This Row],[Ivalley (A) C]]*Fsw*10^3*40*10^-9+C_MOSFET_S_VSD_L_BU*Table7[[#This Row],[Ipeak (A) C]]*Fsw*10^3*30*10^-9, C_MOSFET_S_VSD_H_BO*Table7[[#This Row],[Ivalley (A) C]]*Fsw*10^3*40*10^-9+C_MOSFET_S_VSD_H_BO*Table7[[#This Row],[Ipeak (A) C]]*Fsw*10^3*30*10^-9)/10^-3</f>
        <v>0.93913043478260327</v>
      </c>
      <c r="BS156" s="145">
        <f t="shared" ref="BS156:BS187" si="15">IF(VACnom&gt;Vbat, VACnom*C_MOSFET_S_QG_L_BU*10^-9*Fsw*10^3, VACnom*C_MOSFET_S_QG_L_BO*10^-9*Fsw*10^3)/10^-3</f>
        <v>357.69600000000014</v>
      </c>
      <c r="BT156" s="145">
        <f>IF(VACnom&lt;Vbat, Table7[[#This Row],[Duty Cycle]]*Table7[[#This Row],[I_L RMS]]^2*C_MOSFET_S_RDSON_H_BU*10^-3, (1-Table7[[#This Row],[Duty Cycle]])*Table7[[#This Row],[I_L RMS]]^2*C_MOSFET_S_RDSON_H_BO*10^-3)/10^-3</f>
        <v>7.2121311744882417E-4</v>
      </c>
      <c r="BU156" s="145">
        <f>IF(VACnom&gt;Vbat, Table7[[#This Row],[PIV (mW) C]]+Table7[[#This Row],[PQoss (mW) C]]+Table7[[#This Row],[Pgate_top (mW) C]], Table7[[#This Row],[PRR (mW) C]]+Table7[[#This Row],[Pdead (mW) C]]+Table7[[#This Row],[Pgate_top (mW) C]])</f>
        <v>669.00968421052653</v>
      </c>
      <c r="BV156" s="145">
        <f>Table7[[#This Row],[Pcon_top (mW) C]]+Table7[[#This Row],[Psw_top (mW) C]]</f>
        <v>669.01040542364399</v>
      </c>
      <c r="BW156" s="145">
        <f>IF(VACnom&gt;Vbat, (1-Table7[[#This Row],[Duty Cycle]])*Table7[[#This Row],[I_L RMS]]^2*C_MOSFET_S_RDSON_L_BU*10^-3, Table7[[#This Row],[Duty Cycle]]*Table7[[#This Row],[I_L RMS]]^2*C_MOSFET_S_RDSON_L_BO*10^-3)/10^-3</f>
        <v>4.7156242294730806E-4</v>
      </c>
      <c r="BX156" s="145">
        <f>IF(VACnom&gt;Vbat, Table7[[#This Row],[PRR (mW) C]]+Table7[[#This Row],[Pdead (mW) C]]+Table7[[#This Row],[Pgate_bottom (mW) C]], Table7[[#This Row],[PIV (mW) C]]+Table7[[#This Row],[PQoss (mW) C]]+Table7[[#This Row],[Pgate_bottom (mW) C]])</f>
        <v>1425.835130434783</v>
      </c>
      <c r="BY156" s="145">
        <f>Table7[[#This Row],[Pcon_bottom (mW) C]]+Table7[[#This Row],[Psw_bottom (mV) C]]</f>
        <v>1425.8356019972059</v>
      </c>
      <c r="BZ156" s="145">
        <f>Table7[[#This Row],[Pbottom (mW) C]]+Table7[[#This Row],[Ptop (mW) C]]</f>
        <v>2094.8460074208497</v>
      </c>
      <c r="CA156" s="148"/>
      <c r="CB156" s="144">
        <f>(RAC_SNS*10^-3*(Table7[[#This Row],[IOUT (A)]]*Vbat/VACnom)^2/10^-3)</f>
        <v>0</v>
      </c>
      <c r="CC156" s="144">
        <f>(RBAT_SNS*10^-3*Table7[[#This Row],[IOUT (A)]]^2)/10^-3</f>
        <v>0</v>
      </c>
      <c r="CD156" s="144">
        <f>IF(VACnom&gt;Vbat,(L_DRC*10^-3*(Table7[[#This Row],[IOUT (A)]])^2/10^-3),(L_DRC*10^-3*(Table7[[#This Row],[IOUT (A)]]*Vbat/VACnom)^2/10^-3))</f>
        <v>0</v>
      </c>
      <c r="CE156" s="152"/>
      <c r="CF156" s="145">
        <f>(Table7[[#This Row],[R_AC (mW)]]+Table7[[#This Row],[R_SR (mW)]]+Table7[[#This Row],[Inductor Loss (mW)]])/10^3</f>
        <v>0</v>
      </c>
      <c r="CG156" s="145" t="e">
        <f ca="1">Table7[[#This Row],[Total TI (mW)]]/10^3</f>
        <v>#VALUE!</v>
      </c>
      <c r="CH156" s="145" t="e">
        <f ca="1">Table7[[#This Row],[Total Sense Loss]]+Table7[[#This Row],[Total MOSFET Loss]]</f>
        <v>#VALUE!</v>
      </c>
      <c r="CI156" s="149">
        <f>IF(Table7[[#This Row],[POUT (W)]]=0,0,(Table7[[#This Row],[POUT (W)]])/(Table7[[#This Row],[POUT (W)]]+Table7[[#This Row],[Total Power Loss (W)]]))*100</f>
        <v>0</v>
      </c>
      <c r="CJ156" s="153"/>
      <c r="CK156" s="145">
        <f>(Table7[[#This Row],[R_AC (mW)]]+Table7[[#This Row],[R_SR (mW)]]+Table7[[#This Row],[Inductor Loss (mW)]])/10^3</f>
        <v>0</v>
      </c>
      <c r="CL156" s="145">
        <f>Table7[[#This Row],[Total (mW) C]]/10^3</f>
        <v>2.0948460074208497</v>
      </c>
      <c r="CM156" s="145">
        <f>Table7[[#This Row],[Total Sense Loss C]]+Table7[[#This Row],[Total MOSFET Loss C]]</f>
        <v>2.0948460074208497</v>
      </c>
      <c r="CN156" s="149">
        <f>IF(Table7[[#This Row],[POUT (W)]]=0,0,(Table7[[#This Row],[POUT (W)]])/(Table7[[#This Row],[POUT (W)]]+Table7[[#This Row],[Total Power Loss (W) C]]))*100</f>
        <v>0</v>
      </c>
      <c r="CO156" s="153"/>
      <c r="CP156" s="149">
        <f>IF(MOSFET_S=Custom_MOSFET,Table7[[#This Row],[Total Sense Loss C]],Table7[[#This Row],[Total Sense Loss]])</f>
        <v>0</v>
      </c>
      <c r="CQ156" s="149">
        <f>IF(MOSFET_S=Custom_MOSFET,Table7[[#This Row],[Total MOSFET Loss C]],Table7[[#This Row],[Total MOSFET Loss]])</f>
        <v>2.0948460074208497</v>
      </c>
      <c r="CR156" s="149">
        <f>IF(MOSFET_S=Custom_MOSFET,Table7[[#This Row],[Efficiency C]],Table7[[#This Row],[Efficiency]])</f>
        <v>0</v>
      </c>
      <c r="CS156" s="153"/>
      <c r="CT156" s="149">
        <f>IF(MOSFET_S=Compare_MOSFET, Table7[[#This Row],[Total Sense Loss C]], -100)</f>
        <v>-100</v>
      </c>
      <c r="CU156" s="149">
        <f>IF(MOSFET_S=Compare_MOSFET, Table7[[#This Row],[Total MOSFET Loss C]], -100)</f>
        <v>-100</v>
      </c>
      <c r="CV156" s="149">
        <f>IF(MOSFET_S=Compare_MOSFET, Table7[[#This Row],[Efficiency C]], -100)</f>
        <v>-100</v>
      </c>
      <c r="CW156" s="153"/>
      <c r="CX156" s="149">
        <f ca="1">IF(Save_Sel=CLR_Save,  Table7[[#This Row],[Total Sense Loss P1]], Table7[[#This Row],[Total Sense Loss P1 Saved]])</f>
        <v>0</v>
      </c>
      <c r="CY156" s="149">
        <f ca="1">IF(Save_Sel=CLR_Save,  Table7[[#This Row],[Total MOSFET Loss P1]], Table7[[#This Row],[Total MOSFET Loss P1 Saved]] )</f>
        <v>2.0948460074208497</v>
      </c>
      <c r="CZ156" s="149">
        <f ca="1">IF(Save_Sel=CLR_Save, Table7[[#This Row],[Efficiency P1]], Table7[[#This Row],[Efficiency P1 Saved]])</f>
        <v>0</v>
      </c>
      <c r="DA156" s="153"/>
      <c r="DB156" s="149">
        <f ca="1">IF(Save_Sel=CLR_Save,  Table7[[#This Row],[Total Sense Loss P2]], Table7[[#This Row],[Total Sense Loss P2 Saved]])</f>
        <v>-100</v>
      </c>
      <c r="DC156" s="149">
        <f ca="1">IF(Save_Sel=CLR_Save,  Table7[[#This Row],[Total MOSFET Loss P2]], Table7[[#This Row],[Total MOSFET Loss P2 Saved]] )</f>
        <v>-100</v>
      </c>
      <c r="DD156" s="149">
        <f ca="1">IF(Save_Sel=CLR_Save, Table7[[#This Row],[Efficiency P2]], Table7[[#This Row],[Efficiency P2 Saved]])</f>
        <v>-100</v>
      </c>
      <c r="DE156" s="153"/>
      <c r="DF156" s="19"/>
      <c r="DG156" s="19"/>
      <c r="DH156" s="19"/>
      <c r="DI156" s="19"/>
      <c r="DJ156" s="19"/>
      <c r="DK156" s="19"/>
      <c r="DL156" s="19"/>
      <c r="DM156" s="19"/>
      <c r="DN156" s="19"/>
      <c r="DO156" s="19"/>
      <c r="DP156" s="19"/>
      <c r="DQ156" s="19"/>
      <c r="DR156" s="19"/>
      <c r="DS156" s="19"/>
      <c r="DT156" s="19"/>
      <c r="DU156" s="19"/>
      <c r="DV156" s="19"/>
      <c r="DW156" s="19"/>
      <c r="DX156" s="19"/>
      <c r="DY156" s="19"/>
      <c r="DZ156" s="19"/>
      <c r="EA156" s="19"/>
      <c r="EB156" s="19"/>
      <c r="EC156" s="19"/>
      <c r="ED156" s="19"/>
      <c r="EE156" s="19"/>
      <c r="EF156" s="19"/>
      <c r="EG156" s="19"/>
      <c r="EH156" s="19"/>
      <c r="EI156" s="19"/>
      <c r="EJ156" s="19"/>
      <c r="EK156" s="19"/>
      <c r="EL156" s="19"/>
      <c r="EM156" s="19"/>
      <c r="EN156" s="19"/>
      <c r="EO156" s="19"/>
      <c r="EP156" s="19"/>
      <c r="EQ156" s="19"/>
      <c r="ER156" s="19"/>
      <c r="ES156" s="19"/>
      <c r="ET156" s="19"/>
      <c r="EU156" s="19"/>
      <c r="EV156" s="19"/>
      <c r="EW156" s="19"/>
      <c r="EX156" s="19"/>
      <c r="EY156" s="19"/>
      <c r="EZ156" s="19"/>
      <c r="FA156" s="19"/>
      <c r="FB156" s="19"/>
      <c r="FC156" s="19"/>
      <c r="FD156" s="19"/>
      <c r="FE156" s="19"/>
      <c r="FF156" s="19"/>
      <c r="FG156" s="19"/>
      <c r="FH156" s="19"/>
      <c r="FI156" s="19"/>
    </row>
    <row r="157" spans="1:165" x14ac:dyDescent="0.25">
      <c r="A157" s="54"/>
      <c r="B157" s="50"/>
      <c r="C157" s="50"/>
      <c r="D157" s="28" t="s">
        <v>251</v>
      </c>
      <c r="E157" s="227" t="s">
        <v>253</v>
      </c>
      <c r="F157" s="227"/>
      <c r="G157" s="38"/>
      <c r="H157" s="13"/>
      <c r="I157" s="29" t="s">
        <v>252</v>
      </c>
      <c r="J157" s="29" t="s">
        <v>253</v>
      </c>
      <c r="K157" s="29" t="s">
        <v>254</v>
      </c>
      <c r="L157" s="29"/>
      <c r="M157" s="29"/>
      <c r="N157" s="29"/>
      <c r="O157" s="29"/>
      <c r="P157" s="29"/>
      <c r="Q157" s="29"/>
      <c r="R157" s="29"/>
      <c r="S157" s="30"/>
      <c r="T157" s="18"/>
      <c r="U157" s="19"/>
      <c r="V157" s="19"/>
      <c r="W157" s="19"/>
      <c r="X157" s="19"/>
      <c r="Y157" s="19"/>
      <c r="Z157" s="19"/>
      <c r="AA157" s="19"/>
      <c r="AB157" s="19"/>
      <c r="AC157" s="19"/>
      <c r="AD157" s="19"/>
      <c r="AE157" s="19"/>
      <c r="AF157" s="143">
        <f>AF156+1</f>
        <v>1</v>
      </c>
      <c r="AG157" s="143">
        <f t="shared" ref="AG157:AG188" si="16">$AG$156+AF157*($AG$256-$AG$156)/$AF$256</f>
        <v>0.36</v>
      </c>
      <c r="AH157" s="144">
        <f t="shared" si="3"/>
        <v>13.247999999999999</v>
      </c>
      <c r="AI157" s="145">
        <f t="shared" si="4"/>
        <v>0.97826086956521752</v>
      </c>
      <c r="AJ157" s="145">
        <f t="shared" si="5"/>
        <v>0.35217391304347828</v>
      </c>
      <c r="AK157" s="145">
        <f t="shared" si="6"/>
        <v>0.39130434782608459</v>
      </c>
      <c r="AL157" s="145">
        <f t="shared" si="7"/>
        <v>0.36984644031542135</v>
      </c>
      <c r="AM157" s="146"/>
      <c r="AN157" s="145">
        <f>MAX(0,Table7[[#This Row],[I_L]]-0.5*Table7[[#This Row],[I_L pkpk]])</f>
        <v>0.15652173913043599</v>
      </c>
      <c r="AO157" s="145">
        <f>Table7[[#This Row],[I_L]]+0.5*Table7[[#This Row],[I_L pkpk]]</f>
        <v>0.54782608695652057</v>
      </c>
      <c r="AP157" s="145">
        <f ca="1">IF(VACnom&gt;Vbat, (VGS_S-(TI_MOSFET_S_VTH_H_BU+Table7[[#This Row],[I_L]]/TI_MOSFET_S_gFS_H_BU))/3.4, (VGS_S-(TI_MOSFET_S_VTH_L_BO+Table7[[#This Row],[I_L]]/TI_MOSFET_S_gFS_L_BO))/3.4 )</f>
        <v>3.0139091087940195</v>
      </c>
      <c r="AQ157" s="145">
        <f ca="1">IF(VACnom&gt;Vbat, ((TI_MOSFET_S_VTH_H_BU+Table7[[#This Row],[I_L]]/TI_MOSFET_S_gFS_H_BU))/1, ((TI_MOSFET_S_VTH_L_BO+Table7[[#This Row],[I_L]]/TI_MOSFET_S_gFS_L_BO))/1 )</f>
        <v>1.7527090301003345</v>
      </c>
      <c r="AR157" s="145">
        <f ca="1">IF(VACnom&gt;Vbat, (TI_MOSFET_S_QGD_H_BU+TI_MOSFET_S_QGS_H_BU)*10^-9/Table7[[#This Row],[Ion (A)]], (TI_MOSFET_S_QGD_L_BO+TI_MOSFET_S_QGS_L_BO)*10^-9/Table7[[#This Row],[Ion (A)]])/10^-9</f>
        <v>9.5556962603706346</v>
      </c>
      <c r="AS157" s="145">
        <f ca="1">IF(VACnom&gt;Vbat, (TI_MOSFET_S_QGD_H_BU+TI_MOSFET_S_QGS_H_BU)*10^-9/Table7[[#This Row],[Ioff (A)]], (TI_MOSFET_S_QGD_L_BO+TI_MOSFET_S_QGS_L_BO)*10^-9/Table7[[#This Row],[Ioff (A)]])/10^-9</f>
        <v>16.431706293172539</v>
      </c>
      <c r="AT157" s="145">
        <f ca="1" xml:space="preserve"> 0.5*VACnom*Table7[[#This Row],[Ivalley (A)]]*Table7[[#This Row],[ton (ns)]]*10^-9*Fsw*10^3+0.5*VACnom*Table7[[#This Row],[Ipeak (A)]]*Table7[[#This Row],[toff (ns)]]*10^-9*Fsw*10^3/10^-3</f>
        <v>33.13182396808174</v>
      </c>
      <c r="AU157" s="145">
        <f t="shared" ca="1" si="8"/>
        <v>268.64000000000004</v>
      </c>
      <c r="AV157" s="145" t="e">
        <f t="shared" si="9"/>
        <v>#VALUE!</v>
      </c>
      <c r="AW157" s="145">
        <f t="shared" ca="1" si="10"/>
        <v>566.72000000000025</v>
      </c>
      <c r="AX157" s="145">
        <f ca="1">IF(VACnom&gt;Vbat, TI_MOSFET_S_VSD_L_BU*Table7[[#This Row],[Ivalley (A)]]*Fsw*10^3*40*10^-9+TI_MOSFET_S_VSD_L_BU*Table7[[#This Row],[Ipeak (A)]]*Fsw*10^3*30*10^-9, TI_MOSFET_S_VSD_H_BO*Table7[[#This Row],[Ivalley (A)]]*Fsw*10^3*40*10^-9+TI_MOSFET_S_VSD_H_BO*Table7[[#This Row],[Ipeak (A)]]*Fsw*10^3*30*10^-9)/10^-3</f>
        <v>3.2681739130434808</v>
      </c>
      <c r="AY157" s="145" t="e">
        <f t="shared" si="11"/>
        <v>#VALUE!</v>
      </c>
      <c r="AZ157" s="145" t="e">
        <f>IF(VACnom&lt;Vbat, Table7[[#This Row],[Duty Cycle]]*Table7[[#This Row],[I_L RMS]]^2*TI_MOSFET_S_RDSON_H_BU*10^-3, (1-Table7[[#This Row],[Duty Cycle]])*Table7[[#This Row],[I_L RMS]]^2*TI_MOSFET_S_RDSON_H_BO*10^-3)/10^-3</f>
        <v>#VALUE!</v>
      </c>
      <c r="BA157" s="145" t="e">
        <f ca="1">IF(VACnom&gt;Vbat, Table7[[#This Row],[PIV (mW)]]+Table7[[#This Row],[Pqoss (mW)]]+Table7[[#This Row],[Pgate_top (mW)]], Table7[[#This Row],[PRR (mW)]]+Table7[[#This Row],[Pdead (mW)]]+Table7[[#This Row],[Pgate_top (mW)]])</f>
        <v>#VALUE!</v>
      </c>
      <c r="BB157" s="145" t="e">
        <f ca="1">Table7[[#This Row],[Pcon_top (mW)]]+Table7[[#This Row],[Psw_top (mW)]]</f>
        <v>#VALUE!</v>
      </c>
      <c r="BC157" s="145" t="e">
        <f>IF(VACnom&gt;Vbat, (1-Table7[[#This Row],[Duty Cycle]])*Table7[[#This Row],[I_L RMS]]^2*TI_MOSFET_S_RDSON_L_BU*10^-3, Table7[[#This Row],[Duty Cycle]]*Table7[[#This Row],[I_L RMS]]^2*TI_MOSFET_S_RDSON_L_BO*10^-3)/10^-3</f>
        <v>#VALUE!</v>
      </c>
      <c r="BD157" s="145" t="e">
        <f ca="1">IF(VACnom&gt;Vbat, Table7[[#This Row],[PRR (mW)]]+Table7[[#This Row],[Pdead (mW)]]+Table7[[#This Row],[Pgate_bottom (mW)]], Table7[[#This Row],[PIV (mW)]]+Table7[[#This Row],[Pqoss (mW)]]+Table7[[#This Row],[Pgate_bottom (mW)]])</f>
        <v>#VALUE!</v>
      </c>
      <c r="BE157" s="147" t="e">
        <f ca="1">Table7[[#This Row],[Pcon_bottom (mW)]]+Table7[[#This Row],[Psw_bottom (mW)]]</f>
        <v>#VALUE!</v>
      </c>
      <c r="BF157" s="145" t="e">
        <f ca="1">Table7[[#This Row],[Pbottom (mW)]]+Table7[[#This Row],[Ptop (mW)]]</f>
        <v>#VALUE!</v>
      </c>
      <c r="BG157" s="142"/>
      <c r="BH157" s="145">
        <f>MAX(0,Table7[[#This Row],[I_L]]-0.5*Table7[[#This Row],[I_L pkpk]])</f>
        <v>0.15652173913043599</v>
      </c>
      <c r="BI157" s="145">
        <f>Table7[[#This Row],[I_L]]+0.5*Table7[[#This Row],[I_L pkpk]]</f>
        <v>0.54782608695652057</v>
      </c>
      <c r="BJ157" s="145">
        <f>IF(VACnom&gt;Vbat, (VGS_S-(C_MOSFET_S_VTH_H_BU+Table7[[#This Row],[I_L]]/C_MOSFET_S_gFS_H_BU))/3.4, (VGS_S-(C_MOSFET_S_VTH_L_BO+Table7[[#This Row],[I_L]]/C_MOSFET_S_gFS_L_BO))/3.4 )</f>
        <v>2.969695299409119</v>
      </c>
      <c r="BK157" s="145">
        <f>IF(VACnom&gt;Vbat, ((C_MOSFET_S_VTH_H_BU+Table7[[#This Row],[I_L]]/C_MOSFET_S_gFS_H_BU))/1, ((C_MOSFET_S_VTH_L_BO+Table7[[#This Row],[I_L]]/C_MOSFET_S_gFS_L_BO))/1 )</f>
        <v>1.9030359820089955</v>
      </c>
      <c r="BL157" s="145">
        <f>IF(VACnom&gt;Vbat, (C_MOSFET_S_QGD_H_BU+C_MOSFET_S_QGS_H_BU)*10^-9/Table7[[#This Row],[Ion (A) C]], (C_MOSFET_S_QGD_L_BO+C_MOSFET_S_QGS_L_BO)*10^-9/Table7[[#This Row],[Ion (A) C]])/10^-9</f>
        <v>5.2193906907163301</v>
      </c>
      <c r="BM157" s="145">
        <f>IF(VACnom&gt;Vbat, (C_MOSFET_S_QGD_H_BU+C_MOSFET_S_QGS_H_BU)*10^-9/Table7[[#This Row],[Ioff (A) C]], (C_MOSFET_S_QGD_L_BO+C_MOSFET_S_QGS_L_BO)*10^-9/Table7[[#This Row],[Ioff (A) C]])/10^-9</f>
        <v>8.1448801528371373</v>
      </c>
      <c r="BN157" s="145">
        <f xml:space="preserve"> 0.5*VACnom*Table7[[#This Row],[Ivalley (A) C]]*Table7[[#This Row],[ton (ns) C]]*10^-9*Fsw*10^3+0.5*VACnom*Table7[[#This Row],[Ipeak (A) C]]*Table7[[#This Row],[toff (ns) C]]*10^-9*Fsw*10^3/10^-3</f>
        <v>16.42308475715749</v>
      </c>
      <c r="BO157" s="145">
        <f t="shared" si="12"/>
        <v>305.44000000000011</v>
      </c>
      <c r="BP157" s="145">
        <f t="shared" si="13"/>
        <v>357.69600000000014</v>
      </c>
      <c r="BQ157" s="145">
        <f t="shared" si="14"/>
        <v>1067.2000000000003</v>
      </c>
      <c r="BR157" s="145">
        <f>IF(VACnom&gt;Vbat, C_MOSFET_S_VSD_L_BU*Table7[[#This Row],[Ivalley (A) C]]*Fsw*10^3*40*10^-9+C_MOSFET_S_VSD_L_BU*Table7[[#This Row],[Ipeak (A) C]]*Fsw*10^3*30*10^-9, C_MOSFET_S_VSD_H_BO*Table7[[#This Row],[Ivalley (A) C]]*Fsw*10^3*40*10^-9+C_MOSFET_S_VSD_H_BO*Table7[[#This Row],[Ipeak (A) C]]*Fsw*10^3*30*10^-9)/10^-3</f>
        <v>3.6313043478260907</v>
      </c>
      <c r="BS157" s="145">
        <f t="shared" si="15"/>
        <v>357.69600000000014</v>
      </c>
      <c r="BT157" s="145">
        <f>IF(VACnom&lt;Vbat, Table7[[#This Row],[Duty Cycle]]*Table7[[#This Row],[I_L RMS]]^2*C_MOSFET_S_RDSON_H_BU*10^-3, (1-Table7[[#This Row],[Duty Cycle]])*Table7[[#This Row],[I_L RMS]]^2*C_MOSFET_S_RDSON_H_BO*10^-3)/10^-3</f>
        <v>7.731404619051481E-3</v>
      </c>
      <c r="BU157" s="145">
        <f>IF(VACnom&gt;Vbat, Table7[[#This Row],[PIV (mW) C]]+Table7[[#This Row],[PQoss (mW) C]]+Table7[[#This Row],[Pgate_top (mW) C]], Table7[[#This Row],[PRR (mW) C]]+Table7[[#This Row],[Pdead (mW) C]]+Table7[[#This Row],[Pgate_top (mW) C]])</f>
        <v>679.55908475715773</v>
      </c>
      <c r="BV157" s="145">
        <f>Table7[[#This Row],[Pcon_top (mW) C]]+Table7[[#This Row],[Psw_top (mW) C]]</f>
        <v>679.56681616177684</v>
      </c>
      <c r="BW157" s="145">
        <f>IF(VACnom&gt;Vbat, (1-Table7[[#This Row],[Duty Cycle]])*Table7[[#This Row],[I_L RMS]]^2*C_MOSFET_S_RDSON_L_BU*10^-3, Table7[[#This Row],[Duty Cycle]]*Table7[[#This Row],[I_L RMS]]^2*C_MOSFET_S_RDSON_L_BO*10^-3)/10^-3</f>
        <v>5.0551491739951986E-3</v>
      </c>
      <c r="BX157" s="145">
        <f>IF(VACnom&gt;Vbat, Table7[[#This Row],[PRR (mW) C]]+Table7[[#This Row],[Pdead (mW) C]]+Table7[[#This Row],[Pgate_bottom (mW) C]], Table7[[#This Row],[PIV (mW) C]]+Table7[[#This Row],[PQoss (mW) C]]+Table7[[#This Row],[Pgate_bottom (mW) C]])</f>
        <v>1428.5273043478264</v>
      </c>
      <c r="BY157" s="145">
        <f>Table7[[#This Row],[Pcon_bottom (mW) C]]+Table7[[#This Row],[Psw_bottom (mV) C]]</f>
        <v>1428.5323594970005</v>
      </c>
      <c r="BZ157" s="145">
        <f>Table7[[#This Row],[Pbottom (mW) C]]+Table7[[#This Row],[Ptop (mW) C]]</f>
        <v>2108.0991756587773</v>
      </c>
      <c r="CA157" s="148"/>
      <c r="CB157" s="144">
        <f>(RAC_SNS*10^-3*(Table7[[#This Row],[IOUT (A)]]*Vbat/VACnom)^2/10^-3)</f>
        <v>0.24805293005671081</v>
      </c>
      <c r="CC157" s="144">
        <f>(RBAT_SNS*10^-3*Table7[[#This Row],[IOUT (A)]]^2)/10^-3</f>
        <v>0.64800000000000002</v>
      </c>
      <c r="CD157" s="144">
        <f>IF(VACnom&gt;Vbat,(L_DRC*10^-3*(Table7[[#This Row],[IOUT (A)]])^2/10^-3),(L_DRC*10^-3*(Table7[[#This Row],[IOUT (A)]]*Vbat/VACnom)^2/10^-3))</f>
        <v>0.64800000000000002</v>
      </c>
      <c r="CE157" s="152"/>
      <c r="CF157" s="145">
        <f>(Table7[[#This Row],[R_AC (mW)]]+Table7[[#This Row],[R_SR (mW)]]+Table7[[#This Row],[Inductor Loss (mW)]])/10^3</f>
        <v>1.5440529300567109E-3</v>
      </c>
      <c r="CG157" s="145" t="e">
        <f ca="1">Table7[[#This Row],[Total TI (mW)]]/10^3</f>
        <v>#VALUE!</v>
      </c>
      <c r="CH157" s="145" t="e">
        <f ca="1">Table7[[#This Row],[Total Sense Loss]]+Table7[[#This Row],[Total MOSFET Loss]]</f>
        <v>#VALUE!</v>
      </c>
      <c r="CI157" s="149" t="e">
        <f ca="1">IF(Table7[[#This Row],[POUT (W)]]=0,0,(Table7[[#This Row],[POUT (W)]])/(Table7[[#This Row],[POUT (W)]]+Table7[[#This Row],[Total Power Loss (W)]]))*100</f>
        <v>#VALUE!</v>
      </c>
      <c r="CJ157" s="153"/>
      <c r="CK157" s="145">
        <f>(Table7[[#This Row],[R_AC (mW)]]+Table7[[#This Row],[R_SR (mW)]]+Table7[[#This Row],[Inductor Loss (mW)]])/10^3</f>
        <v>1.5440529300567109E-3</v>
      </c>
      <c r="CL157" s="145">
        <f>Table7[[#This Row],[Total (mW) C]]/10^3</f>
        <v>2.1080991756587775</v>
      </c>
      <c r="CM157" s="145">
        <f>Table7[[#This Row],[Total Sense Loss C]]+Table7[[#This Row],[Total MOSFET Loss C]]</f>
        <v>2.1096432285888342</v>
      </c>
      <c r="CN157" s="149">
        <f>IF(Table7[[#This Row],[POUT (W)]]=0,0,(Table7[[#This Row],[POUT (W)]])/(Table7[[#This Row],[POUT (W)]]+Table7[[#This Row],[Total Power Loss (W) C]]))*100</f>
        <v>86.263235854693804</v>
      </c>
      <c r="CO157" s="153"/>
      <c r="CP157" s="149">
        <f>IF(MOSFET_S=Custom_MOSFET,Table7[[#This Row],[Total Sense Loss C]],Table7[[#This Row],[Total Sense Loss]])</f>
        <v>1.5440529300567109E-3</v>
      </c>
      <c r="CQ157" s="149">
        <f>IF(MOSFET_S=Custom_MOSFET,Table7[[#This Row],[Total MOSFET Loss C]],Table7[[#This Row],[Total MOSFET Loss]])</f>
        <v>2.1080991756587775</v>
      </c>
      <c r="CR157" s="149">
        <f>IF(MOSFET_S=Custom_MOSFET,Table7[[#This Row],[Efficiency C]],Table7[[#This Row],[Efficiency]])</f>
        <v>86.263235854693804</v>
      </c>
      <c r="CS157" s="153"/>
      <c r="CT157" s="149">
        <f>IF(MOSFET_S=Compare_MOSFET, Table7[[#This Row],[Total Sense Loss C]], -100)</f>
        <v>-100</v>
      </c>
      <c r="CU157" s="149">
        <f>IF(MOSFET_S=Compare_MOSFET, Table7[[#This Row],[Total MOSFET Loss C]], -100)</f>
        <v>-100</v>
      </c>
      <c r="CV157" s="149">
        <f>IF(MOSFET_S=Compare_MOSFET, Table7[[#This Row],[Efficiency C]], -100)</f>
        <v>-100</v>
      </c>
      <c r="CW157" s="153"/>
      <c r="CX157" s="149">
        <f ca="1">IF(Save_Sel=CLR_Save,  Table7[[#This Row],[Total Sense Loss P1]], Table7[[#This Row],[Total Sense Loss P1 Saved]])</f>
        <v>1.5440529300567109E-3</v>
      </c>
      <c r="CY157" s="149">
        <f ca="1">IF(Save_Sel=CLR_Save,  Table7[[#This Row],[Total MOSFET Loss P1]], Table7[[#This Row],[Total MOSFET Loss P1 Saved]] )</f>
        <v>2.1080991756587775</v>
      </c>
      <c r="CZ157" s="149">
        <f ca="1">IF(Save_Sel=CLR_Save, Table7[[#This Row],[Efficiency P1]], Table7[[#This Row],[Efficiency P1 Saved]])</f>
        <v>86.263235854693804</v>
      </c>
      <c r="DA157" s="153"/>
      <c r="DB157" s="149">
        <f ca="1">IF(Save_Sel=CLR_Save,  Table7[[#This Row],[Total Sense Loss P2]], Table7[[#This Row],[Total Sense Loss P2 Saved]])</f>
        <v>-100</v>
      </c>
      <c r="DC157" s="149">
        <f ca="1">IF(Save_Sel=CLR_Save,  Table7[[#This Row],[Total MOSFET Loss P2]], Table7[[#This Row],[Total MOSFET Loss P2 Saved]] )</f>
        <v>-100</v>
      </c>
      <c r="DD157" s="149">
        <f ca="1">IF(Save_Sel=CLR_Save, Table7[[#This Row],[Efficiency P2]], Table7[[#This Row],[Efficiency P2 Saved]])</f>
        <v>-100</v>
      </c>
      <c r="DE157" s="153"/>
      <c r="DF157" s="19"/>
      <c r="DG157" s="19"/>
      <c r="DH157" s="19"/>
      <c r="DI157" s="19"/>
      <c r="DJ157" s="19"/>
      <c r="DK157" s="19"/>
      <c r="DL157" s="19"/>
      <c r="DM157" s="19"/>
      <c r="DN157" s="19"/>
      <c r="DO157" s="19"/>
      <c r="DP157" s="19"/>
      <c r="DQ157" s="19"/>
      <c r="DR157" s="19"/>
      <c r="DS157" s="19"/>
      <c r="DT157" s="19"/>
      <c r="DU157" s="19"/>
      <c r="DV157" s="19"/>
      <c r="DW157" s="19"/>
      <c r="DX157" s="19"/>
      <c r="DY157" s="19"/>
      <c r="DZ157" s="19"/>
      <c r="EA157" s="19"/>
      <c r="EB157" s="19"/>
      <c r="EC157" s="19"/>
      <c r="ED157" s="19"/>
      <c r="EE157" s="19"/>
      <c r="EF157" s="19"/>
      <c r="EG157" s="19"/>
      <c r="EH157" s="19"/>
      <c r="EI157" s="19"/>
      <c r="EJ157" s="19"/>
      <c r="EK157" s="19"/>
      <c r="EL157" s="19"/>
      <c r="EM157" s="19"/>
      <c r="EN157" s="19"/>
      <c r="EO157" s="19"/>
      <c r="EP157" s="19"/>
      <c r="EQ157" s="19"/>
      <c r="ER157" s="19"/>
      <c r="ES157" s="19"/>
      <c r="ET157" s="19"/>
      <c r="EU157" s="19"/>
      <c r="EV157" s="19"/>
      <c r="EW157" s="19"/>
      <c r="EX157" s="19"/>
      <c r="EY157" s="19"/>
      <c r="EZ157" s="19"/>
      <c r="FA157" s="19"/>
      <c r="FB157" s="19"/>
      <c r="FC157" s="19"/>
      <c r="FD157" s="19"/>
      <c r="FE157" s="19"/>
      <c r="FF157" s="19"/>
      <c r="FG157" s="19"/>
      <c r="FH157" s="19"/>
      <c r="FI157" s="19"/>
    </row>
    <row r="158" spans="1:165" x14ac:dyDescent="0.25">
      <c r="A158" s="36"/>
      <c r="B158" s="49"/>
      <c r="C158" s="49"/>
      <c r="D158" s="32" t="s">
        <v>255</v>
      </c>
      <c r="E158" s="214">
        <v>12</v>
      </c>
      <c r="F158" s="214"/>
      <c r="G158" s="42" t="s">
        <v>7</v>
      </c>
      <c r="H158" s="13"/>
      <c r="I158" s="13">
        <v>4.5</v>
      </c>
      <c r="J158" s="29">
        <v>10</v>
      </c>
      <c r="K158" s="29">
        <f>$E$152</f>
        <v>12</v>
      </c>
      <c r="L158" s="29"/>
      <c r="M158" s="29"/>
      <c r="N158" s="29"/>
      <c r="O158" s="29"/>
      <c r="P158" s="29"/>
      <c r="Q158" s="29"/>
      <c r="R158" s="29"/>
      <c r="S158" s="30"/>
      <c r="T158" s="18"/>
      <c r="U158" s="19"/>
      <c r="V158" s="19"/>
      <c r="W158" s="19"/>
      <c r="X158" s="19"/>
      <c r="Y158" s="19"/>
      <c r="Z158" s="19"/>
      <c r="AA158" s="19"/>
      <c r="AB158" s="19"/>
      <c r="AC158" s="19"/>
      <c r="AD158" s="19"/>
      <c r="AE158" s="19"/>
      <c r="AF158" s="143">
        <f>AF157+1</f>
        <v>2</v>
      </c>
      <c r="AG158" s="143">
        <f t="shared" si="16"/>
        <v>0.72</v>
      </c>
      <c r="AH158" s="144">
        <f t="shared" si="3"/>
        <v>26.495999999999999</v>
      </c>
      <c r="AI158" s="145">
        <f t="shared" si="4"/>
        <v>0.97826086956521752</v>
      </c>
      <c r="AJ158" s="145">
        <f t="shared" si="5"/>
        <v>0.70434782608695656</v>
      </c>
      <c r="AK158" s="145">
        <f t="shared" si="6"/>
        <v>0.39130434782608459</v>
      </c>
      <c r="AL158" s="145">
        <f t="shared" si="7"/>
        <v>0.71334829115871212</v>
      </c>
      <c r="AM158" s="146"/>
      <c r="AN158" s="145">
        <f>MAX(0,Table7[[#This Row],[I_L]]-0.5*Table7[[#This Row],[I_L pkpk]])</f>
        <v>0.50869565217391433</v>
      </c>
      <c r="AO158" s="145">
        <f>Table7[[#This Row],[I_L]]+0.5*Table7[[#This Row],[I_L pkpk]]</f>
        <v>0.8999999999999988</v>
      </c>
      <c r="AP158" s="145">
        <f ca="1">IF(VACnom&gt;Vbat, (VGS_S-(TI_MOSFET_S_VTH_H_BU+Table7[[#This Row],[I_L]]/TI_MOSFET_S_gFS_H_BU))/3.4, (VGS_S-(TI_MOSFET_S_VTH_L_BO+Table7[[#This Row],[I_L]]/TI_MOSFET_S_gFS_L_BO))/3.4 )</f>
        <v>3.0131123352350975</v>
      </c>
      <c r="AQ158" s="145">
        <f ca="1">IF(VACnom&gt;Vbat, ((TI_MOSFET_S_VTH_H_BU+Table7[[#This Row],[I_L]]/TI_MOSFET_S_gFS_H_BU))/1, ((TI_MOSFET_S_VTH_L_BO+Table7[[#This Row],[I_L]]/TI_MOSFET_S_gFS_L_BO))/1 )</f>
        <v>1.7554180602006688</v>
      </c>
      <c r="AR158" s="145">
        <f ca="1">IF(VACnom&gt;Vbat, (TI_MOSFET_S_QGD_H_BU+TI_MOSFET_S_QGS_H_BU)*10^-9/Table7[[#This Row],[Ion (A)]], (TI_MOSFET_S_QGD_L_BO+TI_MOSFET_S_QGS_L_BO)*10^-9/Table7[[#This Row],[Ion (A)]])/10^-9</f>
        <v>9.5582231247123044</v>
      </c>
      <c r="AS158" s="145">
        <f ca="1">IF(VACnom&gt;Vbat, (TI_MOSFET_S_QGD_H_BU+TI_MOSFET_S_QGS_H_BU)*10^-9/Table7[[#This Row],[Ioff (A)]], (TI_MOSFET_S_QGD_L_BO+TI_MOSFET_S_QGS_L_BO)*10^-9/Table7[[#This Row],[Ioff (A)]])/10^-9</f>
        <v>16.406348238611468</v>
      </c>
      <c r="AT158" s="145">
        <f ca="1" xml:space="preserve"> 0.5*VACnom*Table7[[#This Row],[Ivalley (A)]]*Table7[[#This Row],[ton (ns)]]*10^-9*Fsw*10^3+0.5*VACnom*Table7[[#This Row],[Ipeak (A)]]*Table7[[#This Row],[toff (ns)]]*10^-9*Fsw*10^3/10^-3</f>
        <v>54.355718359970588</v>
      </c>
      <c r="AU158" s="145">
        <f t="shared" ca="1" si="8"/>
        <v>268.64000000000004</v>
      </c>
      <c r="AV158" s="145" t="e">
        <f t="shared" si="9"/>
        <v>#VALUE!</v>
      </c>
      <c r="AW158" s="145">
        <f t="shared" ca="1" si="10"/>
        <v>566.72000000000025</v>
      </c>
      <c r="AX158" s="145">
        <f ca="1">IF(VACnom&gt;Vbat, TI_MOSFET_S_VSD_L_BU*Table7[[#This Row],[Ivalley (A)]]*Fsw*10^3*40*10^-9+TI_MOSFET_S_VSD_L_BU*Table7[[#This Row],[Ipeak (A)]]*Fsw*10^3*30*10^-9, TI_MOSFET_S_VSD_H_BO*Table7[[#This Row],[Ivalley (A)]]*Fsw*10^3*40*10^-9+TI_MOSFET_S_VSD_H_BO*Table7[[#This Row],[Ipeak (A)]]*Fsw*10^3*30*10^-9)/10^-3</f>
        <v>6.8180869565217428</v>
      </c>
      <c r="AY158" s="145" t="e">
        <f t="shared" si="11"/>
        <v>#VALUE!</v>
      </c>
      <c r="AZ158" s="145" t="e">
        <f>IF(VACnom&lt;Vbat, Table7[[#This Row],[Duty Cycle]]*Table7[[#This Row],[I_L RMS]]^2*TI_MOSFET_S_RDSON_H_BU*10^-3, (1-Table7[[#This Row],[Duty Cycle]])*Table7[[#This Row],[I_L RMS]]^2*TI_MOSFET_S_RDSON_H_BO*10^-3)/10^-3</f>
        <v>#VALUE!</v>
      </c>
      <c r="BA158" s="145" t="e">
        <f ca="1">IF(VACnom&gt;Vbat, Table7[[#This Row],[PIV (mW)]]+Table7[[#This Row],[Pqoss (mW)]]+Table7[[#This Row],[Pgate_top (mW)]], Table7[[#This Row],[PRR (mW)]]+Table7[[#This Row],[Pdead (mW)]]+Table7[[#This Row],[Pgate_top (mW)]])</f>
        <v>#VALUE!</v>
      </c>
      <c r="BB158" s="145" t="e">
        <f ca="1">Table7[[#This Row],[Pcon_top (mW)]]+Table7[[#This Row],[Psw_top (mW)]]</f>
        <v>#VALUE!</v>
      </c>
      <c r="BC158" s="145" t="e">
        <f>IF(VACnom&gt;Vbat, (1-Table7[[#This Row],[Duty Cycle]])*Table7[[#This Row],[I_L RMS]]^2*TI_MOSFET_S_RDSON_L_BU*10^-3, Table7[[#This Row],[Duty Cycle]]*Table7[[#This Row],[I_L RMS]]^2*TI_MOSFET_S_RDSON_L_BO*10^-3)/10^-3</f>
        <v>#VALUE!</v>
      </c>
      <c r="BD158" s="145" t="e">
        <f ca="1">IF(VACnom&gt;Vbat, Table7[[#This Row],[PRR (mW)]]+Table7[[#This Row],[Pdead (mW)]]+Table7[[#This Row],[Pgate_bottom (mW)]], Table7[[#This Row],[PIV (mW)]]+Table7[[#This Row],[Pqoss (mW)]]+Table7[[#This Row],[Pgate_bottom (mW)]])</f>
        <v>#VALUE!</v>
      </c>
      <c r="BE158" s="147" t="e">
        <f ca="1">Table7[[#This Row],[Pcon_bottom (mW)]]+Table7[[#This Row],[Psw_bottom (mW)]]</f>
        <v>#VALUE!</v>
      </c>
      <c r="BF158" s="145" t="e">
        <f ca="1">Table7[[#This Row],[Pbottom (mW)]]+Table7[[#This Row],[Ptop (mW)]]</f>
        <v>#VALUE!</v>
      </c>
      <c r="BG158" s="142"/>
      <c r="BH158" s="145">
        <f>MAX(0,Table7[[#This Row],[I_L]]-0.5*Table7[[#This Row],[I_L pkpk]])</f>
        <v>0.50869565217391433</v>
      </c>
      <c r="BI158" s="145">
        <f>Table7[[#This Row],[I_L]]+0.5*Table7[[#This Row],[I_L pkpk]]</f>
        <v>0.8999999999999988</v>
      </c>
      <c r="BJ158" s="145">
        <f>IF(VACnom&gt;Vbat, (VGS_S-(C_MOSFET_S_VTH_H_BU+Table7[[#This Row],[I_L]]/C_MOSFET_S_gFS_H_BU))/3.4, (VGS_S-(C_MOSFET_S_VTH_L_BO+Table7[[#This Row],[I_L]]/C_MOSFET_S_gFS_L_BO))/3.4 )</f>
        <v>2.9688023635241203</v>
      </c>
      <c r="BK158" s="145">
        <f>IF(VACnom&gt;Vbat, ((C_MOSFET_S_VTH_H_BU+Table7[[#This Row],[I_L]]/C_MOSFET_S_gFS_H_BU))/1, ((C_MOSFET_S_VTH_L_BO+Table7[[#This Row],[I_L]]/C_MOSFET_S_gFS_L_BO))/1 )</f>
        <v>1.9060719640179908</v>
      </c>
      <c r="BL158" s="145">
        <f>IF(VACnom&gt;Vbat, (C_MOSFET_S_QGD_H_BU+C_MOSFET_S_QGS_H_BU)*10^-9/Table7[[#This Row],[Ion (A) C]], (C_MOSFET_S_QGD_L_BO+C_MOSFET_S_QGS_L_BO)*10^-9/Table7[[#This Row],[Ion (A) C]])/10^-9</f>
        <v>5.2209605430254058</v>
      </c>
      <c r="BM158" s="145">
        <f>IF(VACnom&gt;Vbat, (C_MOSFET_S_QGD_H_BU+C_MOSFET_S_QGS_H_BU)*10^-9/Table7[[#This Row],[Ioff (A) C]], (C_MOSFET_S_QGD_L_BO+C_MOSFET_S_QGS_L_BO)*10^-9/Table7[[#This Row],[Ioff (A) C]])/10^-9</f>
        <v>8.1319070279624022</v>
      </c>
      <c r="BN158" s="145">
        <f xml:space="preserve"> 0.5*VACnom*Table7[[#This Row],[Ivalley (A) C]]*Table7[[#This Row],[ton (ns) C]]*10^-9*Fsw*10^3+0.5*VACnom*Table7[[#This Row],[Ipeak (A) C]]*Table7[[#This Row],[toff (ns) C]]*10^-9*Fsw*10^3/10^-3</f>
        <v>26.94264971474799</v>
      </c>
      <c r="BO158" s="145">
        <f t="shared" si="12"/>
        <v>305.44000000000011</v>
      </c>
      <c r="BP158" s="145">
        <f t="shared" si="13"/>
        <v>357.69600000000014</v>
      </c>
      <c r="BQ158" s="145">
        <f t="shared" si="14"/>
        <v>1067.2000000000003</v>
      </c>
      <c r="BR158" s="145">
        <f>IF(VACnom&gt;Vbat, C_MOSFET_S_VSD_L_BU*Table7[[#This Row],[Ivalley (A) C]]*Fsw*10^3*40*10^-9+C_MOSFET_S_VSD_L_BU*Table7[[#This Row],[Ipeak (A) C]]*Fsw*10^3*30*10^-9, C_MOSFET_S_VSD_H_BO*Table7[[#This Row],[Ivalley (A) C]]*Fsw*10^3*40*10^-9+C_MOSFET_S_VSD_H_BO*Table7[[#This Row],[Ipeak (A) C]]*Fsw*10^3*30*10^-9)/10^-3</f>
        <v>7.5756521739130473</v>
      </c>
      <c r="BS158" s="145">
        <f t="shared" si="15"/>
        <v>357.69600000000014</v>
      </c>
      <c r="BT158" s="145">
        <f>IF(VACnom&lt;Vbat, Table7[[#This Row],[Duty Cycle]]*Table7[[#This Row],[I_L RMS]]^2*C_MOSFET_S_RDSON_H_BU*10^-3, (1-Table7[[#This Row],[Duty Cycle]])*Table7[[#This Row],[I_L RMS]]^2*C_MOSFET_S_RDSON_H_BO*10^-3)/10^-3</f>
        <v>2.876197912385945E-2</v>
      </c>
      <c r="BU158" s="145">
        <f>IF(VACnom&gt;Vbat, Table7[[#This Row],[PIV (mW) C]]+Table7[[#This Row],[PQoss (mW) C]]+Table7[[#This Row],[Pgate_top (mW) C]], Table7[[#This Row],[PRR (mW) C]]+Table7[[#This Row],[Pdead (mW) C]]+Table7[[#This Row],[Pgate_top (mW) C]])</f>
        <v>690.07864971474828</v>
      </c>
      <c r="BV158" s="145">
        <f>Table7[[#This Row],[Pcon_top (mW) C]]+Table7[[#This Row],[Psw_top (mW) C]]</f>
        <v>690.10741169387211</v>
      </c>
      <c r="BW158" s="145">
        <f>IF(VACnom&gt;Vbat, (1-Table7[[#This Row],[Duty Cycle]])*Table7[[#This Row],[I_L RMS]]^2*C_MOSFET_S_RDSON_L_BU*10^-3, Table7[[#This Row],[Duty Cycle]]*Table7[[#This Row],[I_L RMS]]^2*C_MOSFET_S_RDSON_L_BO*10^-3)/10^-3</f>
        <v>1.8805909427138872E-2</v>
      </c>
      <c r="BX158" s="145">
        <f>IF(VACnom&gt;Vbat, Table7[[#This Row],[PRR (mW) C]]+Table7[[#This Row],[Pdead (mW) C]]+Table7[[#This Row],[Pgate_bottom (mW) C]], Table7[[#This Row],[PIV (mW) C]]+Table7[[#This Row],[PQoss (mW) C]]+Table7[[#This Row],[Pgate_bottom (mW) C]])</f>
        <v>1432.4716521739135</v>
      </c>
      <c r="BY158" s="145">
        <f>Table7[[#This Row],[Pcon_bottom (mW) C]]+Table7[[#This Row],[Psw_bottom (mV) C]]</f>
        <v>1432.4904580833406</v>
      </c>
      <c r="BZ158" s="145">
        <f>Table7[[#This Row],[Pbottom (mW) C]]+Table7[[#This Row],[Ptop (mW) C]]</f>
        <v>2122.5978697772125</v>
      </c>
      <c r="CA158" s="148"/>
      <c r="CB158" s="144">
        <f>(RAC_SNS*10^-3*(Table7[[#This Row],[IOUT (A)]]*Vbat/VACnom)^2/10^-3)</f>
        <v>0.99221172022684323</v>
      </c>
      <c r="CC158" s="144">
        <f>(RBAT_SNS*10^-3*Table7[[#This Row],[IOUT (A)]]^2)/10^-3</f>
        <v>2.5920000000000001</v>
      </c>
      <c r="CD158" s="144">
        <f>IF(VACnom&gt;Vbat,(L_DRC*10^-3*(Table7[[#This Row],[IOUT (A)]])^2/10^-3),(L_DRC*10^-3*(Table7[[#This Row],[IOUT (A)]]*Vbat/VACnom)^2/10^-3))</f>
        <v>2.5920000000000001</v>
      </c>
      <c r="CE158" s="152"/>
      <c r="CF158" s="145">
        <f>(Table7[[#This Row],[R_AC (mW)]]+Table7[[#This Row],[R_SR (mW)]]+Table7[[#This Row],[Inductor Loss (mW)]])/10^3</f>
        <v>6.1762117202268435E-3</v>
      </c>
      <c r="CG158" s="145" t="e">
        <f ca="1">Table7[[#This Row],[Total TI (mW)]]/10^3</f>
        <v>#VALUE!</v>
      </c>
      <c r="CH158" s="145" t="e">
        <f ca="1">Table7[[#This Row],[Total Sense Loss]]+Table7[[#This Row],[Total MOSFET Loss]]</f>
        <v>#VALUE!</v>
      </c>
      <c r="CI158" s="149" t="e">
        <f ca="1">IF(Table7[[#This Row],[POUT (W)]]=0,0,(Table7[[#This Row],[POUT (W)]])/(Table7[[#This Row],[POUT (W)]]+Table7[[#This Row],[Total Power Loss (W)]]))*100</f>
        <v>#VALUE!</v>
      </c>
      <c r="CJ158" s="153"/>
      <c r="CK158" s="145">
        <f>(Table7[[#This Row],[R_AC (mW)]]+Table7[[#This Row],[R_SR (mW)]]+Table7[[#This Row],[Inductor Loss (mW)]])/10^3</f>
        <v>6.1762117202268435E-3</v>
      </c>
      <c r="CL158" s="145">
        <f>Table7[[#This Row],[Total (mW) C]]/10^3</f>
        <v>2.1225978697772123</v>
      </c>
      <c r="CM158" s="145">
        <f>Table7[[#This Row],[Total Sense Loss C]]+Table7[[#This Row],[Total MOSFET Loss C]]</f>
        <v>2.128774081497439</v>
      </c>
      <c r="CN158" s="149">
        <f>IF(Table7[[#This Row],[POUT (W)]]=0,0,(Table7[[#This Row],[POUT (W)]])/(Table7[[#This Row],[POUT (W)]]+Table7[[#This Row],[Total Power Loss (W) C]]))*100</f>
        <v>92.563175955776572</v>
      </c>
      <c r="CO158" s="153"/>
      <c r="CP158" s="149">
        <f>IF(MOSFET_S=Custom_MOSFET,Table7[[#This Row],[Total Sense Loss C]],Table7[[#This Row],[Total Sense Loss]])</f>
        <v>6.1762117202268435E-3</v>
      </c>
      <c r="CQ158" s="149">
        <f>IF(MOSFET_S=Custom_MOSFET,Table7[[#This Row],[Total MOSFET Loss C]],Table7[[#This Row],[Total MOSFET Loss]])</f>
        <v>2.1225978697772123</v>
      </c>
      <c r="CR158" s="149">
        <f>IF(MOSFET_S=Custom_MOSFET,Table7[[#This Row],[Efficiency C]],Table7[[#This Row],[Efficiency]])</f>
        <v>92.563175955776572</v>
      </c>
      <c r="CS158" s="153"/>
      <c r="CT158" s="149">
        <f>IF(MOSFET_S=Compare_MOSFET, Table7[[#This Row],[Total Sense Loss C]], -100)</f>
        <v>-100</v>
      </c>
      <c r="CU158" s="149">
        <f>IF(MOSFET_S=Compare_MOSFET, Table7[[#This Row],[Total MOSFET Loss C]], -100)</f>
        <v>-100</v>
      </c>
      <c r="CV158" s="149">
        <f>IF(MOSFET_S=Compare_MOSFET, Table7[[#This Row],[Efficiency C]], -100)</f>
        <v>-100</v>
      </c>
      <c r="CW158" s="153"/>
      <c r="CX158" s="149">
        <f ca="1">IF(Save_Sel=CLR_Save,  Table7[[#This Row],[Total Sense Loss P1]], Table7[[#This Row],[Total Sense Loss P1 Saved]])</f>
        <v>6.1762117202268435E-3</v>
      </c>
      <c r="CY158" s="149">
        <f ca="1">IF(Save_Sel=CLR_Save,  Table7[[#This Row],[Total MOSFET Loss P1]], Table7[[#This Row],[Total MOSFET Loss P1 Saved]] )</f>
        <v>2.1225978697772123</v>
      </c>
      <c r="CZ158" s="149">
        <f ca="1">IF(Save_Sel=CLR_Save, Table7[[#This Row],[Efficiency P1]], Table7[[#This Row],[Efficiency P1 Saved]])</f>
        <v>92.563175955776572</v>
      </c>
      <c r="DA158" s="153"/>
      <c r="DB158" s="149">
        <f ca="1">IF(Save_Sel=CLR_Save,  Table7[[#This Row],[Total Sense Loss P2]], Table7[[#This Row],[Total Sense Loss P2 Saved]])</f>
        <v>-100</v>
      </c>
      <c r="DC158" s="149">
        <f ca="1">IF(Save_Sel=CLR_Save,  Table7[[#This Row],[Total MOSFET Loss P2]], Table7[[#This Row],[Total MOSFET Loss P2 Saved]] )</f>
        <v>-100</v>
      </c>
      <c r="DD158" s="149">
        <f ca="1">IF(Save_Sel=CLR_Save, Table7[[#This Row],[Efficiency P2]], Table7[[#This Row],[Efficiency P2 Saved]])</f>
        <v>-100</v>
      </c>
      <c r="DE158" s="153"/>
      <c r="DF158" s="19"/>
      <c r="DG158" s="19"/>
      <c r="DH158" s="19"/>
      <c r="DI158" s="19"/>
      <c r="DJ158" s="19"/>
      <c r="DK158" s="19"/>
      <c r="DL158" s="19"/>
      <c r="DM158" s="19"/>
      <c r="DN158" s="19"/>
      <c r="DO158" s="19"/>
      <c r="DP158" s="19"/>
      <c r="DQ158" s="19"/>
      <c r="DR158" s="19"/>
      <c r="DS158" s="19"/>
      <c r="DT158" s="19"/>
      <c r="DU158" s="19"/>
      <c r="DV158" s="19"/>
      <c r="DW158" s="19"/>
      <c r="DX158" s="19"/>
      <c r="DY158" s="19"/>
      <c r="DZ158" s="19"/>
      <c r="EA158" s="19"/>
      <c r="EB158" s="19"/>
      <c r="EC158" s="19"/>
      <c r="ED158" s="19"/>
      <c r="EE158" s="19"/>
      <c r="EF158" s="19"/>
      <c r="EG158" s="19"/>
      <c r="EH158" s="19"/>
      <c r="EI158" s="19"/>
      <c r="EJ158" s="19"/>
      <c r="EK158" s="19"/>
      <c r="EL158" s="19"/>
      <c r="EM158" s="19"/>
      <c r="EN158" s="19"/>
      <c r="EO158" s="19"/>
      <c r="EP158" s="19"/>
      <c r="EQ158" s="19"/>
      <c r="ER158" s="19"/>
      <c r="ES158" s="19"/>
      <c r="ET158" s="19"/>
      <c r="EU158" s="19"/>
      <c r="EV158" s="19"/>
      <c r="EW158" s="19"/>
      <c r="EX158" s="19"/>
      <c r="EY158" s="19"/>
      <c r="EZ158" s="19"/>
      <c r="FA158" s="19"/>
      <c r="FB158" s="19"/>
      <c r="FC158" s="19"/>
      <c r="FD158" s="19"/>
      <c r="FE158" s="19"/>
      <c r="FF158" s="19"/>
      <c r="FG158" s="19"/>
      <c r="FH158" s="19"/>
      <c r="FI158" s="19"/>
    </row>
    <row r="159" spans="1:165" ht="15.75" thickBot="1" x14ac:dyDescent="0.3">
      <c r="A159" s="101"/>
      <c r="B159" s="47"/>
      <c r="C159" s="47"/>
      <c r="D159" s="35" t="s">
        <v>256</v>
      </c>
      <c r="E159" s="221" t="s">
        <v>257</v>
      </c>
      <c r="F159" s="221"/>
      <c r="G159" s="45"/>
      <c r="H159" s="13"/>
      <c r="I159" s="29" t="s">
        <v>257</v>
      </c>
      <c r="J159" s="29" t="s">
        <v>258</v>
      </c>
      <c r="K159" s="85">
        <f ca="1">IF(Save_Sel=Save,K159,Ioutmax)</f>
        <v>36</v>
      </c>
      <c r="L159" s="29"/>
      <c r="M159" s="29"/>
      <c r="N159" s="29"/>
      <c r="O159" s="29"/>
      <c r="P159" s="29"/>
      <c r="Q159" s="29"/>
      <c r="R159" s="29"/>
      <c r="S159" s="30"/>
      <c r="T159" s="18"/>
      <c r="U159" s="19"/>
      <c r="V159" s="19"/>
      <c r="W159" s="19"/>
      <c r="X159" s="19"/>
      <c r="Y159" s="19"/>
      <c r="Z159" s="19"/>
      <c r="AA159" s="19"/>
      <c r="AB159" s="19"/>
      <c r="AC159" s="19"/>
      <c r="AD159" s="19"/>
      <c r="AE159" s="19"/>
      <c r="AF159" s="143">
        <f>AF158+1</f>
        <v>3</v>
      </c>
      <c r="AG159" s="143">
        <f t="shared" si="16"/>
        <v>1.08</v>
      </c>
      <c r="AH159" s="144">
        <f t="shared" si="3"/>
        <v>39.744</v>
      </c>
      <c r="AI159" s="145">
        <f t="shared" si="4"/>
        <v>0.97826086956521752</v>
      </c>
      <c r="AJ159" s="145">
        <f t="shared" si="5"/>
        <v>1.0565217391304349</v>
      </c>
      <c r="AK159" s="145">
        <f t="shared" si="6"/>
        <v>0.39130434782608459</v>
      </c>
      <c r="AL159" s="145">
        <f t="shared" si="7"/>
        <v>1.0625432271869375</v>
      </c>
      <c r="AM159" s="146"/>
      <c r="AN159" s="145">
        <f>MAX(0,Table7[[#This Row],[I_L]]-0.5*Table7[[#This Row],[I_L pkpk]])</f>
        <v>0.86086956521739255</v>
      </c>
      <c r="AO159" s="145">
        <f>Table7[[#This Row],[I_L]]+0.5*Table7[[#This Row],[I_L pkpk]]</f>
        <v>1.2521739130434772</v>
      </c>
      <c r="AP159" s="145">
        <f ca="1">IF(VACnom&gt;Vbat, (VGS_S-(TI_MOSFET_S_VTH_H_BU+Table7[[#This Row],[I_L]]/TI_MOSFET_S_gFS_H_BU))/3.4, (VGS_S-(TI_MOSFET_S_VTH_L_BO+Table7[[#This Row],[I_L]]/TI_MOSFET_S_gFS_L_BO))/3.4 )</f>
        <v>3.0123155616761754</v>
      </c>
      <c r="AQ159" s="145">
        <f ca="1">IF(VACnom&gt;Vbat, ((TI_MOSFET_S_VTH_H_BU+Table7[[#This Row],[I_L]]/TI_MOSFET_S_gFS_H_BU))/1, ((TI_MOSFET_S_VTH_L_BO+Table7[[#This Row],[I_L]]/TI_MOSFET_S_gFS_L_BO))/1 )</f>
        <v>1.7581270903010033</v>
      </c>
      <c r="AR159" s="145">
        <f ca="1">IF(VACnom&gt;Vbat, (TI_MOSFET_S_QGD_H_BU+TI_MOSFET_S_QGS_H_BU)*10^-9/Table7[[#This Row],[Ion (A)]], (TI_MOSFET_S_QGD_L_BO+TI_MOSFET_S_QGS_L_BO)*10^-9/Table7[[#This Row],[Ion (A)]])/10^-9</f>
        <v>9.5607513257922108</v>
      </c>
      <c r="AS159" s="145">
        <f ca="1">IF(VACnom&gt;Vbat, (TI_MOSFET_S_QGD_H_BU+TI_MOSFET_S_QGS_H_BU)*10^-9/Table7[[#This Row],[Ioff (A)]], (TI_MOSFET_S_QGD_L_BO+TI_MOSFET_S_QGS_L_BO)*10^-9/Table7[[#This Row],[Ioff (A)]])/10^-9</f>
        <v>16.381068330543297</v>
      </c>
      <c r="AT159" s="145">
        <f ca="1" xml:space="preserve"> 0.5*VACnom*Table7[[#This Row],[Ivalley (A)]]*Table7[[#This Row],[ton (ns)]]*10^-9*Fsw*10^3+0.5*VACnom*Table7[[#This Row],[Ipeak (A)]]*Table7[[#This Row],[toff (ns)]]*10^-9*Fsw*10^3/10^-3</f>
        <v>75.514251327343587</v>
      </c>
      <c r="AU159" s="145">
        <f t="shared" ca="1" si="8"/>
        <v>268.64000000000004</v>
      </c>
      <c r="AV159" s="145" t="e">
        <f t="shared" si="9"/>
        <v>#VALUE!</v>
      </c>
      <c r="AW159" s="145">
        <f t="shared" ca="1" si="10"/>
        <v>566.72000000000025</v>
      </c>
      <c r="AX159" s="145">
        <f ca="1">IF(VACnom&gt;Vbat, TI_MOSFET_S_VSD_L_BU*Table7[[#This Row],[Ivalley (A)]]*Fsw*10^3*40*10^-9+TI_MOSFET_S_VSD_L_BU*Table7[[#This Row],[Ipeak (A)]]*Fsw*10^3*30*10^-9, TI_MOSFET_S_VSD_H_BO*Table7[[#This Row],[Ivalley (A)]]*Fsw*10^3*40*10^-9+TI_MOSFET_S_VSD_H_BO*Table7[[#This Row],[Ipeak (A)]]*Fsw*10^3*30*10^-9)/10^-3</f>
        <v>10.368000000000006</v>
      </c>
      <c r="AY159" s="145" t="e">
        <f t="shared" si="11"/>
        <v>#VALUE!</v>
      </c>
      <c r="AZ159" s="145" t="e">
        <f>IF(VACnom&lt;Vbat, Table7[[#This Row],[Duty Cycle]]*Table7[[#This Row],[I_L RMS]]^2*TI_MOSFET_S_RDSON_H_BU*10^-3, (1-Table7[[#This Row],[Duty Cycle]])*Table7[[#This Row],[I_L RMS]]^2*TI_MOSFET_S_RDSON_H_BO*10^-3)/10^-3</f>
        <v>#VALUE!</v>
      </c>
      <c r="BA159" s="145" t="e">
        <f ca="1">IF(VACnom&gt;Vbat, Table7[[#This Row],[PIV (mW)]]+Table7[[#This Row],[Pqoss (mW)]]+Table7[[#This Row],[Pgate_top (mW)]], Table7[[#This Row],[PRR (mW)]]+Table7[[#This Row],[Pdead (mW)]]+Table7[[#This Row],[Pgate_top (mW)]])</f>
        <v>#VALUE!</v>
      </c>
      <c r="BB159" s="145" t="e">
        <f ca="1">Table7[[#This Row],[Pcon_top (mW)]]+Table7[[#This Row],[Psw_top (mW)]]</f>
        <v>#VALUE!</v>
      </c>
      <c r="BC159" s="145" t="e">
        <f>IF(VACnom&gt;Vbat, (1-Table7[[#This Row],[Duty Cycle]])*Table7[[#This Row],[I_L RMS]]^2*TI_MOSFET_S_RDSON_L_BU*10^-3, Table7[[#This Row],[Duty Cycle]]*Table7[[#This Row],[I_L RMS]]^2*TI_MOSFET_S_RDSON_L_BO*10^-3)/10^-3</f>
        <v>#VALUE!</v>
      </c>
      <c r="BD159" s="145" t="e">
        <f ca="1">IF(VACnom&gt;Vbat, Table7[[#This Row],[PRR (mW)]]+Table7[[#This Row],[Pdead (mW)]]+Table7[[#This Row],[Pgate_bottom (mW)]], Table7[[#This Row],[PIV (mW)]]+Table7[[#This Row],[Pqoss (mW)]]+Table7[[#This Row],[Pgate_bottom (mW)]])</f>
        <v>#VALUE!</v>
      </c>
      <c r="BE159" s="147" t="e">
        <f ca="1">Table7[[#This Row],[Pcon_bottom (mW)]]+Table7[[#This Row],[Psw_bottom (mW)]]</f>
        <v>#VALUE!</v>
      </c>
      <c r="BF159" s="145" t="e">
        <f ca="1">Table7[[#This Row],[Pbottom (mW)]]+Table7[[#This Row],[Ptop (mW)]]</f>
        <v>#VALUE!</v>
      </c>
      <c r="BG159" s="142"/>
      <c r="BH159" s="145">
        <f>MAX(0,Table7[[#This Row],[I_L]]-0.5*Table7[[#This Row],[I_L pkpk]])</f>
        <v>0.86086956521739255</v>
      </c>
      <c r="BI159" s="145">
        <f>Table7[[#This Row],[I_L]]+0.5*Table7[[#This Row],[I_L pkpk]]</f>
        <v>1.2521739130434772</v>
      </c>
      <c r="BJ159" s="145">
        <f>IF(VACnom&gt;Vbat, (VGS_S-(C_MOSFET_S_VTH_H_BU+Table7[[#This Row],[I_L]]/C_MOSFET_S_gFS_H_BU))/3.4, (VGS_S-(C_MOSFET_S_VTH_L_BO+Table7[[#This Row],[I_L]]/C_MOSFET_S_gFS_L_BO))/3.4 )</f>
        <v>2.9679094276391216</v>
      </c>
      <c r="BK159" s="145">
        <f>IF(VACnom&gt;Vbat, ((C_MOSFET_S_VTH_H_BU+Table7[[#This Row],[I_L]]/C_MOSFET_S_gFS_H_BU))/1, ((C_MOSFET_S_VTH_L_BO+Table7[[#This Row],[I_L]]/C_MOSFET_S_gFS_L_BO))/1 )</f>
        <v>1.9091079460269864</v>
      </c>
      <c r="BL159" s="145">
        <f>IF(VACnom&gt;Vbat, (C_MOSFET_S_QGD_H_BU+C_MOSFET_S_QGS_H_BU)*10^-9/Table7[[#This Row],[Ion (A) C]], (C_MOSFET_S_QGD_L_BO+C_MOSFET_S_QGS_L_BO)*10^-9/Table7[[#This Row],[Ion (A) C]])/10^-9</f>
        <v>5.2225313399572846</v>
      </c>
      <c r="BM159" s="145">
        <f>IF(VACnom&gt;Vbat, (C_MOSFET_S_QGD_H_BU+C_MOSFET_S_QGS_H_BU)*10^-9/Table7[[#This Row],[Ioff (A) C]], (C_MOSFET_S_QGD_L_BO+C_MOSFET_S_QGS_L_BO)*10^-9/Table7[[#This Row],[Ioff (A) C]])/10^-9</f>
        <v>8.1189751644252475</v>
      </c>
      <c r="BN159" s="145">
        <f xml:space="preserve"> 0.5*VACnom*Table7[[#This Row],[Ivalley (A) C]]*Table7[[#This Row],[ton (ns) C]]*10^-9*Fsw*10^3+0.5*VACnom*Table7[[#This Row],[Ipeak (A) C]]*Table7[[#This Row],[toff (ns) C]]*10^-9*Fsw*10^3/10^-3</f>
        <v>37.428782536956504</v>
      </c>
      <c r="BO159" s="145">
        <f t="shared" si="12"/>
        <v>305.44000000000011</v>
      </c>
      <c r="BP159" s="145">
        <f t="shared" si="13"/>
        <v>357.69600000000014</v>
      </c>
      <c r="BQ159" s="145">
        <f t="shared" si="14"/>
        <v>1067.2000000000003</v>
      </c>
      <c r="BR159" s="145">
        <f>IF(VACnom&gt;Vbat, C_MOSFET_S_VSD_L_BU*Table7[[#This Row],[Ivalley (A) C]]*Fsw*10^3*40*10^-9+C_MOSFET_S_VSD_L_BU*Table7[[#This Row],[Ipeak (A) C]]*Fsw*10^3*30*10^-9, C_MOSFET_S_VSD_H_BO*Table7[[#This Row],[Ivalley (A) C]]*Fsw*10^3*40*10^-9+C_MOSFET_S_VSD_H_BO*Table7[[#This Row],[Ipeak (A) C]]*Fsw*10^3*30*10^-9)/10^-3</f>
        <v>11.520000000000005</v>
      </c>
      <c r="BS159" s="145">
        <f t="shared" si="15"/>
        <v>357.69600000000014</v>
      </c>
      <c r="BT159" s="145">
        <f>IF(VACnom&lt;Vbat, Table7[[#This Row],[Duty Cycle]]*Table7[[#This Row],[I_L RMS]]^2*C_MOSFET_S_RDSON_H_BU*10^-3, (1-Table7[[#This Row],[Duty Cycle]])*Table7[[#This Row],[I_L RMS]]^2*C_MOSFET_S_RDSON_H_BO*10^-3)/10^-3</f>
        <v>6.3812936631872735E-2</v>
      </c>
      <c r="BU159" s="145">
        <f>IF(VACnom&gt;Vbat, Table7[[#This Row],[PIV (mW) C]]+Table7[[#This Row],[PQoss (mW) C]]+Table7[[#This Row],[Pgate_top (mW) C]], Table7[[#This Row],[PRR (mW) C]]+Table7[[#This Row],[Pdead (mW) C]]+Table7[[#This Row],[Pgate_top (mW) C]])</f>
        <v>700.56478253695673</v>
      </c>
      <c r="BV159" s="145">
        <f>Table7[[#This Row],[Pcon_top (mW) C]]+Table7[[#This Row],[Psw_top (mW) C]]</f>
        <v>700.62859547358858</v>
      </c>
      <c r="BW159" s="145">
        <f>IF(VACnom&gt;Vbat, (1-Table7[[#This Row],[Duty Cycle]])*Table7[[#This Row],[I_L RMS]]^2*C_MOSFET_S_RDSON_L_BU*10^-3, Table7[[#This Row],[Duty Cycle]]*Table7[[#This Row],[I_L RMS]]^2*C_MOSFET_S_RDSON_L_BO*10^-3)/10^-3</f>
        <v>4.1723843182378324E-2</v>
      </c>
      <c r="BX159" s="145">
        <f>IF(VACnom&gt;Vbat, Table7[[#This Row],[PRR (mW) C]]+Table7[[#This Row],[Pdead (mW) C]]+Table7[[#This Row],[Pgate_bottom (mW) C]], Table7[[#This Row],[PIV (mW) C]]+Table7[[#This Row],[PQoss (mW) C]]+Table7[[#This Row],[Pgate_bottom (mW) C]])</f>
        <v>1436.4160000000004</v>
      </c>
      <c r="BY159" s="145">
        <f>Table7[[#This Row],[Pcon_bottom (mW) C]]+Table7[[#This Row],[Psw_bottom (mV) C]]</f>
        <v>1436.4577238431827</v>
      </c>
      <c r="BZ159" s="145">
        <f>Table7[[#This Row],[Pbottom (mW) C]]+Table7[[#This Row],[Ptop (mW) C]]</f>
        <v>2137.0863193167716</v>
      </c>
      <c r="CA159" s="148"/>
      <c r="CB159" s="144">
        <f>(RAC_SNS*10^-3*(Table7[[#This Row],[IOUT (A)]]*Vbat/VACnom)^2/10^-3)</f>
        <v>2.2324763705103976</v>
      </c>
      <c r="CC159" s="144">
        <f>(RBAT_SNS*10^-3*Table7[[#This Row],[IOUT (A)]]^2)/10^-3</f>
        <v>5.8319999999999999</v>
      </c>
      <c r="CD159" s="144">
        <f>IF(VACnom&gt;Vbat,(L_DRC*10^-3*(Table7[[#This Row],[IOUT (A)]])^2/10^-3),(L_DRC*10^-3*(Table7[[#This Row],[IOUT (A)]]*Vbat/VACnom)^2/10^-3))</f>
        <v>5.8319999999999999</v>
      </c>
      <c r="CE159" s="152"/>
      <c r="CF159" s="145">
        <f>(Table7[[#This Row],[R_AC (mW)]]+Table7[[#This Row],[R_SR (mW)]]+Table7[[#This Row],[Inductor Loss (mW)]])/10^3</f>
        <v>1.38964763705104E-2</v>
      </c>
      <c r="CG159" s="145" t="e">
        <f ca="1">Table7[[#This Row],[Total TI (mW)]]/10^3</f>
        <v>#VALUE!</v>
      </c>
      <c r="CH159" s="145" t="e">
        <f ca="1">Table7[[#This Row],[Total Sense Loss]]+Table7[[#This Row],[Total MOSFET Loss]]</f>
        <v>#VALUE!</v>
      </c>
      <c r="CI159" s="149" t="e">
        <f ca="1">IF(Table7[[#This Row],[POUT (W)]]=0,0,(Table7[[#This Row],[POUT (W)]])/(Table7[[#This Row],[POUT (W)]]+Table7[[#This Row],[Total Power Loss (W)]]))*100</f>
        <v>#VALUE!</v>
      </c>
      <c r="CJ159" s="153"/>
      <c r="CK159" s="145">
        <f>(Table7[[#This Row],[R_AC (mW)]]+Table7[[#This Row],[R_SR (mW)]]+Table7[[#This Row],[Inductor Loss (mW)]])/10^3</f>
        <v>1.38964763705104E-2</v>
      </c>
      <c r="CL159" s="145">
        <f>Table7[[#This Row],[Total (mW) C]]/10^3</f>
        <v>2.1370863193167717</v>
      </c>
      <c r="CM159" s="145">
        <f>Table7[[#This Row],[Total Sense Loss C]]+Table7[[#This Row],[Total MOSFET Loss C]]</f>
        <v>2.1509827956872822</v>
      </c>
      <c r="CN159" s="149">
        <f>IF(Table7[[#This Row],[POUT (W)]]=0,0,(Table7[[#This Row],[POUT (W)]])/(Table7[[#This Row],[POUT (W)]]+Table7[[#This Row],[Total Power Loss (W) C]]))*100</f>
        <v>94.865774724918353</v>
      </c>
      <c r="CO159" s="153"/>
      <c r="CP159" s="149">
        <f>IF(MOSFET_S=Custom_MOSFET,Table7[[#This Row],[Total Sense Loss C]],Table7[[#This Row],[Total Sense Loss]])</f>
        <v>1.38964763705104E-2</v>
      </c>
      <c r="CQ159" s="149">
        <f>IF(MOSFET_S=Custom_MOSFET,Table7[[#This Row],[Total MOSFET Loss C]],Table7[[#This Row],[Total MOSFET Loss]])</f>
        <v>2.1370863193167717</v>
      </c>
      <c r="CR159" s="149">
        <f>IF(MOSFET_S=Custom_MOSFET,Table7[[#This Row],[Efficiency C]],Table7[[#This Row],[Efficiency]])</f>
        <v>94.865774724918353</v>
      </c>
      <c r="CS159" s="153"/>
      <c r="CT159" s="149">
        <f>IF(MOSFET_S=Compare_MOSFET, Table7[[#This Row],[Total Sense Loss C]], -100)</f>
        <v>-100</v>
      </c>
      <c r="CU159" s="149">
        <f>IF(MOSFET_S=Compare_MOSFET, Table7[[#This Row],[Total MOSFET Loss C]], -100)</f>
        <v>-100</v>
      </c>
      <c r="CV159" s="149">
        <f>IF(MOSFET_S=Compare_MOSFET, Table7[[#This Row],[Efficiency C]], -100)</f>
        <v>-100</v>
      </c>
      <c r="CW159" s="153"/>
      <c r="CX159" s="149">
        <f ca="1">IF(Save_Sel=CLR_Save,  Table7[[#This Row],[Total Sense Loss P1]], Table7[[#This Row],[Total Sense Loss P1 Saved]])</f>
        <v>1.38964763705104E-2</v>
      </c>
      <c r="CY159" s="149">
        <f ca="1">IF(Save_Sel=CLR_Save,  Table7[[#This Row],[Total MOSFET Loss P1]], Table7[[#This Row],[Total MOSFET Loss P1 Saved]] )</f>
        <v>2.1370863193167717</v>
      </c>
      <c r="CZ159" s="149">
        <f ca="1">IF(Save_Sel=CLR_Save, Table7[[#This Row],[Efficiency P1]], Table7[[#This Row],[Efficiency P1 Saved]])</f>
        <v>94.865774724918353</v>
      </c>
      <c r="DA159" s="153"/>
      <c r="DB159" s="149">
        <f ca="1">IF(Save_Sel=CLR_Save,  Table7[[#This Row],[Total Sense Loss P2]], Table7[[#This Row],[Total Sense Loss P2 Saved]])</f>
        <v>-100</v>
      </c>
      <c r="DC159" s="149">
        <f ca="1">IF(Save_Sel=CLR_Save,  Table7[[#This Row],[Total MOSFET Loss P2]], Table7[[#This Row],[Total MOSFET Loss P2 Saved]] )</f>
        <v>-100</v>
      </c>
      <c r="DD159" s="149">
        <f ca="1">IF(Save_Sel=CLR_Save, Table7[[#This Row],[Efficiency P2]], Table7[[#This Row],[Efficiency P2 Saved]])</f>
        <v>-100</v>
      </c>
      <c r="DE159" s="153"/>
      <c r="DF159" s="19"/>
      <c r="DG159" s="19"/>
      <c r="DH159" s="19"/>
      <c r="DI159" s="19"/>
      <c r="DJ159" s="19"/>
      <c r="DK159" s="19"/>
      <c r="DL159" s="19"/>
      <c r="DM159" s="19"/>
      <c r="DN159" s="19"/>
      <c r="DO159" s="19"/>
      <c r="DP159" s="19"/>
      <c r="DQ159" s="19"/>
      <c r="DR159" s="19"/>
      <c r="DS159" s="19"/>
      <c r="DT159" s="19"/>
      <c r="DU159" s="19"/>
      <c r="DV159" s="19"/>
      <c r="DW159" s="19"/>
      <c r="DX159" s="19"/>
      <c r="DY159" s="19"/>
      <c r="DZ159" s="19"/>
      <c r="EA159" s="19"/>
      <c r="EB159" s="19"/>
      <c r="EC159" s="19"/>
      <c r="ED159" s="19"/>
      <c r="EE159" s="19"/>
      <c r="EF159" s="19"/>
      <c r="EG159" s="19"/>
      <c r="EH159" s="19"/>
      <c r="EI159" s="19"/>
      <c r="EJ159" s="19"/>
      <c r="EK159" s="19"/>
      <c r="EL159" s="19"/>
      <c r="EM159" s="19"/>
      <c r="EN159" s="19"/>
      <c r="EO159" s="19"/>
      <c r="EP159" s="19"/>
      <c r="EQ159" s="19"/>
      <c r="ER159" s="19"/>
      <c r="ES159" s="19"/>
      <c r="ET159" s="19"/>
      <c r="EU159" s="19"/>
      <c r="EV159" s="19"/>
      <c r="EW159" s="19"/>
      <c r="EX159" s="19"/>
      <c r="EY159" s="19"/>
      <c r="EZ159" s="19"/>
      <c r="FA159" s="19"/>
      <c r="FB159" s="19"/>
      <c r="FC159" s="19"/>
      <c r="FD159" s="19"/>
      <c r="FE159" s="19"/>
      <c r="FF159" s="19"/>
      <c r="FG159" s="19"/>
      <c r="FH159" s="19"/>
      <c r="FI159" s="19"/>
    </row>
    <row r="160" spans="1:165" x14ac:dyDescent="0.25">
      <c r="A160" s="36"/>
      <c r="B160" s="49"/>
      <c r="C160" s="49"/>
      <c r="D160" s="32"/>
      <c r="E160" s="106"/>
      <c r="F160" s="106"/>
      <c r="G160" s="49"/>
      <c r="H160" s="29"/>
      <c r="I160" s="29"/>
      <c r="J160" s="29"/>
      <c r="K160" s="29"/>
      <c r="L160" s="29"/>
      <c r="M160" s="29"/>
      <c r="N160" s="29"/>
      <c r="O160" s="29"/>
      <c r="P160" s="29"/>
      <c r="Q160" s="29"/>
      <c r="R160" s="29"/>
      <c r="S160" s="30"/>
      <c r="T160" s="18"/>
      <c r="U160" s="19"/>
      <c r="V160" s="19"/>
      <c r="W160" s="19"/>
      <c r="X160" s="19"/>
      <c r="Y160" s="19"/>
      <c r="Z160" s="19"/>
      <c r="AA160" s="19"/>
      <c r="AB160" s="19"/>
      <c r="AC160" s="19"/>
      <c r="AD160" s="19"/>
      <c r="AE160" s="19"/>
      <c r="AF160" s="143">
        <f t="shared" ref="AF160:AF221" si="17">AF159+1</f>
        <v>4</v>
      </c>
      <c r="AG160" s="143">
        <f t="shared" si="16"/>
        <v>1.44</v>
      </c>
      <c r="AH160" s="144">
        <f t="shared" si="3"/>
        <v>52.991999999999997</v>
      </c>
      <c r="AI160" s="145">
        <f t="shared" si="4"/>
        <v>0.97826086956521752</v>
      </c>
      <c r="AJ160" s="145">
        <f t="shared" si="5"/>
        <v>1.4086956521739131</v>
      </c>
      <c r="AK160" s="145">
        <f t="shared" si="6"/>
        <v>0.39130434782608459</v>
      </c>
      <c r="AL160" s="145">
        <f t="shared" si="7"/>
        <v>1.4132173806033237</v>
      </c>
      <c r="AM160" s="146"/>
      <c r="AN160" s="145">
        <f>MAX(0,Table7[[#This Row],[I_L]]-0.5*Table7[[#This Row],[I_L pkpk]])</f>
        <v>1.2130434782608708</v>
      </c>
      <c r="AO160" s="145">
        <f>Table7[[#This Row],[I_L]]+0.5*Table7[[#This Row],[I_L pkpk]]</f>
        <v>1.6043478260869555</v>
      </c>
      <c r="AP160" s="145">
        <f ca="1">IF(VACnom&gt;Vbat, (VGS_S-(TI_MOSFET_S_VTH_H_BU+Table7[[#This Row],[I_L]]/TI_MOSFET_S_gFS_H_BU))/3.4, (VGS_S-(TI_MOSFET_S_VTH_L_BO+Table7[[#This Row],[I_L]]/TI_MOSFET_S_gFS_L_BO))/3.4 )</f>
        <v>3.0115187881172534</v>
      </c>
      <c r="AQ160" s="145">
        <f ca="1">IF(VACnom&gt;Vbat, ((TI_MOSFET_S_VTH_H_BU+Table7[[#This Row],[I_L]]/TI_MOSFET_S_gFS_H_BU))/1, ((TI_MOSFET_S_VTH_L_BO+Table7[[#This Row],[I_L]]/TI_MOSFET_S_gFS_L_BO))/1 )</f>
        <v>1.7608361204013379</v>
      </c>
      <c r="AR160" s="145">
        <f ca="1">IF(VACnom&gt;Vbat, (TI_MOSFET_S_QGD_H_BU+TI_MOSFET_S_QGS_H_BU)*10^-9/Table7[[#This Row],[Ion (A)]], (TI_MOSFET_S_QGD_L_BO+TI_MOSFET_S_QGS_L_BO)*10^-9/Table7[[#This Row],[Ion (A)]])/10^-9</f>
        <v>9.5632808646713574</v>
      </c>
      <c r="AS160" s="145">
        <f ca="1">IF(VACnom&gt;Vbat, (TI_MOSFET_S_QGD_H_BU+TI_MOSFET_S_QGS_H_BU)*10^-9/Table7[[#This Row],[Ioff (A)]], (TI_MOSFET_S_QGD_L_BO+TI_MOSFET_S_QGS_L_BO)*10^-9/Table7[[#This Row],[Ioff (A)]])/10^-9</f>
        <v>16.355866208285057</v>
      </c>
      <c r="AT160" s="145">
        <f ca="1" xml:space="preserve"> 0.5*VACnom*Table7[[#This Row],[Ivalley (A)]]*Table7[[#This Row],[ton (ns)]]*10^-9*Fsw*10^3+0.5*VACnom*Table7[[#This Row],[Ipeak (A)]]*Table7[[#This Row],[toff (ns)]]*10^-9*Fsw*10^3/10^-3</f>
        <v>96.607724579494828</v>
      </c>
      <c r="AU160" s="145">
        <f t="shared" ca="1" si="8"/>
        <v>268.64000000000004</v>
      </c>
      <c r="AV160" s="145" t="e">
        <f t="shared" si="9"/>
        <v>#VALUE!</v>
      </c>
      <c r="AW160" s="145">
        <f t="shared" ca="1" si="10"/>
        <v>566.72000000000025</v>
      </c>
      <c r="AX160" s="145">
        <f ca="1">IF(VACnom&gt;Vbat, TI_MOSFET_S_VSD_L_BU*Table7[[#This Row],[Ivalley (A)]]*Fsw*10^3*40*10^-9+TI_MOSFET_S_VSD_L_BU*Table7[[#This Row],[Ipeak (A)]]*Fsw*10^3*30*10^-9, TI_MOSFET_S_VSD_H_BO*Table7[[#This Row],[Ivalley (A)]]*Fsw*10^3*40*10^-9+TI_MOSFET_S_VSD_H_BO*Table7[[#This Row],[Ipeak (A)]]*Fsw*10^3*30*10^-9)/10^-3</f>
        <v>13.917913043478269</v>
      </c>
      <c r="AY160" s="145" t="e">
        <f t="shared" si="11"/>
        <v>#VALUE!</v>
      </c>
      <c r="AZ160" s="145" t="e">
        <f>IF(VACnom&lt;Vbat, Table7[[#This Row],[Duty Cycle]]*Table7[[#This Row],[I_L RMS]]^2*TI_MOSFET_S_RDSON_H_BU*10^-3, (1-Table7[[#This Row],[Duty Cycle]])*Table7[[#This Row],[I_L RMS]]^2*TI_MOSFET_S_RDSON_H_BO*10^-3)/10^-3</f>
        <v>#VALUE!</v>
      </c>
      <c r="BA160" s="145" t="e">
        <f ca="1">IF(VACnom&gt;Vbat, Table7[[#This Row],[PIV (mW)]]+Table7[[#This Row],[Pqoss (mW)]]+Table7[[#This Row],[Pgate_top (mW)]], Table7[[#This Row],[PRR (mW)]]+Table7[[#This Row],[Pdead (mW)]]+Table7[[#This Row],[Pgate_top (mW)]])</f>
        <v>#VALUE!</v>
      </c>
      <c r="BB160" s="145" t="e">
        <f ca="1">Table7[[#This Row],[Pcon_top (mW)]]+Table7[[#This Row],[Psw_top (mW)]]</f>
        <v>#VALUE!</v>
      </c>
      <c r="BC160" s="145" t="e">
        <f>IF(VACnom&gt;Vbat, (1-Table7[[#This Row],[Duty Cycle]])*Table7[[#This Row],[I_L RMS]]^2*TI_MOSFET_S_RDSON_L_BU*10^-3, Table7[[#This Row],[Duty Cycle]]*Table7[[#This Row],[I_L RMS]]^2*TI_MOSFET_S_RDSON_L_BO*10^-3)/10^-3</f>
        <v>#VALUE!</v>
      </c>
      <c r="BD160" s="145" t="e">
        <f ca="1">IF(VACnom&gt;Vbat, Table7[[#This Row],[PRR (mW)]]+Table7[[#This Row],[Pdead (mW)]]+Table7[[#This Row],[Pgate_bottom (mW)]], Table7[[#This Row],[PIV (mW)]]+Table7[[#This Row],[Pqoss (mW)]]+Table7[[#This Row],[Pgate_bottom (mW)]])</f>
        <v>#VALUE!</v>
      </c>
      <c r="BE160" s="147" t="e">
        <f ca="1">Table7[[#This Row],[Pcon_bottom (mW)]]+Table7[[#This Row],[Psw_bottom (mW)]]</f>
        <v>#VALUE!</v>
      </c>
      <c r="BF160" s="145" t="e">
        <f ca="1">Table7[[#This Row],[Pbottom (mW)]]+Table7[[#This Row],[Ptop (mW)]]</f>
        <v>#VALUE!</v>
      </c>
      <c r="BG160" s="142"/>
      <c r="BH160" s="145">
        <f>MAX(0,Table7[[#This Row],[I_L]]-0.5*Table7[[#This Row],[I_L pkpk]])</f>
        <v>1.2130434782608708</v>
      </c>
      <c r="BI160" s="145">
        <f>Table7[[#This Row],[I_L]]+0.5*Table7[[#This Row],[I_L pkpk]]</f>
        <v>1.6043478260869555</v>
      </c>
      <c r="BJ160" s="145">
        <f>IF(VACnom&gt;Vbat, (VGS_S-(C_MOSFET_S_VTH_H_BU+Table7[[#This Row],[I_L]]/C_MOSFET_S_gFS_H_BU))/3.4, (VGS_S-(C_MOSFET_S_VTH_L_BO+Table7[[#This Row],[I_L]]/C_MOSFET_S_gFS_L_BO))/3.4 )</f>
        <v>2.9670164917541229</v>
      </c>
      <c r="BK160" s="145">
        <f>IF(VACnom&gt;Vbat, ((C_MOSFET_S_VTH_H_BU+Table7[[#This Row],[I_L]]/C_MOSFET_S_gFS_H_BU))/1, ((C_MOSFET_S_VTH_L_BO+Table7[[#This Row],[I_L]]/C_MOSFET_S_gFS_L_BO))/1 )</f>
        <v>1.912143928035982</v>
      </c>
      <c r="BL160" s="145">
        <f>IF(VACnom&gt;Vbat, (C_MOSFET_S_QGD_H_BU+C_MOSFET_S_QGS_H_BU)*10^-9/Table7[[#This Row],[Ion (A) C]], (C_MOSFET_S_QGD_L_BO+C_MOSFET_S_QGS_L_BO)*10^-9/Table7[[#This Row],[Ion (A) C]])/10^-9</f>
        <v>5.2241030823648309</v>
      </c>
      <c r="BM160" s="145">
        <f>IF(VACnom&gt;Vbat, (C_MOSFET_S_QGD_H_BU+C_MOSFET_S_QGS_H_BU)*10^-9/Table7[[#This Row],[Ioff (A) C]], (C_MOSFET_S_QGD_L_BO+C_MOSFET_S_QGS_L_BO)*10^-9/Table7[[#This Row],[Ioff (A) C]])/10^-9</f>
        <v>8.1060843656891954</v>
      </c>
      <c r="BN160" s="145">
        <f xml:space="preserve"> 0.5*VACnom*Table7[[#This Row],[Ivalley (A) C]]*Table7[[#This Row],[ton (ns) C]]*10^-9*Fsw*10^3+0.5*VACnom*Table7[[#This Row],[Ipeak (A) C]]*Table7[[#This Row],[toff (ns) C]]*10^-9*Fsw*10^3/10^-3</f>
        <v>47.881642491188664</v>
      </c>
      <c r="BO160" s="145">
        <f t="shared" si="12"/>
        <v>305.44000000000011</v>
      </c>
      <c r="BP160" s="145">
        <f t="shared" si="13"/>
        <v>357.69600000000014</v>
      </c>
      <c r="BQ160" s="145">
        <f t="shared" si="14"/>
        <v>1067.2000000000003</v>
      </c>
      <c r="BR160" s="145">
        <f>IF(VACnom&gt;Vbat, C_MOSFET_S_VSD_L_BU*Table7[[#This Row],[Ivalley (A) C]]*Fsw*10^3*40*10^-9+C_MOSFET_S_VSD_L_BU*Table7[[#This Row],[Ipeak (A) C]]*Fsw*10^3*30*10^-9, C_MOSFET_S_VSD_H_BO*Table7[[#This Row],[Ivalley (A) C]]*Fsw*10^3*40*10^-9+C_MOSFET_S_VSD_H_BO*Table7[[#This Row],[Ipeak (A) C]]*Fsw*10^3*30*10^-9)/10^-3</f>
        <v>15.464347826086966</v>
      </c>
      <c r="BS160" s="145">
        <f t="shared" si="15"/>
        <v>357.69600000000014</v>
      </c>
      <c r="BT160" s="145">
        <f>IF(VACnom&lt;Vbat, Table7[[#This Row],[Duty Cycle]]*Table7[[#This Row],[I_L RMS]]^2*C_MOSFET_S_RDSON_H_BU*10^-3, (1-Table7[[#This Row],[Duty Cycle]])*Table7[[#This Row],[I_L RMS]]^2*C_MOSFET_S_RDSON_H_BO*10^-3)/10^-3</f>
        <v>0.11288427714309132</v>
      </c>
      <c r="BU160" s="145">
        <f>IF(VACnom&gt;Vbat, Table7[[#This Row],[PIV (mW) C]]+Table7[[#This Row],[PQoss (mW) C]]+Table7[[#This Row],[Pgate_top (mW) C]], Table7[[#This Row],[PRR (mW) C]]+Table7[[#This Row],[Pdead (mW) C]]+Table7[[#This Row],[Pgate_top (mW) C]])</f>
        <v>711.01764249118889</v>
      </c>
      <c r="BV160" s="145">
        <f>Table7[[#This Row],[Pcon_top (mW) C]]+Table7[[#This Row],[Psw_top (mW) C]]</f>
        <v>711.13052676833195</v>
      </c>
      <c r="BW160" s="145">
        <f>IF(VACnom&gt;Vbat, (1-Table7[[#This Row],[Duty Cycle]])*Table7[[#This Row],[I_L RMS]]^2*C_MOSFET_S_RDSON_L_BU*10^-3, Table7[[#This Row],[Duty Cycle]]*Table7[[#This Row],[I_L RMS]]^2*C_MOSFET_S_RDSON_L_BO*10^-3)/10^-3</f>
        <v>7.3808950439713555E-2</v>
      </c>
      <c r="BX160" s="145">
        <f>IF(VACnom&gt;Vbat, Table7[[#This Row],[PRR (mW) C]]+Table7[[#This Row],[Pdead (mW) C]]+Table7[[#This Row],[Pgate_bottom (mW) C]], Table7[[#This Row],[PIV (mW) C]]+Table7[[#This Row],[PQoss (mW) C]]+Table7[[#This Row],[Pgate_bottom (mW) C]])</f>
        <v>1440.3603478260875</v>
      </c>
      <c r="BY160" s="145">
        <f>Table7[[#This Row],[Pcon_bottom (mW) C]]+Table7[[#This Row],[Psw_bottom (mV) C]]</f>
        <v>1440.4341567765273</v>
      </c>
      <c r="BZ160" s="145">
        <f>Table7[[#This Row],[Pbottom (mW) C]]+Table7[[#This Row],[Ptop (mW) C]]</f>
        <v>2151.5646835448592</v>
      </c>
      <c r="CA160" s="148"/>
      <c r="CB160" s="144">
        <f>(RAC_SNS*10^-3*(Table7[[#This Row],[IOUT (A)]]*Vbat/VACnom)^2/10^-3)</f>
        <v>3.9688468809073729</v>
      </c>
      <c r="CC160" s="144">
        <f>(RBAT_SNS*10^-3*Table7[[#This Row],[IOUT (A)]]^2)/10^-3</f>
        <v>10.368</v>
      </c>
      <c r="CD160" s="144">
        <f>IF(VACnom&gt;Vbat,(L_DRC*10^-3*(Table7[[#This Row],[IOUT (A)]])^2/10^-3),(L_DRC*10^-3*(Table7[[#This Row],[IOUT (A)]]*Vbat/VACnom)^2/10^-3))</f>
        <v>10.368</v>
      </c>
      <c r="CE160" s="152"/>
      <c r="CF160" s="145">
        <f>(Table7[[#This Row],[R_AC (mW)]]+Table7[[#This Row],[R_SR (mW)]]+Table7[[#This Row],[Inductor Loss (mW)]])/10^3</f>
        <v>2.4704846880907374E-2</v>
      </c>
      <c r="CG160" s="145" t="e">
        <f ca="1">Table7[[#This Row],[Total TI (mW)]]/10^3</f>
        <v>#VALUE!</v>
      </c>
      <c r="CH160" s="145" t="e">
        <f ca="1">Table7[[#This Row],[Total Sense Loss]]+Table7[[#This Row],[Total MOSFET Loss]]</f>
        <v>#VALUE!</v>
      </c>
      <c r="CI160" s="149" t="e">
        <f ca="1">IF(Table7[[#This Row],[POUT (W)]]=0,0,(Table7[[#This Row],[POUT (W)]])/(Table7[[#This Row],[POUT (W)]]+Table7[[#This Row],[Total Power Loss (W)]]))*100</f>
        <v>#VALUE!</v>
      </c>
      <c r="CJ160" s="153"/>
      <c r="CK160" s="145">
        <f>(Table7[[#This Row],[R_AC (mW)]]+Table7[[#This Row],[R_SR (mW)]]+Table7[[#This Row],[Inductor Loss (mW)]])/10^3</f>
        <v>2.4704846880907374E-2</v>
      </c>
      <c r="CL160" s="145">
        <f>Table7[[#This Row],[Total (mW) C]]/10^3</f>
        <v>2.1515646835448594</v>
      </c>
      <c r="CM160" s="145">
        <f>Table7[[#This Row],[Total Sense Loss C]]+Table7[[#This Row],[Total MOSFET Loss C]]</f>
        <v>2.1762695304257669</v>
      </c>
      <c r="CN160" s="149">
        <f>IF(Table7[[#This Row],[POUT (W)]]=0,0,(Table7[[#This Row],[POUT (W)]])/(Table7[[#This Row],[POUT (W)]]+Table7[[#This Row],[Total Power Loss (W) C]]))*100</f>
        <v>96.055215164533053</v>
      </c>
      <c r="CO160" s="153"/>
      <c r="CP160" s="149">
        <f>IF(MOSFET_S=Custom_MOSFET,Table7[[#This Row],[Total Sense Loss C]],Table7[[#This Row],[Total Sense Loss]])</f>
        <v>2.4704846880907374E-2</v>
      </c>
      <c r="CQ160" s="149">
        <f>IF(MOSFET_S=Custom_MOSFET,Table7[[#This Row],[Total MOSFET Loss C]],Table7[[#This Row],[Total MOSFET Loss]])</f>
        <v>2.1515646835448594</v>
      </c>
      <c r="CR160" s="149">
        <f>IF(MOSFET_S=Custom_MOSFET,Table7[[#This Row],[Efficiency C]],Table7[[#This Row],[Efficiency]])</f>
        <v>96.055215164533053</v>
      </c>
      <c r="CS160" s="153"/>
      <c r="CT160" s="149">
        <f>IF(MOSFET_S=Compare_MOSFET, Table7[[#This Row],[Total Sense Loss C]], -100)</f>
        <v>-100</v>
      </c>
      <c r="CU160" s="149">
        <f>IF(MOSFET_S=Compare_MOSFET, Table7[[#This Row],[Total MOSFET Loss C]], -100)</f>
        <v>-100</v>
      </c>
      <c r="CV160" s="149">
        <f>IF(MOSFET_S=Compare_MOSFET, Table7[[#This Row],[Efficiency C]], -100)</f>
        <v>-100</v>
      </c>
      <c r="CW160" s="153"/>
      <c r="CX160" s="149">
        <f ca="1">IF(Save_Sel=CLR_Save,  Table7[[#This Row],[Total Sense Loss P1]], Table7[[#This Row],[Total Sense Loss P1 Saved]])</f>
        <v>2.4704846880907374E-2</v>
      </c>
      <c r="CY160" s="149">
        <f ca="1">IF(Save_Sel=CLR_Save,  Table7[[#This Row],[Total MOSFET Loss P1]], Table7[[#This Row],[Total MOSFET Loss P1 Saved]] )</f>
        <v>2.1515646835448594</v>
      </c>
      <c r="CZ160" s="149">
        <f ca="1">IF(Save_Sel=CLR_Save, Table7[[#This Row],[Efficiency P1]], Table7[[#This Row],[Efficiency P1 Saved]])</f>
        <v>96.055215164533053</v>
      </c>
      <c r="DA160" s="153"/>
      <c r="DB160" s="149">
        <f ca="1">IF(Save_Sel=CLR_Save,  Table7[[#This Row],[Total Sense Loss P2]], Table7[[#This Row],[Total Sense Loss P2 Saved]])</f>
        <v>-100</v>
      </c>
      <c r="DC160" s="149">
        <f ca="1">IF(Save_Sel=CLR_Save,  Table7[[#This Row],[Total MOSFET Loss P2]], Table7[[#This Row],[Total MOSFET Loss P2 Saved]] )</f>
        <v>-100</v>
      </c>
      <c r="DD160" s="149">
        <f ca="1">IF(Save_Sel=CLR_Save, Table7[[#This Row],[Efficiency P2]], Table7[[#This Row],[Efficiency P2 Saved]])</f>
        <v>-100</v>
      </c>
      <c r="DE160" s="153"/>
      <c r="DF160" s="19"/>
      <c r="DG160" s="19"/>
      <c r="DH160" s="19"/>
      <c r="DI160" s="19"/>
      <c r="DJ160" s="19"/>
      <c r="DK160" s="19"/>
      <c r="DL160" s="19"/>
      <c r="DM160" s="19"/>
      <c r="DN160" s="19"/>
      <c r="DO160" s="19"/>
      <c r="DP160" s="19"/>
      <c r="DQ160" s="19"/>
      <c r="DR160" s="19"/>
      <c r="DS160" s="19"/>
      <c r="DT160" s="19"/>
      <c r="DU160" s="19"/>
      <c r="DV160" s="19"/>
      <c r="DW160" s="19"/>
      <c r="DX160" s="19"/>
      <c r="DY160" s="19"/>
      <c r="DZ160" s="19"/>
      <c r="EA160" s="19"/>
      <c r="EB160" s="19"/>
      <c r="EC160" s="19"/>
      <c r="ED160" s="19"/>
      <c r="EE160" s="19"/>
      <c r="EF160" s="19"/>
      <c r="EG160" s="19"/>
      <c r="EH160" s="19"/>
      <c r="EI160" s="19"/>
      <c r="EJ160" s="19"/>
      <c r="EK160" s="19"/>
      <c r="EL160" s="19"/>
      <c r="EM160" s="19"/>
      <c r="EN160" s="19"/>
      <c r="EO160" s="19"/>
      <c r="EP160" s="19"/>
      <c r="EQ160" s="19"/>
      <c r="ER160" s="19"/>
      <c r="ES160" s="19"/>
      <c r="ET160" s="19"/>
      <c r="EU160" s="19"/>
      <c r="EV160" s="19"/>
      <c r="EW160" s="19"/>
      <c r="EX160" s="19"/>
      <c r="EY160" s="19"/>
      <c r="EZ160" s="19"/>
      <c r="FA160" s="19"/>
      <c r="FB160" s="19"/>
      <c r="FC160" s="19"/>
      <c r="FD160" s="19"/>
      <c r="FE160" s="19"/>
      <c r="FF160" s="19"/>
      <c r="FG160" s="19"/>
      <c r="FH160" s="19"/>
      <c r="FI160" s="19"/>
    </row>
    <row r="161" spans="1:165" ht="15.75" thickBot="1" x14ac:dyDescent="0.3">
      <c r="A161" s="226" t="str">
        <f>IF(MOSFET_S=Custom_MOSFET, "TI MOSFET Recommendation", "TI MOSFET Recommendation (Plot 1)")</f>
        <v>TI MOSFET Recommendation</v>
      </c>
      <c r="B161" s="219"/>
      <c r="C161" s="219"/>
      <c r="D161" s="219"/>
      <c r="E161" s="219"/>
      <c r="F161" s="219"/>
      <c r="G161" s="219"/>
      <c r="H161" s="29"/>
      <c r="I161" s="218" t="str">
        <f>IF(MOSFET_S=Custom_MOSFET, "Custom MOSFET Comparison (Plot 1)", IF(MOSFET_S=Compare_MOSFET, "Custom MOSFET Comparison (Plot 2)", "Custom MOSFET Comparison"))</f>
        <v>Custom MOSFET Comparison (Plot 1)</v>
      </c>
      <c r="J161" s="218"/>
      <c r="K161" s="218"/>
      <c r="L161" s="218"/>
      <c r="M161" s="218"/>
      <c r="N161" s="218"/>
      <c r="O161" s="218"/>
      <c r="P161" s="218"/>
      <c r="Q161" s="29"/>
      <c r="R161" s="29"/>
      <c r="S161" s="30"/>
      <c r="T161" s="18"/>
      <c r="U161" s="19"/>
      <c r="V161" s="19"/>
      <c r="W161" s="19"/>
      <c r="X161" s="19"/>
      <c r="Y161" s="19"/>
      <c r="Z161" s="19"/>
      <c r="AA161" s="19"/>
      <c r="AB161" s="19"/>
      <c r="AC161" s="19"/>
      <c r="AD161" s="19"/>
      <c r="AE161" s="19"/>
      <c r="AF161" s="143">
        <f t="shared" si="17"/>
        <v>5</v>
      </c>
      <c r="AG161" s="143">
        <f t="shared" si="16"/>
        <v>1.8</v>
      </c>
      <c r="AH161" s="144">
        <f t="shared" si="3"/>
        <v>66.239999999999995</v>
      </c>
      <c r="AI161" s="145">
        <f t="shared" si="4"/>
        <v>0.97826086956521752</v>
      </c>
      <c r="AJ161" s="145">
        <f t="shared" si="5"/>
        <v>1.7608695652173916</v>
      </c>
      <c r="AK161" s="145">
        <f t="shared" si="6"/>
        <v>0.39130434782608459</v>
      </c>
      <c r="AL161" s="145">
        <f t="shared" si="7"/>
        <v>1.7644890337133068</v>
      </c>
      <c r="AM161" s="146"/>
      <c r="AN161" s="145">
        <f>MAX(0,Table7[[#This Row],[I_L]]-0.5*Table7[[#This Row],[I_L pkpk]])</f>
        <v>1.5652173913043492</v>
      </c>
      <c r="AO161" s="145">
        <f>Table7[[#This Row],[I_L]]+0.5*Table7[[#This Row],[I_L pkpk]]</f>
        <v>1.9565217391304339</v>
      </c>
      <c r="AP161" s="145">
        <f ca="1">IF(VACnom&gt;Vbat, (VGS_S-(TI_MOSFET_S_VTH_H_BU+Table7[[#This Row],[I_L]]/TI_MOSFET_S_gFS_H_BU))/3.4, (VGS_S-(TI_MOSFET_S_VTH_L_BO+Table7[[#This Row],[I_L]]/TI_MOSFET_S_gFS_L_BO))/3.4 )</f>
        <v>3.0107220145583318</v>
      </c>
      <c r="AQ161" s="145">
        <f ca="1">IF(VACnom&gt;Vbat, ((TI_MOSFET_S_VTH_H_BU+Table7[[#This Row],[I_L]]/TI_MOSFET_S_gFS_H_BU))/1, ((TI_MOSFET_S_VTH_L_BO+Table7[[#This Row],[I_L]]/TI_MOSFET_S_gFS_L_BO))/1 )</f>
        <v>1.7635451505016722</v>
      </c>
      <c r="AR161" s="145">
        <f ca="1">IF(VACnom&gt;Vbat, (TI_MOSFET_S_QGD_H_BU+TI_MOSFET_S_QGS_H_BU)*10^-9/Table7[[#This Row],[Ion (A)]], (TI_MOSFET_S_QGD_L_BO+TI_MOSFET_S_QGS_L_BO)*10^-9/Table7[[#This Row],[Ion (A)]])/10^-9</f>
        <v>9.5658117424118654</v>
      </c>
      <c r="AS161" s="145">
        <f ca="1">IF(VACnom&gt;Vbat, (TI_MOSFET_S_QGD_H_BU+TI_MOSFET_S_QGS_H_BU)*10^-9/Table7[[#This Row],[Ioff (A)]], (TI_MOSFET_S_QGD_L_BO+TI_MOSFET_S_QGS_L_BO)*10^-9/Table7[[#This Row],[Ioff (A)]])/10^-9</f>
        <v>16.330741513369997</v>
      </c>
      <c r="AT161" s="145">
        <f ca="1" xml:space="preserve"> 0.5*VACnom*Table7[[#This Row],[Ivalley (A)]]*Table7[[#This Row],[ton (ns)]]*10^-9*Fsw*10^3+0.5*VACnom*Table7[[#This Row],[Ipeak (A)]]*Table7[[#This Row],[toff (ns)]]*10^-9*Fsw*10^3/10^-3</f>
        <v>117.63643797190024</v>
      </c>
      <c r="AU161" s="145">
        <f t="shared" ca="1" si="8"/>
        <v>268.64000000000004</v>
      </c>
      <c r="AV161" s="145" t="e">
        <f t="shared" si="9"/>
        <v>#VALUE!</v>
      </c>
      <c r="AW161" s="145">
        <f t="shared" ca="1" si="10"/>
        <v>566.72000000000025</v>
      </c>
      <c r="AX161" s="145">
        <f ca="1">IF(VACnom&gt;Vbat, TI_MOSFET_S_VSD_L_BU*Table7[[#This Row],[Ivalley (A)]]*Fsw*10^3*40*10^-9+TI_MOSFET_S_VSD_L_BU*Table7[[#This Row],[Ipeak (A)]]*Fsw*10^3*30*10^-9, TI_MOSFET_S_VSD_H_BO*Table7[[#This Row],[Ivalley (A)]]*Fsw*10^3*40*10^-9+TI_MOSFET_S_VSD_H_BO*Table7[[#This Row],[Ipeak (A)]]*Fsw*10^3*30*10^-9)/10^-3</f>
        <v>17.467826086956531</v>
      </c>
      <c r="AY161" s="145" t="e">
        <f t="shared" si="11"/>
        <v>#VALUE!</v>
      </c>
      <c r="AZ161" s="145" t="e">
        <f>IF(VACnom&lt;Vbat, Table7[[#This Row],[Duty Cycle]]*Table7[[#This Row],[I_L RMS]]^2*TI_MOSFET_S_RDSON_H_BU*10^-3, (1-Table7[[#This Row],[Duty Cycle]])*Table7[[#This Row],[I_L RMS]]^2*TI_MOSFET_S_RDSON_H_BO*10^-3)/10^-3</f>
        <v>#VALUE!</v>
      </c>
      <c r="BA161" s="145" t="e">
        <f ca="1">IF(VACnom&gt;Vbat, Table7[[#This Row],[PIV (mW)]]+Table7[[#This Row],[Pqoss (mW)]]+Table7[[#This Row],[Pgate_top (mW)]], Table7[[#This Row],[PRR (mW)]]+Table7[[#This Row],[Pdead (mW)]]+Table7[[#This Row],[Pgate_top (mW)]])</f>
        <v>#VALUE!</v>
      </c>
      <c r="BB161" s="145" t="e">
        <f ca="1">Table7[[#This Row],[Pcon_top (mW)]]+Table7[[#This Row],[Psw_top (mW)]]</f>
        <v>#VALUE!</v>
      </c>
      <c r="BC161" s="145" t="e">
        <f>IF(VACnom&gt;Vbat, (1-Table7[[#This Row],[Duty Cycle]])*Table7[[#This Row],[I_L RMS]]^2*TI_MOSFET_S_RDSON_L_BU*10^-3, Table7[[#This Row],[Duty Cycle]]*Table7[[#This Row],[I_L RMS]]^2*TI_MOSFET_S_RDSON_L_BO*10^-3)/10^-3</f>
        <v>#VALUE!</v>
      </c>
      <c r="BD161" s="145" t="e">
        <f ca="1">IF(VACnom&gt;Vbat, Table7[[#This Row],[PRR (mW)]]+Table7[[#This Row],[Pdead (mW)]]+Table7[[#This Row],[Pgate_bottom (mW)]], Table7[[#This Row],[PIV (mW)]]+Table7[[#This Row],[Pqoss (mW)]]+Table7[[#This Row],[Pgate_bottom (mW)]])</f>
        <v>#VALUE!</v>
      </c>
      <c r="BE161" s="147" t="e">
        <f ca="1">Table7[[#This Row],[Pcon_bottom (mW)]]+Table7[[#This Row],[Psw_bottom (mW)]]</f>
        <v>#VALUE!</v>
      </c>
      <c r="BF161" s="145" t="e">
        <f ca="1">Table7[[#This Row],[Pbottom (mW)]]+Table7[[#This Row],[Ptop (mW)]]</f>
        <v>#VALUE!</v>
      </c>
      <c r="BG161" s="142"/>
      <c r="BH161" s="145">
        <f>MAX(0,Table7[[#This Row],[I_L]]-0.5*Table7[[#This Row],[I_L pkpk]])</f>
        <v>1.5652173913043492</v>
      </c>
      <c r="BI161" s="145">
        <f>Table7[[#This Row],[I_L]]+0.5*Table7[[#This Row],[I_L pkpk]]</f>
        <v>1.9565217391304339</v>
      </c>
      <c r="BJ161" s="145">
        <f>IF(VACnom&gt;Vbat, (VGS_S-(C_MOSFET_S_VTH_H_BU+Table7[[#This Row],[I_L]]/C_MOSFET_S_gFS_H_BU))/3.4, (VGS_S-(C_MOSFET_S_VTH_L_BO+Table7[[#This Row],[I_L]]/C_MOSFET_S_gFS_L_BO))/3.4 )</f>
        <v>2.9661235558691246</v>
      </c>
      <c r="BK161" s="145">
        <f>IF(VACnom&gt;Vbat, ((C_MOSFET_S_VTH_H_BU+Table7[[#This Row],[I_L]]/C_MOSFET_S_gFS_H_BU))/1, ((C_MOSFET_S_VTH_L_BO+Table7[[#This Row],[I_L]]/C_MOSFET_S_gFS_L_BO))/1 )</f>
        <v>1.9151799100449773</v>
      </c>
      <c r="BL161" s="145">
        <f>IF(VACnom&gt;Vbat, (C_MOSFET_S_QGD_H_BU+C_MOSFET_S_QGS_H_BU)*10^-9/Table7[[#This Row],[Ion (A) C]], (C_MOSFET_S_QGD_L_BO+C_MOSFET_S_QGS_L_BO)*10^-9/Table7[[#This Row],[Ion (A) C]])/10^-9</f>
        <v>5.225675771101935</v>
      </c>
      <c r="BM161" s="145">
        <f>IF(VACnom&gt;Vbat, (C_MOSFET_S_QGD_H_BU+C_MOSFET_S_QGS_H_BU)*10^-9/Table7[[#This Row],[Ioff (A) C]], (C_MOSFET_S_QGD_L_BO+C_MOSFET_S_QGS_L_BO)*10^-9/Table7[[#This Row],[Ioff (A) C]])/10^-9</f>
        <v>8.0932344364639803</v>
      </c>
      <c r="BN161" s="145">
        <f xml:space="preserve"> 0.5*VACnom*Table7[[#This Row],[Ivalley (A) C]]*Table7[[#This Row],[ton (ns) C]]*10^-9*Fsw*10^3+0.5*VACnom*Table7[[#This Row],[Ipeak (A) C]]*Table7[[#This Row],[toff (ns) C]]*10^-9*Fsw*10^3/10^-3</f>
        <v>58.301387834982179</v>
      </c>
      <c r="BO161" s="145">
        <f t="shared" si="12"/>
        <v>305.44000000000011</v>
      </c>
      <c r="BP161" s="145">
        <f t="shared" si="13"/>
        <v>357.69600000000014</v>
      </c>
      <c r="BQ161" s="145">
        <f t="shared" si="14"/>
        <v>1067.2000000000003</v>
      </c>
      <c r="BR161" s="145">
        <f>IF(VACnom&gt;Vbat, C_MOSFET_S_VSD_L_BU*Table7[[#This Row],[Ivalley (A) C]]*Fsw*10^3*40*10^-9+C_MOSFET_S_VSD_L_BU*Table7[[#This Row],[Ipeak (A) C]]*Fsw*10^3*30*10^-9, C_MOSFET_S_VSD_H_BO*Table7[[#This Row],[Ivalley (A) C]]*Fsw*10^3*40*10^-9+C_MOSFET_S_VSD_H_BO*Table7[[#This Row],[Ipeak (A) C]]*Fsw*10^3*30*10^-9)/10^-3</f>
        <v>19.408695652173929</v>
      </c>
      <c r="BS161" s="145">
        <f t="shared" si="15"/>
        <v>357.69600000000014</v>
      </c>
      <c r="BT161" s="145">
        <f>IF(VACnom&lt;Vbat, Table7[[#This Row],[Duty Cycle]]*Table7[[#This Row],[I_L RMS]]^2*C_MOSFET_S_RDSON_H_BU*10^-3, (1-Table7[[#This Row],[Duty Cycle]])*Table7[[#This Row],[I_L RMS]]^2*C_MOSFET_S_RDSON_H_BO*10^-3)/10^-3</f>
        <v>0.17597600065751529</v>
      </c>
      <c r="BU161" s="145">
        <f>IF(VACnom&gt;Vbat, Table7[[#This Row],[PIV (mW) C]]+Table7[[#This Row],[PQoss (mW) C]]+Table7[[#This Row],[Pgate_top (mW) C]], Table7[[#This Row],[PRR (mW) C]]+Table7[[#This Row],[Pdead (mW) C]]+Table7[[#This Row],[Pgate_top (mW) C]])</f>
        <v>721.43738783498247</v>
      </c>
      <c r="BV161" s="145">
        <f>Table7[[#This Row],[Pcon_top (mW) C]]+Table7[[#This Row],[Psw_top (mW) C]]</f>
        <v>721.61336383564003</v>
      </c>
      <c r="BW161" s="145">
        <f>IF(VACnom&gt;Vbat, (1-Table7[[#This Row],[Duty Cycle]])*Table7[[#This Row],[I_L RMS]]^2*C_MOSFET_S_RDSON_L_BU*10^-3, Table7[[#This Row],[Duty Cycle]]*Table7[[#This Row],[I_L RMS]]^2*C_MOSFET_S_RDSON_L_BO*10^-3)/10^-3</f>
        <v>0.1150612311991446</v>
      </c>
      <c r="BX161" s="145">
        <f>IF(VACnom&gt;Vbat, Table7[[#This Row],[PRR (mW) C]]+Table7[[#This Row],[Pdead (mW) C]]+Table7[[#This Row],[Pgate_bottom (mW) C]], Table7[[#This Row],[PIV (mW) C]]+Table7[[#This Row],[PQoss (mW) C]]+Table7[[#This Row],[Pgate_bottom (mW) C]])</f>
        <v>1444.3046956521744</v>
      </c>
      <c r="BY161" s="145">
        <f>Table7[[#This Row],[Pcon_bottom (mW) C]]+Table7[[#This Row],[Psw_bottom (mV) C]]</f>
        <v>1444.4197568833736</v>
      </c>
      <c r="BZ161" s="145">
        <f>Table7[[#This Row],[Pbottom (mW) C]]+Table7[[#This Row],[Ptop (mW) C]]</f>
        <v>2166.0331207190138</v>
      </c>
      <c r="CA161" s="148"/>
      <c r="CB161" s="144">
        <f>(RAC_SNS*10^-3*(Table7[[#This Row],[IOUT (A)]]*Vbat/VACnom)^2/10^-3)</f>
        <v>6.2013232514177696</v>
      </c>
      <c r="CC161" s="144">
        <f>(RBAT_SNS*10^-3*Table7[[#This Row],[IOUT (A)]]^2)/10^-3</f>
        <v>16.200000000000003</v>
      </c>
      <c r="CD161" s="144">
        <f>IF(VACnom&gt;Vbat,(L_DRC*10^-3*(Table7[[#This Row],[IOUT (A)]])^2/10^-3),(L_DRC*10^-3*(Table7[[#This Row],[IOUT (A)]]*Vbat/VACnom)^2/10^-3))</f>
        <v>16.200000000000003</v>
      </c>
      <c r="CE161" s="152"/>
      <c r="CF161" s="145">
        <f>(Table7[[#This Row],[R_AC (mW)]]+Table7[[#This Row],[R_SR (mW)]]+Table7[[#This Row],[Inductor Loss (mW)]])/10^3</f>
        <v>3.8601323251417775E-2</v>
      </c>
      <c r="CG161" s="145" t="e">
        <f ca="1">Table7[[#This Row],[Total TI (mW)]]/10^3</f>
        <v>#VALUE!</v>
      </c>
      <c r="CH161" s="145" t="e">
        <f ca="1">Table7[[#This Row],[Total Sense Loss]]+Table7[[#This Row],[Total MOSFET Loss]]</f>
        <v>#VALUE!</v>
      </c>
      <c r="CI161" s="149" t="e">
        <f ca="1">IF(Table7[[#This Row],[POUT (W)]]=0,0,(Table7[[#This Row],[POUT (W)]])/(Table7[[#This Row],[POUT (W)]]+Table7[[#This Row],[Total Power Loss (W)]]))*100</f>
        <v>#VALUE!</v>
      </c>
      <c r="CJ161" s="153"/>
      <c r="CK161" s="145">
        <f>(Table7[[#This Row],[R_AC (mW)]]+Table7[[#This Row],[R_SR (mW)]]+Table7[[#This Row],[Inductor Loss (mW)]])/10^3</f>
        <v>3.8601323251417775E-2</v>
      </c>
      <c r="CL161" s="145">
        <f>Table7[[#This Row],[Total (mW) C]]/10^3</f>
        <v>2.166033120719014</v>
      </c>
      <c r="CM161" s="145">
        <f>Table7[[#This Row],[Total Sense Loss C]]+Table7[[#This Row],[Total MOSFET Loss C]]</f>
        <v>2.204634443970432</v>
      </c>
      <c r="CN161" s="149">
        <f>IF(Table7[[#This Row],[POUT (W)]]=0,0,(Table7[[#This Row],[POUT (W)]])/(Table7[[#This Row],[POUT (W)]]+Table7[[#This Row],[Total Power Loss (W) C]]))*100</f>
        <v>96.778952124033651</v>
      </c>
      <c r="CO161" s="153"/>
      <c r="CP161" s="149">
        <f>IF(MOSFET_S=Custom_MOSFET,Table7[[#This Row],[Total Sense Loss C]],Table7[[#This Row],[Total Sense Loss]])</f>
        <v>3.8601323251417775E-2</v>
      </c>
      <c r="CQ161" s="149">
        <f>IF(MOSFET_S=Custom_MOSFET,Table7[[#This Row],[Total MOSFET Loss C]],Table7[[#This Row],[Total MOSFET Loss]])</f>
        <v>2.166033120719014</v>
      </c>
      <c r="CR161" s="149">
        <f>IF(MOSFET_S=Custom_MOSFET,Table7[[#This Row],[Efficiency C]],Table7[[#This Row],[Efficiency]])</f>
        <v>96.778952124033651</v>
      </c>
      <c r="CS161" s="153"/>
      <c r="CT161" s="149">
        <f>IF(MOSFET_S=Compare_MOSFET, Table7[[#This Row],[Total Sense Loss C]], -100)</f>
        <v>-100</v>
      </c>
      <c r="CU161" s="149">
        <f>IF(MOSFET_S=Compare_MOSFET, Table7[[#This Row],[Total MOSFET Loss C]], -100)</f>
        <v>-100</v>
      </c>
      <c r="CV161" s="149">
        <f>IF(MOSFET_S=Compare_MOSFET, Table7[[#This Row],[Efficiency C]], -100)</f>
        <v>-100</v>
      </c>
      <c r="CW161" s="153"/>
      <c r="CX161" s="149">
        <f ca="1">IF(Save_Sel=CLR_Save,  Table7[[#This Row],[Total Sense Loss P1]], Table7[[#This Row],[Total Sense Loss P1 Saved]])</f>
        <v>3.8601323251417775E-2</v>
      </c>
      <c r="CY161" s="149">
        <f ca="1">IF(Save_Sel=CLR_Save,  Table7[[#This Row],[Total MOSFET Loss P1]], Table7[[#This Row],[Total MOSFET Loss P1 Saved]] )</f>
        <v>2.166033120719014</v>
      </c>
      <c r="CZ161" s="149">
        <f ca="1">IF(Save_Sel=CLR_Save, Table7[[#This Row],[Efficiency P1]], Table7[[#This Row],[Efficiency P1 Saved]])</f>
        <v>96.778952124033651</v>
      </c>
      <c r="DA161" s="153"/>
      <c r="DB161" s="149">
        <f ca="1">IF(Save_Sel=CLR_Save,  Table7[[#This Row],[Total Sense Loss P2]], Table7[[#This Row],[Total Sense Loss P2 Saved]])</f>
        <v>-100</v>
      </c>
      <c r="DC161" s="149">
        <f ca="1">IF(Save_Sel=CLR_Save,  Table7[[#This Row],[Total MOSFET Loss P2]], Table7[[#This Row],[Total MOSFET Loss P2 Saved]] )</f>
        <v>-100</v>
      </c>
      <c r="DD161" s="149">
        <f ca="1">IF(Save_Sel=CLR_Save, Table7[[#This Row],[Efficiency P2]], Table7[[#This Row],[Efficiency P2 Saved]])</f>
        <v>-100</v>
      </c>
      <c r="DE161" s="153"/>
      <c r="DF161" s="19"/>
      <c r="DG161" s="19"/>
      <c r="DH161" s="19"/>
      <c r="DI161" s="19"/>
      <c r="DJ161" s="19"/>
      <c r="DK161" s="19"/>
      <c r="DL161" s="19"/>
      <c r="DM161" s="19"/>
      <c r="DN161" s="19"/>
      <c r="DO161" s="19"/>
      <c r="DP161" s="19"/>
      <c r="DQ161" s="19"/>
      <c r="DR161" s="19"/>
      <c r="DS161" s="19"/>
      <c r="DT161" s="19"/>
      <c r="DU161" s="19"/>
      <c r="DV161" s="19"/>
      <c r="DW161" s="19"/>
      <c r="DX161" s="19"/>
      <c r="DY161" s="19"/>
      <c r="DZ161" s="19"/>
      <c r="EA161" s="19"/>
      <c r="EB161" s="19"/>
      <c r="EC161" s="19"/>
      <c r="ED161" s="19"/>
      <c r="EE161" s="19"/>
      <c r="EF161" s="19"/>
      <c r="EG161" s="19"/>
      <c r="EH161" s="19"/>
      <c r="EI161" s="19"/>
      <c r="EJ161" s="19"/>
      <c r="EK161" s="19"/>
      <c r="EL161" s="19"/>
      <c r="EM161" s="19"/>
      <c r="EN161" s="19"/>
      <c r="EO161" s="19"/>
      <c r="EP161" s="19"/>
      <c r="EQ161" s="19"/>
      <c r="ER161" s="19"/>
      <c r="ES161" s="19"/>
      <c r="ET161" s="19"/>
      <c r="EU161" s="19"/>
      <c r="EV161" s="19"/>
      <c r="EW161" s="19"/>
      <c r="EX161" s="19"/>
      <c r="EY161" s="19"/>
      <c r="EZ161" s="19"/>
      <c r="FA161" s="19"/>
      <c r="FB161" s="19"/>
      <c r="FC161" s="19"/>
      <c r="FD161" s="19"/>
      <c r="FE161" s="19"/>
      <c r="FF161" s="19"/>
      <c r="FG161" s="19"/>
      <c r="FH161" s="19"/>
      <c r="FI161" s="19"/>
    </row>
    <row r="162" spans="1:165" x14ac:dyDescent="0.25">
      <c r="A162" s="54"/>
      <c r="B162" s="62"/>
      <c r="C162" s="50"/>
      <c r="D162" s="63" t="s">
        <v>122</v>
      </c>
      <c r="E162" s="64"/>
      <c r="F162" s="50"/>
      <c r="G162" s="38"/>
      <c r="H162" s="29"/>
      <c r="I162" s="112"/>
      <c r="J162" s="50"/>
      <c r="K162" s="62"/>
      <c r="L162" s="50"/>
      <c r="M162" s="63" t="s">
        <v>122</v>
      </c>
      <c r="N162" s="64"/>
      <c r="O162" s="50"/>
      <c r="P162" s="38"/>
      <c r="Q162" s="29"/>
      <c r="R162" s="29"/>
      <c r="S162" s="30"/>
      <c r="T162" s="18"/>
      <c r="U162" s="19"/>
      <c r="V162" s="19"/>
      <c r="W162" s="19"/>
      <c r="X162" s="19"/>
      <c r="Y162" s="19"/>
      <c r="Z162" s="19"/>
      <c r="AA162" s="19"/>
      <c r="AB162" s="19"/>
      <c r="AC162" s="19"/>
      <c r="AD162" s="19"/>
      <c r="AE162" s="19"/>
      <c r="AF162" s="143">
        <f t="shared" si="17"/>
        <v>6</v>
      </c>
      <c r="AG162" s="143">
        <f t="shared" si="16"/>
        <v>2.16</v>
      </c>
      <c r="AH162" s="144">
        <f t="shared" si="3"/>
        <v>79.488</v>
      </c>
      <c r="AI162" s="145">
        <f t="shared" si="4"/>
        <v>0.97826086956521752</v>
      </c>
      <c r="AJ162" s="145">
        <f t="shared" si="5"/>
        <v>2.1130434782608698</v>
      </c>
      <c r="AK162" s="145">
        <f t="shared" si="6"/>
        <v>0.39130434782608459</v>
      </c>
      <c r="AL162" s="145">
        <f t="shared" si="7"/>
        <v>2.1160606478563952</v>
      </c>
      <c r="AM162" s="146"/>
      <c r="AN162" s="145">
        <f>MAX(0,Table7[[#This Row],[I_L]]-0.5*Table7[[#This Row],[I_L pkpk]])</f>
        <v>1.9173913043478275</v>
      </c>
      <c r="AO162" s="145">
        <f>Table7[[#This Row],[I_L]]+0.5*Table7[[#This Row],[I_L pkpk]]</f>
        <v>2.3086956521739119</v>
      </c>
      <c r="AP162" s="145">
        <f ca="1">IF(VACnom&gt;Vbat, (VGS_S-(TI_MOSFET_S_VTH_H_BU+Table7[[#This Row],[I_L]]/TI_MOSFET_S_gFS_H_BU))/3.4, (VGS_S-(TI_MOSFET_S_VTH_L_BO+Table7[[#This Row],[I_L]]/TI_MOSFET_S_gFS_L_BO))/3.4 )</f>
        <v>3.0099252409994102</v>
      </c>
      <c r="AQ162" s="145">
        <f ca="1">IF(VACnom&gt;Vbat, ((TI_MOSFET_S_VTH_H_BU+Table7[[#This Row],[I_L]]/TI_MOSFET_S_gFS_H_BU))/1, ((TI_MOSFET_S_VTH_L_BO+Table7[[#This Row],[I_L]]/TI_MOSFET_S_gFS_L_BO))/1 )</f>
        <v>1.7662541806020067</v>
      </c>
      <c r="AR162" s="145">
        <f ca="1">IF(VACnom&gt;Vbat, (TI_MOSFET_S_QGD_H_BU+TI_MOSFET_S_QGS_H_BU)*10^-9/Table7[[#This Row],[Ion (A)]], (TI_MOSFET_S_QGD_L_BO+TI_MOSFET_S_QGS_L_BO)*10^-9/Table7[[#This Row],[Ion (A)]])/10^-9</f>
        <v>9.5683439600769962</v>
      </c>
      <c r="AS162" s="145">
        <f ca="1">IF(VACnom&gt;Vbat, (TI_MOSFET_S_QGD_H_BU+TI_MOSFET_S_QGS_H_BU)*10^-9/Table7[[#This Row],[Ioff (A)]], (TI_MOSFET_S_QGD_L_BO+TI_MOSFET_S_QGS_L_BO)*10^-9/Table7[[#This Row],[Ioff (A)]])/10^-9</f>
        <v>16.305693889530591</v>
      </c>
      <c r="AT162" s="145">
        <f ca="1" xml:space="preserve"> 0.5*VACnom*Table7[[#This Row],[Ivalley (A)]]*Table7[[#This Row],[ton (ns)]]*10^-9*Fsw*10^3+0.5*VACnom*Table7[[#This Row],[Ipeak (A)]]*Table7[[#This Row],[toff (ns)]]*10^-9*Fsw*10^3/10^-3</f>
        <v>138.6006895204342</v>
      </c>
      <c r="AU162" s="145">
        <f t="shared" ca="1" si="8"/>
        <v>268.64000000000004</v>
      </c>
      <c r="AV162" s="145" t="e">
        <f t="shared" si="9"/>
        <v>#VALUE!</v>
      </c>
      <c r="AW162" s="145">
        <f t="shared" ca="1" si="10"/>
        <v>566.72000000000025</v>
      </c>
      <c r="AX162" s="145">
        <f ca="1">IF(VACnom&gt;Vbat, TI_MOSFET_S_VSD_L_BU*Table7[[#This Row],[Ivalley (A)]]*Fsw*10^3*40*10^-9+TI_MOSFET_S_VSD_L_BU*Table7[[#This Row],[Ipeak (A)]]*Fsw*10^3*30*10^-9, TI_MOSFET_S_VSD_H_BO*Table7[[#This Row],[Ivalley (A)]]*Fsw*10^3*40*10^-9+TI_MOSFET_S_VSD_H_BO*Table7[[#This Row],[Ipeak (A)]]*Fsw*10^3*30*10^-9)/10^-3</f>
        <v>21.017739130434787</v>
      </c>
      <c r="AY162" s="145" t="e">
        <f t="shared" si="11"/>
        <v>#VALUE!</v>
      </c>
      <c r="AZ162" s="145" t="e">
        <f>IF(VACnom&lt;Vbat, Table7[[#This Row],[Duty Cycle]]*Table7[[#This Row],[I_L RMS]]^2*TI_MOSFET_S_RDSON_H_BU*10^-3, (1-Table7[[#This Row],[Duty Cycle]])*Table7[[#This Row],[I_L RMS]]^2*TI_MOSFET_S_RDSON_H_BO*10^-3)/10^-3</f>
        <v>#VALUE!</v>
      </c>
      <c r="BA162" s="145" t="e">
        <f ca="1">IF(VACnom&gt;Vbat, Table7[[#This Row],[PIV (mW)]]+Table7[[#This Row],[Pqoss (mW)]]+Table7[[#This Row],[Pgate_top (mW)]], Table7[[#This Row],[PRR (mW)]]+Table7[[#This Row],[Pdead (mW)]]+Table7[[#This Row],[Pgate_top (mW)]])</f>
        <v>#VALUE!</v>
      </c>
      <c r="BB162" s="145" t="e">
        <f ca="1">Table7[[#This Row],[Pcon_top (mW)]]+Table7[[#This Row],[Psw_top (mW)]]</f>
        <v>#VALUE!</v>
      </c>
      <c r="BC162" s="145" t="e">
        <f>IF(VACnom&gt;Vbat, (1-Table7[[#This Row],[Duty Cycle]])*Table7[[#This Row],[I_L RMS]]^2*TI_MOSFET_S_RDSON_L_BU*10^-3, Table7[[#This Row],[Duty Cycle]]*Table7[[#This Row],[I_L RMS]]^2*TI_MOSFET_S_RDSON_L_BO*10^-3)/10^-3</f>
        <v>#VALUE!</v>
      </c>
      <c r="BD162" s="145" t="e">
        <f ca="1">IF(VACnom&gt;Vbat, Table7[[#This Row],[PRR (mW)]]+Table7[[#This Row],[Pdead (mW)]]+Table7[[#This Row],[Pgate_bottom (mW)]], Table7[[#This Row],[PIV (mW)]]+Table7[[#This Row],[Pqoss (mW)]]+Table7[[#This Row],[Pgate_bottom (mW)]])</f>
        <v>#VALUE!</v>
      </c>
      <c r="BE162" s="147" t="e">
        <f ca="1">Table7[[#This Row],[Pcon_bottom (mW)]]+Table7[[#This Row],[Psw_bottom (mW)]]</f>
        <v>#VALUE!</v>
      </c>
      <c r="BF162" s="145" t="e">
        <f ca="1">Table7[[#This Row],[Pbottom (mW)]]+Table7[[#This Row],[Ptop (mW)]]</f>
        <v>#VALUE!</v>
      </c>
      <c r="BG162" s="142"/>
      <c r="BH162" s="145">
        <f>MAX(0,Table7[[#This Row],[I_L]]-0.5*Table7[[#This Row],[I_L pkpk]])</f>
        <v>1.9173913043478275</v>
      </c>
      <c r="BI162" s="145">
        <f>Table7[[#This Row],[I_L]]+0.5*Table7[[#This Row],[I_L pkpk]]</f>
        <v>2.3086956521739119</v>
      </c>
      <c r="BJ162" s="145">
        <f>IF(VACnom&gt;Vbat, (VGS_S-(C_MOSFET_S_VTH_H_BU+Table7[[#This Row],[I_L]]/C_MOSFET_S_gFS_H_BU))/3.4, (VGS_S-(C_MOSFET_S_VTH_L_BO+Table7[[#This Row],[I_L]]/C_MOSFET_S_gFS_L_BO))/3.4 )</f>
        <v>2.9652306199841258</v>
      </c>
      <c r="BK162" s="145">
        <f>IF(VACnom&gt;Vbat, ((C_MOSFET_S_VTH_H_BU+Table7[[#This Row],[I_L]]/C_MOSFET_S_gFS_H_BU))/1, ((C_MOSFET_S_VTH_L_BO+Table7[[#This Row],[I_L]]/C_MOSFET_S_gFS_L_BO))/1 )</f>
        <v>1.9182158920539729</v>
      </c>
      <c r="BL162" s="145">
        <f>IF(VACnom&gt;Vbat, (C_MOSFET_S_QGD_H_BU+C_MOSFET_S_QGS_H_BU)*10^-9/Table7[[#This Row],[Ion (A) C]], (C_MOSFET_S_QGD_L_BO+C_MOSFET_S_QGS_L_BO)*10^-9/Table7[[#This Row],[Ion (A) C]])/10^-9</f>
        <v>5.2272494070235176</v>
      </c>
      <c r="BM162" s="145">
        <f>IF(VACnom&gt;Vbat, (C_MOSFET_S_QGD_H_BU+C_MOSFET_S_QGS_H_BU)*10^-9/Table7[[#This Row],[Ioff (A) C]], (C_MOSFET_S_QGD_L_BO+C_MOSFET_S_QGS_L_BO)*10^-9/Table7[[#This Row],[Ioff (A) C]])/10^-9</f>
        <v>8.0804251826956897</v>
      </c>
      <c r="BN162" s="145">
        <f xml:space="preserve"> 0.5*VACnom*Table7[[#This Row],[Ivalley (A) C]]*Table7[[#This Row],[ton (ns) C]]*10^-9*Fsw*10^3+0.5*VACnom*Table7[[#This Row],[Ipeak (A) C]]*Table7[[#This Row],[toff (ns) C]]*10^-9*Fsw*10^3/10^-3</f>
        <v>68.68817582399852</v>
      </c>
      <c r="BO162" s="145">
        <f t="shared" si="12"/>
        <v>305.44000000000011</v>
      </c>
      <c r="BP162" s="145">
        <f t="shared" si="13"/>
        <v>357.69600000000014</v>
      </c>
      <c r="BQ162" s="145">
        <f t="shared" si="14"/>
        <v>1067.2000000000003</v>
      </c>
      <c r="BR162" s="145">
        <f>IF(VACnom&gt;Vbat, C_MOSFET_S_VSD_L_BU*Table7[[#This Row],[Ivalley (A) C]]*Fsw*10^3*40*10^-9+C_MOSFET_S_VSD_L_BU*Table7[[#This Row],[Ipeak (A) C]]*Fsw*10^3*30*10^-9, C_MOSFET_S_VSD_H_BO*Table7[[#This Row],[Ivalley (A) C]]*Fsw*10^3*40*10^-9+C_MOSFET_S_VSD_H_BO*Table7[[#This Row],[Ipeak (A) C]]*Fsw*10^3*30*10^-9)/10^-3</f>
        <v>23.353043478260879</v>
      </c>
      <c r="BS162" s="145">
        <f t="shared" si="15"/>
        <v>357.69600000000014</v>
      </c>
      <c r="BT162" s="145">
        <f>IF(VACnom&lt;Vbat, Table7[[#This Row],[Duty Cycle]]*Table7[[#This Row],[I_L RMS]]^2*C_MOSFET_S_RDSON_H_BU*10^-3, (1-Table7[[#This Row],[Duty Cycle]])*Table7[[#This Row],[I_L RMS]]^2*C_MOSFET_S_RDSON_H_BO*10^-3)/10^-3</f>
        <v>0.25308810717514446</v>
      </c>
      <c r="BU162" s="145">
        <f>IF(VACnom&gt;Vbat, Table7[[#This Row],[PIV (mW) C]]+Table7[[#This Row],[PQoss (mW) C]]+Table7[[#This Row],[Pgate_top (mW) C]], Table7[[#This Row],[PRR (mW) C]]+Table7[[#This Row],[Pdead (mW) C]]+Table7[[#This Row],[Pgate_top (mW) C]])</f>
        <v>731.82417582399876</v>
      </c>
      <c r="BV162" s="145">
        <f>Table7[[#This Row],[Pcon_top (mW) C]]+Table7[[#This Row],[Psw_top (mW) C]]</f>
        <v>732.07726393117389</v>
      </c>
      <c r="BW162" s="145">
        <f>IF(VACnom&gt;Vbat, (1-Table7[[#This Row],[Duty Cycle]])*Table7[[#This Row],[I_L RMS]]^2*C_MOSFET_S_RDSON_L_BU*10^-3, Table7[[#This Row],[Duty Cycle]]*Table7[[#This Row],[I_L RMS]]^2*C_MOSFET_S_RDSON_L_BO*10^-3)/10^-3</f>
        <v>0.16548068546067135</v>
      </c>
      <c r="BX162" s="145">
        <f>IF(VACnom&gt;Vbat, Table7[[#This Row],[PRR (mW) C]]+Table7[[#This Row],[Pdead (mW) C]]+Table7[[#This Row],[Pgate_bottom (mW) C]], Table7[[#This Row],[PIV (mW) C]]+Table7[[#This Row],[PQoss (mW) C]]+Table7[[#This Row],[Pgate_bottom (mW) C]])</f>
        <v>1448.2490434782612</v>
      </c>
      <c r="BY162" s="145">
        <f>Table7[[#This Row],[Pcon_bottom (mW) C]]+Table7[[#This Row],[Psw_bottom (mV) C]]</f>
        <v>1448.4145241637218</v>
      </c>
      <c r="BZ162" s="145">
        <f>Table7[[#This Row],[Pbottom (mW) C]]+Table7[[#This Row],[Ptop (mW) C]]</f>
        <v>2180.4917880948956</v>
      </c>
      <c r="CA162" s="148"/>
      <c r="CB162" s="144">
        <f>(RAC_SNS*10^-3*(Table7[[#This Row],[IOUT (A)]]*Vbat/VACnom)^2/10^-3)</f>
        <v>8.9299054820415904</v>
      </c>
      <c r="CC162" s="144">
        <f>(RBAT_SNS*10^-3*Table7[[#This Row],[IOUT (A)]]^2)/10^-3</f>
        <v>23.327999999999999</v>
      </c>
      <c r="CD162" s="144">
        <f>IF(VACnom&gt;Vbat,(L_DRC*10^-3*(Table7[[#This Row],[IOUT (A)]])^2/10^-3),(L_DRC*10^-3*(Table7[[#This Row],[IOUT (A)]]*Vbat/VACnom)^2/10^-3))</f>
        <v>23.327999999999999</v>
      </c>
      <c r="CE162" s="152"/>
      <c r="CF162" s="145">
        <f>(Table7[[#This Row],[R_AC (mW)]]+Table7[[#This Row],[R_SR (mW)]]+Table7[[#This Row],[Inductor Loss (mW)]])/10^3</f>
        <v>5.5585905482041599E-2</v>
      </c>
      <c r="CG162" s="145" t="e">
        <f ca="1">Table7[[#This Row],[Total TI (mW)]]/10^3</f>
        <v>#VALUE!</v>
      </c>
      <c r="CH162" s="145" t="e">
        <f ca="1">Table7[[#This Row],[Total Sense Loss]]+Table7[[#This Row],[Total MOSFET Loss]]</f>
        <v>#VALUE!</v>
      </c>
      <c r="CI162" s="149" t="e">
        <f ca="1">IF(Table7[[#This Row],[POUT (W)]]=0,0,(Table7[[#This Row],[POUT (W)]])/(Table7[[#This Row],[POUT (W)]]+Table7[[#This Row],[Total Power Loss (W)]]))*100</f>
        <v>#VALUE!</v>
      </c>
      <c r="CJ162" s="153"/>
      <c r="CK162" s="145">
        <f>(Table7[[#This Row],[R_AC (mW)]]+Table7[[#This Row],[R_SR (mW)]]+Table7[[#This Row],[Inductor Loss (mW)]])/10^3</f>
        <v>5.5585905482041599E-2</v>
      </c>
      <c r="CL162" s="145">
        <f>Table7[[#This Row],[Total (mW) C]]/10^3</f>
        <v>2.1804917880948955</v>
      </c>
      <c r="CM162" s="145">
        <f>Table7[[#This Row],[Total Sense Loss C]]+Table7[[#This Row],[Total MOSFET Loss C]]</f>
        <v>2.2360776935769371</v>
      </c>
      <c r="CN162" s="149">
        <f>IF(Table7[[#This Row],[POUT (W)]]=0,0,(Table7[[#This Row],[POUT (W)]])/(Table7[[#This Row],[POUT (W)]]+Table7[[#This Row],[Total Power Loss (W) C]]))*100</f>
        <v>97.263869159880798</v>
      </c>
      <c r="CO162" s="153"/>
      <c r="CP162" s="149">
        <f>IF(MOSFET_S=Custom_MOSFET,Table7[[#This Row],[Total Sense Loss C]],Table7[[#This Row],[Total Sense Loss]])</f>
        <v>5.5585905482041599E-2</v>
      </c>
      <c r="CQ162" s="149">
        <f>IF(MOSFET_S=Custom_MOSFET,Table7[[#This Row],[Total MOSFET Loss C]],Table7[[#This Row],[Total MOSFET Loss]])</f>
        <v>2.1804917880948955</v>
      </c>
      <c r="CR162" s="149">
        <f>IF(MOSFET_S=Custom_MOSFET,Table7[[#This Row],[Efficiency C]],Table7[[#This Row],[Efficiency]])</f>
        <v>97.263869159880798</v>
      </c>
      <c r="CS162" s="153"/>
      <c r="CT162" s="149">
        <f>IF(MOSFET_S=Compare_MOSFET, Table7[[#This Row],[Total Sense Loss C]], -100)</f>
        <v>-100</v>
      </c>
      <c r="CU162" s="149">
        <f>IF(MOSFET_S=Compare_MOSFET, Table7[[#This Row],[Total MOSFET Loss C]], -100)</f>
        <v>-100</v>
      </c>
      <c r="CV162" s="149">
        <f>IF(MOSFET_S=Compare_MOSFET, Table7[[#This Row],[Efficiency C]], -100)</f>
        <v>-100</v>
      </c>
      <c r="CW162" s="153"/>
      <c r="CX162" s="149">
        <f ca="1">IF(Save_Sel=CLR_Save,  Table7[[#This Row],[Total Sense Loss P1]], Table7[[#This Row],[Total Sense Loss P1 Saved]])</f>
        <v>5.5585905482041599E-2</v>
      </c>
      <c r="CY162" s="149">
        <f ca="1">IF(Save_Sel=CLR_Save,  Table7[[#This Row],[Total MOSFET Loss P1]], Table7[[#This Row],[Total MOSFET Loss P1 Saved]] )</f>
        <v>2.1804917880948955</v>
      </c>
      <c r="CZ162" s="149">
        <f ca="1">IF(Save_Sel=CLR_Save, Table7[[#This Row],[Efficiency P1]], Table7[[#This Row],[Efficiency P1 Saved]])</f>
        <v>97.263869159880798</v>
      </c>
      <c r="DA162" s="153"/>
      <c r="DB162" s="149">
        <f ca="1">IF(Save_Sel=CLR_Save,  Table7[[#This Row],[Total Sense Loss P2]], Table7[[#This Row],[Total Sense Loss P2 Saved]])</f>
        <v>-100</v>
      </c>
      <c r="DC162" s="149">
        <f ca="1">IF(Save_Sel=CLR_Save,  Table7[[#This Row],[Total MOSFET Loss P2]], Table7[[#This Row],[Total MOSFET Loss P2 Saved]] )</f>
        <v>-100</v>
      </c>
      <c r="DD162" s="149">
        <f ca="1">IF(Save_Sel=CLR_Save, Table7[[#This Row],[Efficiency P2]], Table7[[#This Row],[Efficiency P2 Saved]])</f>
        <v>-100</v>
      </c>
      <c r="DE162" s="153"/>
      <c r="DF162" s="19"/>
      <c r="DG162" s="19"/>
      <c r="DH162" s="19"/>
      <c r="DI162" s="19"/>
      <c r="DJ162" s="19"/>
      <c r="DK162" s="19"/>
      <c r="DL162" s="19"/>
      <c r="DM162" s="19"/>
      <c r="DN162" s="19"/>
      <c r="DO162" s="19"/>
      <c r="DP162" s="19"/>
      <c r="DQ162" s="19"/>
      <c r="DR162" s="19"/>
      <c r="DS162" s="19"/>
      <c r="DT162" s="19"/>
      <c r="DU162" s="19"/>
      <c r="DV162" s="19"/>
      <c r="DW162" s="19"/>
      <c r="DX162" s="19"/>
      <c r="DY162" s="19"/>
      <c r="DZ162" s="19"/>
      <c r="EA162" s="19"/>
      <c r="EB162" s="19"/>
      <c r="EC162" s="19"/>
      <c r="ED162" s="19"/>
      <c r="EE162" s="19"/>
      <c r="EF162" s="19"/>
      <c r="EG162" s="19"/>
      <c r="EH162" s="19"/>
      <c r="EI162" s="19"/>
      <c r="EJ162" s="19"/>
      <c r="EK162" s="19"/>
      <c r="EL162" s="19"/>
      <c r="EM162" s="19"/>
      <c r="EN162" s="19"/>
      <c r="EO162" s="19"/>
      <c r="EP162" s="19"/>
      <c r="EQ162" s="19"/>
      <c r="ER162" s="19"/>
      <c r="ES162" s="19"/>
      <c r="ET162" s="19"/>
      <c r="EU162" s="19"/>
      <c r="EV162" s="19"/>
      <c r="EW162" s="19"/>
      <c r="EX162" s="19"/>
      <c r="EY162" s="19"/>
      <c r="EZ162" s="19"/>
      <c r="FA162" s="19"/>
      <c r="FB162" s="19"/>
      <c r="FC162" s="19"/>
      <c r="FD162" s="19"/>
      <c r="FE162" s="19"/>
      <c r="FF162" s="19"/>
      <c r="FG162" s="19"/>
      <c r="FH162" s="19"/>
      <c r="FI162" s="19"/>
    </row>
    <row r="163" spans="1:165" x14ac:dyDescent="0.25">
      <c r="A163" s="48"/>
      <c r="B163" s="49"/>
      <c r="C163" s="49"/>
      <c r="D163" s="39"/>
      <c r="E163" s="49" t="s">
        <v>125</v>
      </c>
      <c r="F163" s="49" t="s">
        <v>126</v>
      </c>
      <c r="G163" s="42"/>
      <c r="H163" s="29"/>
      <c r="I163" s="113"/>
      <c r="J163" s="49"/>
      <c r="K163" s="49"/>
      <c r="L163" s="49"/>
      <c r="M163" s="39"/>
      <c r="N163" s="49" t="s">
        <v>125</v>
      </c>
      <c r="O163" s="49" t="s">
        <v>126</v>
      </c>
      <c r="P163" s="42"/>
      <c r="Q163" s="29"/>
      <c r="R163" s="29"/>
      <c r="S163" s="30"/>
      <c r="T163" s="18"/>
      <c r="U163" s="19"/>
      <c r="V163" s="19"/>
      <c r="W163" s="19"/>
      <c r="X163" s="19"/>
      <c r="Y163" s="19"/>
      <c r="Z163" s="19"/>
      <c r="AA163" s="19"/>
      <c r="AB163" s="19"/>
      <c r="AC163" s="19"/>
      <c r="AD163" s="19"/>
      <c r="AE163" s="19"/>
      <c r="AF163" s="143">
        <f>AF162+1</f>
        <v>7</v>
      </c>
      <c r="AG163" s="143">
        <f t="shared" si="16"/>
        <v>2.52</v>
      </c>
      <c r="AH163" s="144">
        <f t="shared" si="3"/>
        <v>92.73599999999999</v>
      </c>
      <c r="AI163" s="145">
        <f t="shared" si="4"/>
        <v>0.97826086956521752</v>
      </c>
      <c r="AJ163" s="145">
        <f t="shared" si="5"/>
        <v>2.465217391304348</v>
      </c>
      <c r="AK163" s="145">
        <f t="shared" si="6"/>
        <v>0.39130434782608459</v>
      </c>
      <c r="AL163" s="145">
        <f t="shared" si="7"/>
        <v>2.4678040260067347</v>
      </c>
      <c r="AM163" s="146"/>
      <c r="AN163" s="145">
        <f>MAX(0,Table7[[#This Row],[I_L]]-0.5*Table7[[#This Row],[I_L pkpk]])</f>
        <v>2.2695652173913059</v>
      </c>
      <c r="AO163" s="145">
        <f>Table7[[#This Row],[I_L]]+0.5*Table7[[#This Row],[I_L pkpk]]</f>
        <v>2.6608695652173902</v>
      </c>
      <c r="AP163" s="145">
        <f ca="1">IF(VACnom&gt;Vbat, (VGS_S-(TI_MOSFET_S_VTH_H_BU+Table7[[#This Row],[I_L]]/TI_MOSFET_S_gFS_H_BU))/3.4, (VGS_S-(TI_MOSFET_S_VTH_L_BO+Table7[[#This Row],[I_L]]/TI_MOSFET_S_gFS_L_BO))/3.4 )</f>
        <v>3.0091284674404877</v>
      </c>
      <c r="AQ163" s="145">
        <f ca="1">IF(VACnom&gt;Vbat, ((TI_MOSFET_S_VTH_H_BU+Table7[[#This Row],[I_L]]/TI_MOSFET_S_gFS_H_BU))/1, ((TI_MOSFET_S_VTH_L_BO+Table7[[#This Row],[I_L]]/TI_MOSFET_S_gFS_L_BO))/1 )</f>
        <v>1.7689632107023412</v>
      </c>
      <c r="AR163" s="145">
        <f ca="1">IF(VACnom&gt;Vbat, (TI_MOSFET_S_QGD_H_BU+TI_MOSFET_S_QGS_H_BU)*10^-9/Table7[[#This Row],[Ion (A)]], (TI_MOSFET_S_QGD_L_BO+TI_MOSFET_S_QGS_L_BO)*10^-9/Table7[[#This Row],[Ion (A)]])/10^-9</f>
        <v>9.5708775187311232</v>
      </c>
      <c r="AS163" s="145">
        <f ca="1">IF(VACnom&gt;Vbat, (TI_MOSFET_S_QGD_H_BU+TI_MOSFET_S_QGS_H_BU)*10^-9/Table7[[#This Row],[Ioff (A)]], (TI_MOSFET_S_QGD_L_BO+TI_MOSFET_S_QGS_L_BO)*10^-9/Table7[[#This Row],[Ioff (A)]])/10^-9</f>
        <v>16.280722982681691</v>
      </c>
      <c r="AT163" s="145">
        <f ca="1" xml:space="preserve"> 0.5*VACnom*Table7[[#This Row],[Ivalley (A)]]*Table7[[#This Row],[ton (ns)]]*10^-9*Fsw*10^3+0.5*VACnom*Table7[[#This Row],[Ipeak (A)]]*Table7[[#This Row],[toff (ns)]]*10^-9*Fsw*10^3/10^-3</f>
        <v>159.50077541545556</v>
      </c>
      <c r="AU163" s="145">
        <f t="shared" ca="1" si="8"/>
        <v>268.64000000000004</v>
      </c>
      <c r="AV163" s="145" t="e">
        <f t="shared" si="9"/>
        <v>#VALUE!</v>
      </c>
      <c r="AW163" s="145">
        <f t="shared" ca="1" si="10"/>
        <v>566.72000000000025</v>
      </c>
      <c r="AX163" s="145">
        <f ca="1">IF(VACnom&gt;Vbat, TI_MOSFET_S_VSD_L_BU*Table7[[#This Row],[Ivalley (A)]]*Fsw*10^3*40*10^-9+TI_MOSFET_S_VSD_L_BU*Table7[[#This Row],[Ipeak (A)]]*Fsw*10^3*30*10^-9, TI_MOSFET_S_VSD_H_BO*Table7[[#This Row],[Ivalley (A)]]*Fsw*10^3*40*10^-9+TI_MOSFET_S_VSD_H_BO*Table7[[#This Row],[Ipeak (A)]]*Fsw*10^3*30*10^-9)/10^-3</f>
        <v>24.567652173913054</v>
      </c>
      <c r="AY163" s="145" t="e">
        <f t="shared" si="11"/>
        <v>#VALUE!</v>
      </c>
      <c r="AZ163" s="145" t="e">
        <f>IF(VACnom&lt;Vbat, Table7[[#This Row],[Duty Cycle]]*Table7[[#This Row],[I_L RMS]]^2*TI_MOSFET_S_RDSON_H_BU*10^-3, (1-Table7[[#This Row],[Duty Cycle]])*Table7[[#This Row],[I_L RMS]]^2*TI_MOSFET_S_RDSON_H_BO*10^-3)/10^-3</f>
        <v>#VALUE!</v>
      </c>
      <c r="BA163" s="145" t="e">
        <f ca="1">IF(VACnom&gt;Vbat, Table7[[#This Row],[PIV (mW)]]+Table7[[#This Row],[Pqoss (mW)]]+Table7[[#This Row],[Pgate_top (mW)]], Table7[[#This Row],[PRR (mW)]]+Table7[[#This Row],[Pdead (mW)]]+Table7[[#This Row],[Pgate_top (mW)]])</f>
        <v>#VALUE!</v>
      </c>
      <c r="BB163" s="145" t="e">
        <f ca="1">Table7[[#This Row],[Pcon_top (mW)]]+Table7[[#This Row],[Psw_top (mW)]]</f>
        <v>#VALUE!</v>
      </c>
      <c r="BC163" s="145" t="e">
        <f>IF(VACnom&gt;Vbat, (1-Table7[[#This Row],[Duty Cycle]])*Table7[[#This Row],[I_L RMS]]^2*TI_MOSFET_S_RDSON_L_BU*10^-3, Table7[[#This Row],[Duty Cycle]]*Table7[[#This Row],[I_L RMS]]^2*TI_MOSFET_S_RDSON_L_BO*10^-3)/10^-3</f>
        <v>#VALUE!</v>
      </c>
      <c r="BD163" s="145" t="e">
        <f ca="1">IF(VACnom&gt;Vbat, Table7[[#This Row],[PRR (mW)]]+Table7[[#This Row],[Pdead (mW)]]+Table7[[#This Row],[Pgate_bottom (mW)]], Table7[[#This Row],[PIV (mW)]]+Table7[[#This Row],[Pqoss (mW)]]+Table7[[#This Row],[Pgate_bottom (mW)]])</f>
        <v>#VALUE!</v>
      </c>
      <c r="BE163" s="147" t="e">
        <f ca="1">Table7[[#This Row],[Pcon_bottom (mW)]]+Table7[[#This Row],[Psw_bottom (mW)]]</f>
        <v>#VALUE!</v>
      </c>
      <c r="BF163" s="145" t="e">
        <f ca="1">Table7[[#This Row],[Pbottom (mW)]]+Table7[[#This Row],[Ptop (mW)]]</f>
        <v>#VALUE!</v>
      </c>
      <c r="BG163" s="142"/>
      <c r="BH163" s="145">
        <f>MAX(0,Table7[[#This Row],[I_L]]-0.5*Table7[[#This Row],[I_L pkpk]])</f>
        <v>2.2695652173913059</v>
      </c>
      <c r="BI163" s="145">
        <f>Table7[[#This Row],[I_L]]+0.5*Table7[[#This Row],[I_L pkpk]]</f>
        <v>2.6608695652173902</v>
      </c>
      <c r="BJ163" s="145">
        <f>IF(VACnom&gt;Vbat, (VGS_S-(C_MOSFET_S_VTH_H_BU+Table7[[#This Row],[I_L]]/C_MOSFET_S_gFS_H_BU))/3.4, (VGS_S-(C_MOSFET_S_VTH_L_BO+Table7[[#This Row],[I_L]]/C_MOSFET_S_gFS_L_BO))/3.4 )</f>
        <v>2.9643376840991271</v>
      </c>
      <c r="BK163" s="145">
        <f>IF(VACnom&gt;Vbat, ((C_MOSFET_S_VTH_H_BU+Table7[[#This Row],[I_L]]/C_MOSFET_S_gFS_H_BU))/1, ((C_MOSFET_S_VTH_L_BO+Table7[[#This Row],[I_L]]/C_MOSFET_S_gFS_L_BO))/1 )</f>
        <v>1.9212518740629685</v>
      </c>
      <c r="BL163" s="145">
        <f>IF(VACnom&gt;Vbat, (C_MOSFET_S_QGD_H_BU+C_MOSFET_S_QGS_H_BU)*10^-9/Table7[[#This Row],[Ion (A) C]], (C_MOSFET_S_QGD_L_BO+C_MOSFET_S_QGS_L_BO)*10^-9/Table7[[#This Row],[Ion (A) C]])/10^-9</f>
        <v>5.2288239909855294</v>
      </c>
      <c r="BM163" s="145">
        <f>IF(VACnom&gt;Vbat, (C_MOSFET_S_QGD_H_BU+C_MOSFET_S_QGS_H_BU)*10^-9/Table7[[#This Row],[Ioff (A) C]], (C_MOSFET_S_QGD_L_BO+C_MOSFET_S_QGS_L_BO)*10^-9/Table7[[#This Row],[Ioff (A) C]])/10^-9</f>
        <v>8.0676564115569942</v>
      </c>
      <c r="BN163" s="145">
        <f xml:space="preserve"> 0.5*VACnom*Table7[[#This Row],[Ivalley (A) C]]*Table7[[#This Row],[ton (ns) C]]*10^-9*Fsw*10^3+0.5*VACnom*Table7[[#This Row],[Ipeak (A) C]]*Table7[[#This Row],[toff (ns) C]]*10^-9*Fsw*10^3/10^-3</f>
        <v>79.042162719938787</v>
      </c>
      <c r="BO163" s="145">
        <f t="shared" si="12"/>
        <v>305.44000000000011</v>
      </c>
      <c r="BP163" s="145">
        <f t="shared" si="13"/>
        <v>357.69600000000014</v>
      </c>
      <c r="BQ163" s="145">
        <f t="shared" si="14"/>
        <v>1067.2000000000003</v>
      </c>
      <c r="BR163" s="145">
        <f>IF(VACnom&gt;Vbat, C_MOSFET_S_VSD_L_BU*Table7[[#This Row],[Ivalley (A) C]]*Fsw*10^3*40*10^-9+C_MOSFET_S_VSD_L_BU*Table7[[#This Row],[Ipeak (A) C]]*Fsw*10^3*30*10^-9, C_MOSFET_S_VSD_H_BO*Table7[[#This Row],[Ivalley (A) C]]*Fsw*10^3*40*10^-9+C_MOSFET_S_VSD_H_BO*Table7[[#This Row],[Ipeak (A) C]]*Fsw*10^3*30*10^-9)/10^-3</f>
        <v>27.29739130434784</v>
      </c>
      <c r="BS163" s="145">
        <f t="shared" si="15"/>
        <v>357.69600000000014</v>
      </c>
      <c r="BT163" s="145">
        <f>IF(VACnom&lt;Vbat, Table7[[#This Row],[Duty Cycle]]*Table7[[#This Row],[I_L RMS]]^2*C_MOSFET_S_RDSON_H_BU*10^-3, (1-Table7[[#This Row],[Duty Cycle]])*Table7[[#This Row],[I_L RMS]]^2*C_MOSFET_S_RDSON_H_BO*10^-3)/10^-3</f>
        <v>0.34422059669597904</v>
      </c>
      <c r="BU163" s="145">
        <f>IF(VACnom&gt;Vbat, Table7[[#This Row],[PIV (mW) C]]+Table7[[#This Row],[PQoss (mW) C]]+Table7[[#This Row],[Pgate_top (mW) C]], Table7[[#This Row],[PRR (mW) C]]+Table7[[#This Row],[Pdead (mW) C]]+Table7[[#This Row],[Pgate_top (mW) C]])</f>
        <v>742.17816271993911</v>
      </c>
      <c r="BV163" s="145">
        <f>Table7[[#This Row],[Pcon_top (mW) C]]+Table7[[#This Row],[Psw_top (mW) C]]</f>
        <v>742.52238331663511</v>
      </c>
      <c r="BW163" s="145">
        <f>IF(VACnom&gt;Vbat, (1-Table7[[#This Row],[Duty Cycle]])*Table7[[#This Row],[I_L RMS]]^2*C_MOSFET_S_RDSON_L_BU*10^-3, Table7[[#This Row],[Duty Cycle]]*Table7[[#This Row],[I_L RMS]]^2*C_MOSFET_S_RDSON_L_BO*10^-3)/10^-3</f>
        <v>0.22506731322429396</v>
      </c>
      <c r="BX163" s="145">
        <f>IF(VACnom&gt;Vbat, Table7[[#This Row],[PRR (mW) C]]+Table7[[#This Row],[Pdead (mW) C]]+Table7[[#This Row],[Pgate_bottom (mW) C]], Table7[[#This Row],[PIV (mW) C]]+Table7[[#This Row],[PQoss (mW) C]]+Table7[[#This Row],[Pgate_bottom (mW) C]])</f>
        <v>1452.1933913043483</v>
      </c>
      <c r="BY163" s="145">
        <f>Table7[[#This Row],[Pcon_bottom (mW) C]]+Table7[[#This Row],[Psw_bottom (mV) C]]</f>
        <v>1452.4184586175727</v>
      </c>
      <c r="BZ163" s="145">
        <f>Table7[[#This Row],[Pbottom (mW) C]]+Table7[[#This Row],[Ptop (mW) C]]</f>
        <v>2194.940841934208</v>
      </c>
      <c r="CA163" s="148"/>
      <c r="CB163" s="144">
        <f>(RAC_SNS*10^-3*(Table7[[#This Row],[IOUT (A)]]*Vbat/VACnom)^2/10^-3)</f>
        <v>12.154593572778831</v>
      </c>
      <c r="CC163" s="144">
        <f>(RBAT_SNS*10^-3*Table7[[#This Row],[IOUT (A)]]^2)/10^-3</f>
        <v>31.752000000000002</v>
      </c>
      <c r="CD163" s="144">
        <f>IF(VACnom&gt;Vbat,(L_DRC*10^-3*(Table7[[#This Row],[IOUT (A)]])^2/10^-3),(L_DRC*10^-3*(Table7[[#This Row],[IOUT (A)]]*Vbat/VACnom)^2/10^-3))</f>
        <v>31.752000000000002</v>
      </c>
      <c r="CE163" s="152"/>
      <c r="CF163" s="145">
        <f>(Table7[[#This Row],[R_AC (mW)]]+Table7[[#This Row],[R_SR (mW)]]+Table7[[#This Row],[Inductor Loss (mW)]])/10^3</f>
        <v>7.5658593572778834E-2</v>
      </c>
      <c r="CG163" s="145" t="e">
        <f ca="1">Table7[[#This Row],[Total TI (mW)]]/10^3</f>
        <v>#VALUE!</v>
      </c>
      <c r="CH163" s="145" t="e">
        <f ca="1">Table7[[#This Row],[Total Sense Loss]]+Table7[[#This Row],[Total MOSFET Loss]]</f>
        <v>#VALUE!</v>
      </c>
      <c r="CI163" s="149" t="e">
        <f ca="1">IF(Table7[[#This Row],[POUT (W)]]=0,0,(Table7[[#This Row],[POUT (W)]])/(Table7[[#This Row],[POUT (W)]]+Table7[[#This Row],[Total Power Loss (W)]]))*100</f>
        <v>#VALUE!</v>
      </c>
      <c r="CJ163" s="153"/>
      <c r="CK163" s="145">
        <f>(Table7[[#This Row],[R_AC (mW)]]+Table7[[#This Row],[R_SR (mW)]]+Table7[[#This Row],[Inductor Loss (mW)]])/10^3</f>
        <v>7.5658593572778834E-2</v>
      </c>
      <c r="CL163" s="145">
        <f>Table7[[#This Row],[Total (mW) C]]/10^3</f>
        <v>2.194940841934208</v>
      </c>
      <c r="CM163" s="145">
        <f>Table7[[#This Row],[Total Sense Loss C]]+Table7[[#This Row],[Total MOSFET Loss C]]</f>
        <v>2.2705994355069867</v>
      </c>
      <c r="CN163" s="149">
        <f>IF(Table7[[#This Row],[POUT (W)]]=0,0,(Table7[[#This Row],[POUT (W)]])/(Table7[[#This Row],[POUT (W)]]+Table7[[#This Row],[Total Power Loss (W) C]]))*100</f>
        <v>97.61006135468692</v>
      </c>
      <c r="CO163" s="153"/>
      <c r="CP163" s="149">
        <f>IF(MOSFET_S=Custom_MOSFET,Table7[[#This Row],[Total Sense Loss C]],Table7[[#This Row],[Total Sense Loss]])</f>
        <v>7.5658593572778834E-2</v>
      </c>
      <c r="CQ163" s="149">
        <f>IF(MOSFET_S=Custom_MOSFET,Table7[[#This Row],[Total MOSFET Loss C]],Table7[[#This Row],[Total MOSFET Loss]])</f>
        <v>2.194940841934208</v>
      </c>
      <c r="CR163" s="149">
        <f>IF(MOSFET_S=Custom_MOSFET,Table7[[#This Row],[Efficiency C]],Table7[[#This Row],[Efficiency]])</f>
        <v>97.61006135468692</v>
      </c>
      <c r="CS163" s="153"/>
      <c r="CT163" s="149">
        <f>IF(MOSFET_S=Compare_MOSFET, Table7[[#This Row],[Total Sense Loss C]], -100)</f>
        <v>-100</v>
      </c>
      <c r="CU163" s="149">
        <f>IF(MOSFET_S=Compare_MOSFET, Table7[[#This Row],[Total MOSFET Loss C]], -100)</f>
        <v>-100</v>
      </c>
      <c r="CV163" s="149">
        <f>IF(MOSFET_S=Compare_MOSFET, Table7[[#This Row],[Efficiency C]], -100)</f>
        <v>-100</v>
      </c>
      <c r="CW163" s="153"/>
      <c r="CX163" s="149">
        <f ca="1">IF(Save_Sel=CLR_Save,  Table7[[#This Row],[Total Sense Loss P1]], Table7[[#This Row],[Total Sense Loss P1 Saved]])</f>
        <v>7.5658593572778834E-2</v>
      </c>
      <c r="CY163" s="149">
        <f ca="1">IF(Save_Sel=CLR_Save,  Table7[[#This Row],[Total MOSFET Loss P1]], Table7[[#This Row],[Total MOSFET Loss P1 Saved]] )</f>
        <v>2.194940841934208</v>
      </c>
      <c r="CZ163" s="149">
        <f ca="1">IF(Save_Sel=CLR_Save, Table7[[#This Row],[Efficiency P1]], Table7[[#This Row],[Efficiency P1 Saved]])</f>
        <v>97.61006135468692</v>
      </c>
      <c r="DA163" s="153"/>
      <c r="DB163" s="149">
        <f ca="1">IF(Save_Sel=CLR_Save,  Table7[[#This Row],[Total Sense Loss P2]], Table7[[#This Row],[Total Sense Loss P2 Saved]])</f>
        <v>-100</v>
      </c>
      <c r="DC163" s="149">
        <f ca="1">IF(Save_Sel=CLR_Save,  Table7[[#This Row],[Total MOSFET Loss P2]], Table7[[#This Row],[Total MOSFET Loss P2 Saved]] )</f>
        <v>-100</v>
      </c>
      <c r="DD163" s="149">
        <f ca="1">IF(Save_Sel=CLR_Save, Table7[[#This Row],[Efficiency P2]], Table7[[#This Row],[Efficiency P2 Saved]])</f>
        <v>-100</v>
      </c>
      <c r="DE163" s="153"/>
      <c r="DF163" s="19"/>
      <c r="DG163" s="19"/>
      <c r="DH163" s="19"/>
      <c r="DI163" s="19"/>
      <c r="DJ163" s="19"/>
      <c r="DK163" s="19"/>
      <c r="DL163" s="19"/>
      <c r="DM163" s="19"/>
      <c r="DN163" s="19"/>
      <c r="DO163" s="19"/>
      <c r="DP163" s="19"/>
      <c r="DQ163" s="19"/>
      <c r="DR163" s="19"/>
      <c r="DS163" s="19"/>
      <c r="DT163" s="19"/>
      <c r="DU163" s="19"/>
      <c r="DV163" s="19"/>
      <c r="DW163" s="19"/>
      <c r="DX163" s="19"/>
      <c r="DY163" s="19"/>
      <c r="DZ163" s="19"/>
      <c r="EA163" s="19"/>
      <c r="EB163" s="19"/>
      <c r="EC163" s="19"/>
      <c r="ED163" s="19"/>
      <c r="EE163" s="19"/>
      <c r="EF163" s="19"/>
      <c r="EG163" s="19"/>
      <c r="EH163" s="19"/>
      <c r="EI163" s="19"/>
      <c r="EJ163" s="19"/>
      <c r="EK163" s="19"/>
      <c r="EL163" s="19"/>
      <c r="EM163" s="19"/>
      <c r="EN163" s="19"/>
      <c r="EO163" s="19"/>
      <c r="EP163" s="19"/>
      <c r="EQ163" s="19"/>
      <c r="ER163" s="19"/>
      <c r="ES163" s="19"/>
      <c r="ET163" s="19"/>
      <c r="EU163" s="19"/>
      <c r="EV163" s="19"/>
      <c r="EW163" s="19"/>
      <c r="EX163" s="19"/>
      <c r="EY163" s="19"/>
      <c r="EZ163" s="19"/>
      <c r="FA163" s="19"/>
      <c r="FB163" s="19"/>
      <c r="FC163" s="19"/>
      <c r="FD163" s="19"/>
      <c r="FE163" s="19"/>
      <c r="FF163" s="19"/>
      <c r="FG163" s="19"/>
      <c r="FH163" s="19"/>
      <c r="FI163" s="19"/>
    </row>
    <row r="164" spans="1:165" x14ac:dyDescent="0.25">
      <c r="A164" s="48">
        <v>1</v>
      </c>
      <c r="B164" s="49"/>
      <c r="C164" s="49"/>
      <c r="D164" s="32" t="s">
        <v>259</v>
      </c>
      <c r="E164" s="66" t="str">
        <f>IF( VGS_S=Vgs_4P5,TI_RDS_4P5_H_BU, IF(VGS_S=Vgs_10, TI_RDS_10_H_BU, IF( AND(VGS_S=Vgs_C, ISNUMBER(TI_RDS_C_H_BU)), TI_RDS_C_H_BU, "ERROR" )))</f>
        <v>ERROR</v>
      </c>
      <c r="F164" s="66" t="str">
        <f>IF( VGS_S=Vgs_4P5,TI_RDS_4P5_L_BU, IF(VGS_S=Vgs_10, TI_RDS_10_L_BU, IF( AND(VGS_S=Vgs_C, ISNUMBER(TI_RDS_C_L_BU)), TI_RDS_C_L_BU, "ERROR" )))</f>
        <v>ERROR</v>
      </c>
      <c r="G164" s="42" t="s">
        <v>136</v>
      </c>
      <c r="H164" s="29"/>
      <c r="I164" s="48">
        <v>1</v>
      </c>
      <c r="J164" s="29"/>
      <c r="K164" s="49"/>
      <c r="L164" s="49"/>
      <c r="M164" s="32" t="s">
        <v>135</v>
      </c>
      <c r="N164" s="66">
        <f>IF( VGS_S=Vgs_4P5,C_RDS_4P5_H_BU, IF(VGS_S=Vgs_10, C_RDS_10_H_BU, IF( AND(VGS_S=Vgs_C, ISNUMBER(C_RDS_C_H_BU)), C_RDS_C_H_BU, "ERROR" )))</f>
        <v>1.7</v>
      </c>
      <c r="O164" s="66">
        <f>IF( VGS_S=Vgs_4P5,C_RDS_4P5_L_BU, IF(VGS_S=Vgs_10, C_RDS_10_L_BU, IF( AND(VGS_S=Vgs_C, ISNUMBER(C_RDS_C_L_BU)), C_RDS_C_L_BU, "ERROR" )))</f>
        <v>1.7</v>
      </c>
      <c r="P164" s="42" t="s">
        <v>136</v>
      </c>
      <c r="Q164" s="29"/>
      <c r="R164" s="29"/>
      <c r="S164" s="30"/>
      <c r="T164" s="18"/>
      <c r="U164" s="19"/>
      <c r="V164" s="19"/>
      <c r="W164" s="19"/>
      <c r="X164" s="19"/>
      <c r="Y164" s="19"/>
      <c r="Z164" s="19"/>
      <c r="AA164" s="19"/>
      <c r="AB164" s="19"/>
      <c r="AC164" s="19"/>
      <c r="AD164" s="19"/>
      <c r="AE164" s="19"/>
      <c r="AF164" s="143">
        <f t="shared" si="17"/>
        <v>8</v>
      </c>
      <c r="AG164" s="143">
        <f t="shared" si="16"/>
        <v>2.88</v>
      </c>
      <c r="AH164" s="144">
        <f t="shared" si="3"/>
        <v>105.98399999999999</v>
      </c>
      <c r="AI164" s="145">
        <f t="shared" si="4"/>
        <v>0.97826086956521752</v>
      </c>
      <c r="AJ164" s="145">
        <f t="shared" si="5"/>
        <v>2.8173913043478263</v>
      </c>
      <c r="AK164" s="145">
        <f t="shared" si="6"/>
        <v>0.39130434782608459</v>
      </c>
      <c r="AL164" s="145">
        <f t="shared" si="7"/>
        <v>2.8196548877833223</v>
      </c>
      <c r="AM164" s="146"/>
      <c r="AN164" s="145">
        <f>MAX(0,Table7[[#This Row],[I_L]]-0.5*Table7[[#This Row],[I_L pkpk]])</f>
        <v>2.6217391304347841</v>
      </c>
      <c r="AO164" s="145">
        <f>Table7[[#This Row],[I_L]]+0.5*Table7[[#This Row],[I_L pkpk]]</f>
        <v>3.0130434782608684</v>
      </c>
      <c r="AP164" s="145">
        <f ca="1">IF(VACnom&gt;Vbat, (VGS_S-(TI_MOSFET_S_VTH_H_BU+Table7[[#This Row],[I_L]]/TI_MOSFET_S_gFS_H_BU))/3.4, (VGS_S-(TI_MOSFET_S_VTH_L_BO+Table7[[#This Row],[I_L]]/TI_MOSFET_S_gFS_L_BO))/3.4 )</f>
        <v>3.0083316938815661</v>
      </c>
      <c r="AQ164" s="145">
        <f ca="1">IF(VACnom&gt;Vbat, ((TI_MOSFET_S_VTH_H_BU+Table7[[#This Row],[I_L]]/TI_MOSFET_S_gFS_H_BU))/1, ((TI_MOSFET_S_VTH_L_BO+Table7[[#This Row],[I_L]]/TI_MOSFET_S_gFS_L_BO))/1 )</f>
        <v>1.7716722408026755</v>
      </c>
      <c r="AR164" s="145">
        <f ca="1">IF(VACnom&gt;Vbat, (TI_MOSFET_S_QGD_H_BU+TI_MOSFET_S_QGS_H_BU)*10^-9/Table7[[#This Row],[Ion (A)]], (TI_MOSFET_S_QGD_L_BO+TI_MOSFET_S_QGS_L_BO)*10^-9/Table7[[#This Row],[Ion (A)]])/10^-9</f>
        <v>9.5734124194397499</v>
      </c>
      <c r="AS164" s="145">
        <f ca="1">IF(VACnom&gt;Vbat, (TI_MOSFET_S_QGD_H_BU+TI_MOSFET_S_QGS_H_BU)*10^-9/Table7[[#This Row],[Ioff (A)]], (TI_MOSFET_S_QGD_L_BO+TI_MOSFET_S_QGS_L_BO)*10^-9/Table7[[#This Row],[Ioff (A)]])/10^-9</f>
        <v>16.255828440903858</v>
      </c>
      <c r="AT164" s="145">
        <f ca="1" xml:space="preserve"> 0.5*VACnom*Table7[[#This Row],[Ivalley (A)]]*Table7[[#This Row],[ton (ns)]]*10^-9*Fsw*10^3+0.5*VACnom*Table7[[#This Row],[Ipeak (A)]]*Table7[[#This Row],[toff (ns)]]*10^-9*Fsw*10^3/10^-3</f>
        <v>180.33699003576473</v>
      </c>
      <c r="AU164" s="145">
        <f t="shared" ca="1" si="8"/>
        <v>268.64000000000004</v>
      </c>
      <c r="AV164" s="145" t="e">
        <f t="shared" si="9"/>
        <v>#VALUE!</v>
      </c>
      <c r="AW164" s="145">
        <f t="shared" ca="1" si="10"/>
        <v>566.72000000000025</v>
      </c>
      <c r="AX164" s="145">
        <f ca="1">IF(VACnom&gt;Vbat, TI_MOSFET_S_VSD_L_BU*Table7[[#This Row],[Ivalley (A)]]*Fsw*10^3*40*10^-9+TI_MOSFET_S_VSD_L_BU*Table7[[#This Row],[Ipeak (A)]]*Fsw*10^3*30*10^-9, TI_MOSFET_S_VSD_H_BO*Table7[[#This Row],[Ivalley (A)]]*Fsw*10^3*40*10^-9+TI_MOSFET_S_VSD_H_BO*Table7[[#This Row],[Ipeak (A)]]*Fsw*10^3*30*10^-9)/10^-3</f>
        <v>28.117565217391316</v>
      </c>
      <c r="AY164" s="145" t="e">
        <f t="shared" si="11"/>
        <v>#VALUE!</v>
      </c>
      <c r="AZ164" s="145" t="e">
        <f>IF(VACnom&lt;Vbat, Table7[[#This Row],[Duty Cycle]]*Table7[[#This Row],[I_L RMS]]^2*TI_MOSFET_S_RDSON_H_BU*10^-3, (1-Table7[[#This Row],[Duty Cycle]])*Table7[[#This Row],[I_L RMS]]^2*TI_MOSFET_S_RDSON_H_BO*10^-3)/10^-3</f>
        <v>#VALUE!</v>
      </c>
      <c r="BA164" s="145" t="e">
        <f ca="1">IF(VACnom&gt;Vbat, Table7[[#This Row],[PIV (mW)]]+Table7[[#This Row],[Pqoss (mW)]]+Table7[[#This Row],[Pgate_top (mW)]], Table7[[#This Row],[PRR (mW)]]+Table7[[#This Row],[Pdead (mW)]]+Table7[[#This Row],[Pgate_top (mW)]])</f>
        <v>#VALUE!</v>
      </c>
      <c r="BB164" s="145" t="e">
        <f ca="1">Table7[[#This Row],[Pcon_top (mW)]]+Table7[[#This Row],[Psw_top (mW)]]</f>
        <v>#VALUE!</v>
      </c>
      <c r="BC164" s="145" t="e">
        <f>IF(VACnom&gt;Vbat, (1-Table7[[#This Row],[Duty Cycle]])*Table7[[#This Row],[I_L RMS]]^2*TI_MOSFET_S_RDSON_L_BU*10^-3, Table7[[#This Row],[Duty Cycle]]*Table7[[#This Row],[I_L RMS]]^2*TI_MOSFET_S_RDSON_L_BO*10^-3)/10^-3</f>
        <v>#VALUE!</v>
      </c>
      <c r="BD164" s="145" t="e">
        <f ca="1">IF(VACnom&gt;Vbat, Table7[[#This Row],[PRR (mW)]]+Table7[[#This Row],[Pdead (mW)]]+Table7[[#This Row],[Pgate_bottom (mW)]], Table7[[#This Row],[PIV (mW)]]+Table7[[#This Row],[Pqoss (mW)]]+Table7[[#This Row],[Pgate_bottom (mW)]])</f>
        <v>#VALUE!</v>
      </c>
      <c r="BE164" s="147" t="e">
        <f ca="1">Table7[[#This Row],[Pcon_bottom (mW)]]+Table7[[#This Row],[Psw_bottom (mW)]]</f>
        <v>#VALUE!</v>
      </c>
      <c r="BF164" s="145" t="e">
        <f ca="1">Table7[[#This Row],[Pbottom (mW)]]+Table7[[#This Row],[Ptop (mW)]]</f>
        <v>#VALUE!</v>
      </c>
      <c r="BG164" s="142"/>
      <c r="BH164" s="145">
        <f>MAX(0,Table7[[#This Row],[I_L]]-0.5*Table7[[#This Row],[I_L pkpk]])</f>
        <v>2.6217391304347841</v>
      </c>
      <c r="BI164" s="145">
        <f>Table7[[#This Row],[I_L]]+0.5*Table7[[#This Row],[I_L pkpk]]</f>
        <v>3.0130434782608684</v>
      </c>
      <c r="BJ164" s="145">
        <f>IF(VACnom&gt;Vbat, (VGS_S-(C_MOSFET_S_VTH_H_BU+Table7[[#This Row],[I_L]]/C_MOSFET_S_gFS_H_BU))/3.4, (VGS_S-(C_MOSFET_S_VTH_L_BO+Table7[[#This Row],[I_L]]/C_MOSFET_S_gFS_L_BO))/3.4 )</f>
        <v>2.9634447482141284</v>
      </c>
      <c r="BK164" s="145">
        <f>IF(VACnom&gt;Vbat, ((C_MOSFET_S_VTH_H_BU+Table7[[#This Row],[I_L]]/C_MOSFET_S_gFS_H_BU))/1, ((C_MOSFET_S_VTH_L_BO+Table7[[#This Row],[I_L]]/C_MOSFET_S_gFS_L_BO))/1 )</f>
        <v>1.9242878560719638</v>
      </c>
      <c r="BL164" s="145">
        <f>IF(VACnom&gt;Vbat, (C_MOSFET_S_QGD_H_BU+C_MOSFET_S_QGS_H_BU)*10^-9/Table7[[#This Row],[Ion (A) C]], (C_MOSFET_S_QGD_L_BO+C_MOSFET_S_QGS_L_BO)*10^-9/Table7[[#This Row],[Ion (A) C]])/10^-9</f>
        <v>5.2303995238449508</v>
      </c>
      <c r="BM164" s="145">
        <f>IF(VACnom&gt;Vbat, (C_MOSFET_S_QGD_H_BU+C_MOSFET_S_QGS_H_BU)*10^-9/Table7[[#This Row],[Ioff (A) C]], (C_MOSFET_S_QGD_L_BO+C_MOSFET_S_QGS_L_BO)*10^-9/Table7[[#This Row],[Ioff (A) C]])/10^-9</f>
        <v>8.0549279314374758</v>
      </c>
      <c r="BN164" s="145">
        <f xml:space="preserve"> 0.5*VACnom*Table7[[#This Row],[Ivalley (A) C]]*Table7[[#This Row],[ton (ns) C]]*10^-9*Fsw*10^3+0.5*VACnom*Table7[[#This Row],[Ipeak (A) C]]*Table7[[#This Row],[toff (ns) C]]*10^-9*Fsw*10^3/10^-3</f>
        <v>89.36350379838477</v>
      </c>
      <c r="BO164" s="145">
        <f t="shared" si="12"/>
        <v>305.44000000000011</v>
      </c>
      <c r="BP164" s="145">
        <f t="shared" si="13"/>
        <v>357.69600000000014</v>
      </c>
      <c r="BQ164" s="145">
        <f t="shared" si="14"/>
        <v>1067.2000000000003</v>
      </c>
      <c r="BR164" s="145">
        <f>IF(VACnom&gt;Vbat, C_MOSFET_S_VSD_L_BU*Table7[[#This Row],[Ivalley (A) C]]*Fsw*10^3*40*10^-9+C_MOSFET_S_VSD_L_BU*Table7[[#This Row],[Ipeak (A) C]]*Fsw*10^3*30*10^-9, C_MOSFET_S_VSD_H_BO*Table7[[#This Row],[Ivalley (A) C]]*Fsw*10^3*40*10^-9+C_MOSFET_S_VSD_H_BO*Table7[[#This Row],[Ipeak (A) C]]*Fsw*10^3*30*10^-9)/10^-3</f>
        <v>31.241739130434798</v>
      </c>
      <c r="BS164" s="145">
        <f t="shared" si="15"/>
        <v>357.69600000000014</v>
      </c>
      <c r="BT164" s="145">
        <f>IF(VACnom&lt;Vbat, Table7[[#This Row],[Duty Cycle]]*Table7[[#This Row],[I_L RMS]]^2*C_MOSFET_S_RDSON_H_BU*10^-3, (1-Table7[[#This Row],[Duty Cycle]])*Table7[[#This Row],[I_L RMS]]^2*C_MOSFET_S_RDSON_H_BO*10^-3)/10^-3</f>
        <v>0.44937346922001892</v>
      </c>
      <c r="BU164" s="145">
        <f>IF(VACnom&gt;Vbat, Table7[[#This Row],[PIV (mW) C]]+Table7[[#This Row],[PQoss (mW) C]]+Table7[[#This Row],[Pgate_top (mW) C]], Table7[[#This Row],[PRR (mW) C]]+Table7[[#This Row],[Pdead (mW) C]]+Table7[[#This Row],[Pgate_top (mW) C]])</f>
        <v>752.49950379838504</v>
      </c>
      <c r="BV164" s="145">
        <f>Table7[[#This Row],[Pcon_top (mW) C]]+Table7[[#This Row],[Psw_top (mW) C]]</f>
        <v>752.9488772676051</v>
      </c>
      <c r="BW164" s="145">
        <f>IF(VACnom&gt;Vbat, (1-Table7[[#This Row],[Duty Cycle]])*Table7[[#This Row],[I_L RMS]]^2*C_MOSFET_S_RDSON_L_BU*10^-3, Table7[[#This Row],[Duty Cycle]]*Table7[[#This Row],[I_L RMS]]^2*C_MOSFET_S_RDSON_L_BO*10^-3)/10^-3</f>
        <v>0.29382111449001236</v>
      </c>
      <c r="BX164" s="145">
        <f>IF(VACnom&gt;Vbat, Table7[[#This Row],[PRR (mW) C]]+Table7[[#This Row],[Pdead (mW) C]]+Table7[[#This Row],[Pgate_bottom (mW) C]], Table7[[#This Row],[PIV (mW) C]]+Table7[[#This Row],[PQoss (mW) C]]+Table7[[#This Row],[Pgate_bottom (mW) C]])</f>
        <v>1456.1377391304352</v>
      </c>
      <c r="BY164" s="145">
        <f>Table7[[#This Row],[Pcon_bottom (mW) C]]+Table7[[#This Row],[Psw_bottom (mV) C]]</f>
        <v>1456.4315602449251</v>
      </c>
      <c r="BZ164" s="145">
        <f>Table7[[#This Row],[Pbottom (mW) C]]+Table7[[#This Row],[Ptop (mW) C]]</f>
        <v>2209.3804375125301</v>
      </c>
      <c r="CA164" s="148"/>
      <c r="CB164" s="144">
        <f>(RAC_SNS*10^-3*(Table7[[#This Row],[IOUT (A)]]*Vbat/VACnom)^2/10^-3)</f>
        <v>15.875387523629492</v>
      </c>
      <c r="CC164" s="144">
        <f>(RBAT_SNS*10^-3*Table7[[#This Row],[IOUT (A)]]^2)/10^-3</f>
        <v>41.472000000000001</v>
      </c>
      <c r="CD164" s="144">
        <f>IF(VACnom&gt;Vbat,(L_DRC*10^-3*(Table7[[#This Row],[IOUT (A)]])^2/10^-3),(L_DRC*10^-3*(Table7[[#This Row],[IOUT (A)]]*Vbat/VACnom)^2/10^-3))</f>
        <v>41.472000000000001</v>
      </c>
      <c r="CE164" s="152"/>
      <c r="CF164" s="145">
        <f>(Table7[[#This Row],[R_AC (mW)]]+Table7[[#This Row],[R_SR (mW)]]+Table7[[#This Row],[Inductor Loss (mW)]])/10^3</f>
        <v>9.8819387523629496E-2</v>
      </c>
      <c r="CG164" s="145" t="e">
        <f ca="1">Table7[[#This Row],[Total TI (mW)]]/10^3</f>
        <v>#VALUE!</v>
      </c>
      <c r="CH164" s="145" t="e">
        <f ca="1">Table7[[#This Row],[Total Sense Loss]]+Table7[[#This Row],[Total MOSFET Loss]]</f>
        <v>#VALUE!</v>
      </c>
      <c r="CI164" s="149" t="e">
        <f ca="1">IF(Table7[[#This Row],[POUT (W)]]=0,0,(Table7[[#This Row],[POUT (W)]])/(Table7[[#This Row],[POUT (W)]]+Table7[[#This Row],[Total Power Loss (W)]]))*100</f>
        <v>#VALUE!</v>
      </c>
      <c r="CJ164" s="153"/>
      <c r="CK164" s="145">
        <f>(Table7[[#This Row],[R_AC (mW)]]+Table7[[#This Row],[R_SR (mW)]]+Table7[[#This Row],[Inductor Loss (mW)]])/10^3</f>
        <v>9.8819387523629496E-2</v>
      </c>
      <c r="CL164" s="145">
        <f>Table7[[#This Row],[Total (mW) C]]/10^3</f>
        <v>2.2093804375125301</v>
      </c>
      <c r="CM164" s="145">
        <f>Table7[[#This Row],[Total Sense Loss C]]+Table7[[#This Row],[Total MOSFET Loss C]]</f>
        <v>2.3081998250361595</v>
      </c>
      <c r="CN164" s="149">
        <f>IF(Table7[[#This Row],[POUT (W)]]=0,0,(Table7[[#This Row],[POUT (W)]])/(Table7[[#This Row],[POUT (W)]]+Table7[[#This Row],[Total Power Loss (W) C]]))*100</f>
        <v>97.8685447070376</v>
      </c>
      <c r="CO164" s="153"/>
      <c r="CP164" s="149">
        <f>IF(MOSFET_S=Custom_MOSFET,Table7[[#This Row],[Total Sense Loss C]],Table7[[#This Row],[Total Sense Loss]])</f>
        <v>9.8819387523629496E-2</v>
      </c>
      <c r="CQ164" s="149">
        <f>IF(MOSFET_S=Custom_MOSFET,Table7[[#This Row],[Total MOSFET Loss C]],Table7[[#This Row],[Total MOSFET Loss]])</f>
        <v>2.2093804375125301</v>
      </c>
      <c r="CR164" s="149">
        <f>IF(MOSFET_S=Custom_MOSFET,Table7[[#This Row],[Efficiency C]],Table7[[#This Row],[Efficiency]])</f>
        <v>97.8685447070376</v>
      </c>
      <c r="CS164" s="153"/>
      <c r="CT164" s="149">
        <f>IF(MOSFET_S=Compare_MOSFET, Table7[[#This Row],[Total Sense Loss C]], -100)</f>
        <v>-100</v>
      </c>
      <c r="CU164" s="149">
        <f>IF(MOSFET_S=Compare_MOSFET, Table7[[#This Row],[Total MOSFET Loss C]], -100)</f>
        <v>-100</v>
      </c>
      <c r="CV164" s="149">
        <f>IF(MOSFET_S=Compare_MOSFET, Table7[[#This Row],[Efficiency C]], -100)</f>
        <v>-100</v>
      </c>
      <c r="CW164" s="153"/>
      <c r="CX164" s="149">
        <f ca="1">IF(Save_Sel=CLR_Save,  Table7[[#This Row],[Total Sense Loss P1]], Table7[[#This Row],[Total Sense Loss P1 Saved]])</f>
        <v>9.8819387523629496E-2</v>
      </c>
      <c r="CY164" s="149">
        <f ca="1">IF(Save_Sel=CLR_Save,  Table7[[#This Row],[Total MOSFET Loss P1]], Table7[[#This Row],[Total MOSFET Loss P1 Saved]] )</f>
        <v>2.2093804375125301</v>
      </c>
      <c r="CZ164" s="149">
        <f ca="1">IF(Save_Sel=CLR_Save, Table7[[#This Row],[Efficiency P1]], Table7[[#This Row],[Efficiency P1 Saved]])</f>
        <v>97.8685447070376</v>
      </c>
      <c r="DA164" s="153"/>
      <c r="DB164" s="149">
        <f ca="1">IF(Save_Sel=CLR_Save,  Table7[[#This Row],[Total Sense Loss P2]], Table7[[#This Row],[Total Sense Loss P2 Saved]])</f>
        <v>-100</v>
      </c>
      <c r="DC164" s="149">
        <f ca="1">IF(Save_Sel=CLR_Save,  Table7[[#This Row],[Total MOSFET Loss P2]], Table7[[#This Row],[Total MOSFET Loss P2 Saved]] )</f>
        <v>-100</v>
      </c>
      <c r="DD164" s="149">
        <f ca="1">IF(Save_Sel=CLR_Save, Table7[[#This Row],[Efficiency P2]], Table7[[#This Row],[Efficiency P2 Saved]])</f>
        <v>-100</v>
      </c>
      <c r="DE164" s="153"/>
      <c r="DF164" s="19"/>
      <c r="DG164" s="19"/>
      <c r="DH164" s="19"/>
      <c r="DI164" s="19"/>
      <c r="DJ164" s="19"/>
      <c r="DK164" s="19"/>
      <c r="DL164" s="19"/>
      <c r="DM164" s="19"/>
      <c r="DN164" s="19"/>
      <c r="DO164" s="19"/>
      <c r="DP164" s="19"/>
      <c r="DQ164" s="19"/>
      <c r="DR164" s="19"/>
      <c r="DS164" s="19"/>
      <c r="DT164" s="19"/>
      <c r="DU164" s="19"/>
      <c r="DV164" s="19"/>
      <c r="DW164" s="19"/>
      <c r="DX164" s="19"/>
      <c r="DY164" s="19"/>
      <c r="DZ164" s="19"/>
      <c r="EA164" s="19"/>
      <c r="EB164" s="19"/>
      <c r="EC164" s="19"/>
      <c r="ED164" s="19"/>
      <c r="EE164" s="19"/>
      <c r="EF164" s="19"/>
      <c r="EG164" s="19"/>
      <c r="EH164" s="19"/>
      <c r="EI164" s="19"/>
      <c r="EJ164" s="19"/>
      <c r="EK164" s="19"/>
      <c r="EL164" s="19"/>
      <c r="EM164" s="19"/>
      <c r="EN164" s="19"/>
      <c r="EO164" s="19"/>
      <c r="EP164" s="19"/>
      <c r="EQ164" s="19"/>
      <c r="ER164" s="19"/>
      <c r="ES164" s="19"/>
      <c r="ET164" s="19"/>
      <c r="EU164" s="19"/>
      <c r="EV164" s="19"/>
      <c r="EW164" s="19"/>
      <c r="EX164" s="19"/>
      <c r="EY164" s="19"/>
      <c r="EZ164" s="19"/>
      <c r="FA164" s="19"/>
      <c r="FB164" s="19"/>
      <c r="FC164" s="19"/>
      <c r="FD164" s="19"/>
      <c r="FE164" s="19"/>
      <c r="FF164" s="19"/>
      <c r="FG164" s="19"/>
      <c r="FH164" s="19"/>
      <c r="FI164" s="19"/>
    </row>
    <row r="165" spans="1:165" x14ac:dyDescent="0.25">
      <c r="A165" s="48">
        <v>4</v>
      </c>
      <c r="B165" s="49"/>
      <c r="C165" s="49"/>
      <c r="D165" s="32" t="s">
        <v>260</v>
      </c>
      <c r="E165" s="66" t="str">
        <f>IF( VGS_S=Vgs_4P5,TI_QG_4P5_H_BU, IF(VGS_S=Vgs_10, TI_QG_10_H_BU, IF( AND(VGS_S=Vgs_C, ISNUMBER(TI_QG_C_H_BU)), TI_QG_C_H_BU, "ERROR" )))</f>
        <v>ERROR</v>
      </c>
      <c r="F165" s="66" t="str">
        <f>IF( VGS_S=Vgs_4P5,TI_QG_4P5_L_BU, IF(VGS_S=Vgs_10, TI_QG_10_L_BU, IF( AND(VGS_S=Vgs_C, ISNUMBER(TI_QG_C_L_BU)), TI_QG_C_L_BU, "ERROR" )))</f>
        <v>ERROR</v>
      </c>
      <c r="G165" s="42" t="s">
        <v>140</v>
      </c>
      <c r="H165" s="29"/>
      <c r="I165" s="48">
        <v>4</v>
      </c>
      <c r="J165" s="29"/>
      <c r="K165" s="49"/>
      <c r="L165" s="49"/>
      <c r="M165" s="32" t="s">
        <v>139</v>
      </c>
      <c r="N165" s="66">
        <f>IF( VGS_S=Vgs_4P5,C_QG_4P5_H_BU, IF(VGS_S=Vgs_10, C_QG_10_H_BU, IF( AND(VGS_S=Vgs_C, ISNUMBER(C_QG_C_H_BU)), C_QG_C_H_BU, "ERROR" )))</f>
        <v>48.6</v>
      </c>
      <c r="O165" s="66">
        <f>IF( VGS_S=Vgs_4P5,C_QG_4P5_L_BU, IF(VGS_S=Vgs_10, C_QG_10_L_BU, IF( AND(VGS_S=Vgs_C, ISNUMBER(C_QG_C_L_BU)), C_QG_C_L_BU, "ERROR" )))</f>
        <v>48.6</v>
      </c>
      <c r="P165" s="42" t="s">
        <v>140</v>
      </c>
      <c r="Q165" s="29"/>
      <c r="R165" s="29"/>
      <c r="S165" s="30"/>
      <c r="T165" s="18"/>
      <c r="U165" s="19"/>
      <c r="V165" s="19"/>
      <c r="W165" s="19"/>
      <c r="X165" s="19"/>
      <c r="Y165" s="19"/>
      <c r="Z165" s="19"/>
      <c r="AA165" s="19"/>
      <c r="AB165" s="19"/>
      <c r="AC165" s="19"/>
      <c r="AD165" s="19"/>
      <c r="AE165" s="19"/>
      <c r="AF165" s="143">
        <f t="shared" si="17"/>
        <v>9</v>
      </c>
      <c r="AG165" s="143">
        <f t="shared" si="16"/>
        <v>3.24</v>
      </c>
      <c r="AH165" s="144">
        <f t="shared" si="3"/>
        <v>119.232</v>
      </c>
      <c r="AI165" s="145">
        <f t="shared" si="4"/>
        <v>0.97826086956521752</v>
      </c>
      <c r="AJ165" s="145">
        <f t="shared" si="5"/>
        <v>3.1695652173913049</v>
      </c>
      <c r="AK165" s="145">
        <f t="shared" si="6"/>
        <v>0.39130434782608459</v>
      </c>
      <c r="AL165" s="145">
        <f t="shared" si="7"/>
        <v>3.1715774610881606</v>
      </c>
      <c r="AM165" s="146"/>
      <c r="AN165" s="145">
        <f>MAX(0,Table7[[#This Row],[I_L]]-0.5*Table7[[#This Row],[I_L pkpk]])</f>
        <v>2.9739130434782628</v>
      </c>
      <c r="AO165" s="145">
        <f>Table7[[#This Row],[I_L]]+0.5*Table7[[#This Row],[I_L pkpk]]</f>
        <v>3.365217391304347</v>
      </c>
      <c r="AP165" s="145">
        <f ca="1">IF(VACnom&gt;Vbat, (VGS_S-(TI_MOSFET_S_VTH_H_BU+Table7[[#This Row],[I_L]]/TI_MOSFET_S_gFS_H_BU))/3.4, (VGS_S-(TI_MOSFET_S_VTH_L_BO+Table7[[#This Row],[I_L]]/TI_MOSFET_S_gFS_L_BO))/3.4 )</f>
        <v>3.007534920322644</v>
      </c>
      <c r="AQ165" s="145">
        <f ca="1">IF(VACnom&gt;Vbat, ((TI_MOSFET_S_VTH_H_BU+Table7[[#This Row],[I_L]]/TI_MOSFET_S_gFS_H_BU))/1, ((TI_MOSFET_S_VTH_L_BO+Table7[[#This Row],[I_L]]/TI_MOSFET_S_gFS_L_BO))/1 )</f>
        <v>1.77438127090301</v>
      </c>
      <c r="AR165" s="145">
        <f ca="1">IF(VACnom&gt;Vbat, (TI_MOSFET_S_QGD_H_BU+TI_MOSFET_S_QGS_H_BU)*10^-9/Table7[[#This Row],[Ion (A)]], (TI_MOSFET_S_QGD_L_BO+TI_MOSFET_S_QGS_L_BO)*10^-9/Table7[[#This Row],[Ion (A)]])/10^-9</f>
        <v>9.5759486632695126</v>
      </c>
      <c r="AS165" s="145">
        <f ca="1">IF(VACnom&gt;Vbat, (TI_MOSFET_S_QGD_H_BU+TI_MOSFET_S_QGS_H_BU)*10^-9/Table7[[#This Row],[Ioff (A)]], (TI_MOSFET_S_QGD_L_BO+TI_MOSFET_S_QGS_L_BO)*10^-9/Table7[[#This Row],[Ioff (A)]])/10^-9</f>
        <v>16.231009914426814</v>
      </c>
      <c r="AT165" s="145">
        <f ca="1" xml:space="preserve"> 0.5*VACnom*Table7[[#This Row],[Ivalley (A)]]*Table7[[#This Row],[ton (ns)]]*10^-9*Fsw*10^3+0.5*VACnom*Table7[[#This Row],[Ipeak (A)]]*Table7[[#This Row],[toff (ns)]]*10^-9*Fsw*10^3/10^-3</f>
        <v>201.10962596243252</v>
      </c>
      <c r="AU165" s="145">
        <f t="shared" ca="1" si="8"/>
        <v>268.64000000000004</v>
      </c>
      <c r="AV165" s="145" t="e">
        <f t="shared" si="9"/>
        <v>#VALUE!</v>
      </c>
      <c r="AW165" s="145">
        <f t="shared" ca="1" si="10"/>
        <v>566.72000000000025</v>
      </c>
      <c r="AX165" s="145">
        <f ca="1">IF(VACnom&gt;Vbat, TI_MOSFET_S_VSD_L_BU*Table7[[#This Row],[Ivalley (A)]]*Fsw*10^3*40*10^-9+TI_MOSFET_S_VSD_L_BU*Table7[[#This Row],[Ipeak (A)]]*Fsw*10^3*30*10^-9, TI_MOSFET_S_VSD_H_BO*Table7[[#This Row],[Ivalley (A)]]*Fsw*10^3*40*10^-9+TI_MOSFET_S_VSD_H_BO*Table7[[#This Row],[Ipeak (A)]]*Fsw*10^3*30*10^-9)/10^-3</f>
        <v>31.667478260869583</v>
      </c>
      <c r="AY165" s="145" t="e">
        <f t="shared" si="11"/>
        <v>#VALUE!</v>
      </c>
      <c r="AZ165" s="145" t="e">
        <f>IF(VACnom&lt;Vbat, Table7[[#This Row],[Duty Cycle]]*Table7[[#This Row],[I_L RMS]]^2*TI_MOSFET_S_RDSON_H_BU*10^-3, (1-Table7[[#This Row],[Duty Cycle]])*Table7[[#This Row],[I_L RMS]]^2*TI_MOSFET_S_RDSON_H_BO*10^-3)/10^-3</f>
        <v>#VALUE!</v>
      </c>
      <c r="BA165" s="145" t="e">
        <f ca="1">IF(VACnom&gt;Vbat, Table7[[#This Row],[PIV (mW)]]+Table7[[#This Row],[Pqoss (mW)]]+Table7[[#This Row],[Pgate_top (mW)]], Table7[[#This Row],[PRR (mW)]]+Table7[[#This Row],[Pdead (mW)]]+Table7[[#This Row],[Pgate_top (mW)]])</f>
        <v>#VALUE!</v>
      </c>
      <c r="BB165" s="145" t="e">
        <f ca="1">Table7[[#This Row],[Pcon_top (mW)]]+Table7[[#This Row],[Psw_top (mW)]]</f>
        <v>#VALUE!</v>
      </c>
      <c r="BC165" s="145" t="e">
        <f>IF(VACnom&gt;Vbat, (1-Table7[[#This Row],[Duty Cycle]])*Table7[[#This Row],[I_L RMS]]^2*TI_MOSFET_S_RDSON_L_BU*10^-3, Table7[[#This Row],[Duty Cycle]]*Table7[[#This Row],[I_L RMS]]^2*TI_MOSFET_S_RDSON_L_BO*10^-3)/10^-3</f>
        <v>#VALUE!</v>
      </c>
      <c r="BD165" s="145" t="e">
        <f ca="1">IF(VACnom&gt;Vbat, Table7[[#This Row],[PRR (mW)]]+Table7[[#This Row],[Pdead (mW)]]+Table7[[#This Row],[Pgate_bottom (mW)]], Table7[[#This Row],[PIV (mW)]]+Table7[[#This Row],[Pqoss (mW)]]+Table7[[#This Row],[Pgate_bottom (mW)]])</f>
        <v>#VALUE!</v>
      </c>
      <c r="BE165" s="147" t="e">
        <f ca="1">Table7[[#This Row],[Pcon_bottom (mW)]]+Table7[[#This Row],[Psw_bottom (mW)]]</f>
        <v>#VALUE!</v>
      </c>
      <c r="BF165" s="145" t="e">
        <f ca="1">Table7[[#This Row],[Pbottom (mW)]]+Table7[[#This Row],[Ptop (mW)]]</f>
        <v>#VALUE!</v>
      </c>
      <c r="BG165" s="142"/>
      <c r="BH165" s="145">
        <f>MAX(0,Table7[[#This Row],[I_L]]-0.5*Table7[[#This Row],[I_L pkpk]])</f>
        <v>2.9739130434782628</v>
      </c>
      <c r="BI165" s="145">
        <f>Table7[[#This Row],[I_L]]+0.5*Table7[[#This Row],[I_L pkpk]]</f>
        <v>3.365217391304347</v>
      </c>
      <c r="BJ165" s="145">
        <f>IF(VACnom&gt;Vbat, (VGS_S-(C_MOSFET_S_VTH_H_BU+Table7[[#This Row],[I_L]]/C_MOSFET_S_gFS_H_BU))/3.4, (VGS_S-(C_MOSFET_S_VTH_L_BO+Table7[[#This Row],[I_L]]/C_MOSFET_S_gFS_L_BO))/3.4 )</f>
        <v>2.9625518123291297</v>
      </c>
      <c r="BK165" s="145">
        <f>IF(VACnom&gt;Vbat, ((C_MOSFET_S_VTH_H_BU+Table7[[#This Row],[I_L]]/C_MOSFET_S_gFS_H_BU))/1, ((C_MOSFET_S_VTH_L_BO+Table7[[#This Row],[I_L]]/C_MOSFET_S_gFS_L_BO))/1 )</f>
        <v>1.9273238380809594</v>
      </c>
      <c r="BL165" s="145">
        <f>IF(VACnom&gt;Vbat, (C_MOSFET_S_QGD_H_BU+C_MOSFET_S_QGS_H_BU)*10^-9/Table7[[#This Row],[Ion (A) C]], (C_MOSFET_S_QGD_L_BO+C_MOSFET_S_QGS_L_BO)*10^-9/Table7[[#This Row],[Ion (A) C]])/10^-9</f>
        <v>5.2319760064597984</v>
      </c>
      <c r="BM165" s="145">
        <f>IF(VACnom&gt;Vbat, (C_MOSFET_S_QGD_H_BU+C_MOSFET_S_QGS_H_BU)*10^-9/Table7[[#This Row],[Ioff (A) C]], (C_MOSFET_S_QGD_L_BO+C_MOSFET_S_QGS_L_BO)*10^-9/Table7[[#This Row],[Ioff (A) C]])/10^-9</f>
        <v>8.0422395519340348</v>
      </c>
      <c r="BN165" s="145">
        <f xml:space="preserve"> 0.5*VACnom*Table7[[#This Row],[Ivalley (A) C]]*Table7[[#This Row],[ton (ns) C]]*10^-9*Fsw*10^3+0.5*VACnom*Table7[[#This Row],[Ipeak (A) C]]*Table7[[#This Row],[toff (ns) C]]*10^-9*Fsw*10^3/10^-3</f>
        <v>99.652353356565797</v>
      </c>
      <c r="BO165" s="145">
        <f t="shared" si="12"/>
        <v>305.44000000000011</v>
      </c>
      <c r="BP165" s="145">
        <f t="shared" si="13"/>
        <v>357.69600000000014</v>
      </c>
      <c r="BQ165" s="145">
        <f t="shared" si="14"/>
        <v>1067.2000000000003</v>
      </c>
      <c r="BR165" s="145">
        <f>IF(VACnom&gt;Vbat, C_MOSFET_S_VSD_L_BU*Table7[[#This Row],[Ivalley (A) C]]*Fsw*10^3*40*10^-9+C_MOSFET_S_VSD_L_BU*Table7[[#This Row],[Ipeak (A) C]]*Fsw*10^3*30*10^-9, C_MOSFET_S_VSD_H_BO*Table7[[#This Row],[Ivalley (A) C]]*Fsw*10^3*40*10^-9+C_MOSFET_S_VSD_H_BO*Table7[[#This Row],[Ipeak (A) C]]*Fsw*10^3*30*10^-9)/10^-3</f>
        <v>35.186086956521763</v>
      </c>
      <c r="BS165" s="145">
        <f t="shared" si="15"/>
        <v>357.69600000000014</v>
      </c>
      <c r="BT165" s="145">
        <f>IF(VACnom&lt;Vbat, Table7[[#This Row],[Duty Cycle]]*Table7[[#This Row],[I_L RMS]]^2*C_MOSFET_S_RDSON_H_BU*10^-3, (1-Table7[[#This Row],[Duty Cycle]])*Table7[[#This Row],[I_L RMS]]^2*C_MOSFET_S_RDSON_H_BO*10^-3)/10^-3</f>
        <v>0.5685467247472642</v>
      </c>
      <c r="BU165" s="145">
        <f>IF(VACnom&gt;Vbat, Table7[[#This Row],[PIV (mW) C]]+Table7[[#This Row],[PQoss (mW) C]]+Table7[[#This Row],[Pgate_top (mW) C]], Table7[[#This Row],[PRR (mW) C]]+Table7[[#This Row],[Pdead (mW) C]]+Table7[[#This Row],[Pgate_top (mW) C]])</f>
        <v>762.78835335656606</v>
      </c>
      <c r="BV165" s="145">
        <f>Table7[[#This Row],[Pcon_top (mW) C]]+Table7[[#This Row],[Psw_top (mW) C]]</f>
        <v>763.35690008131337</v>
      </c>
      <c r="BW165" s="145">
        <f>IF(VACnom&gt;Vbat, (1-Table7[[#This Row],[Duty Cycle]])*Table7[[#This Row],[I_L RMS]]^2*C_MOSFET_S_RDSON_L_BU*10^-3, Table7[[#This Row],[Duty Cycle]]*Table7[[#This Row],[I_L RMS]]^2*C_MOSFET_S_RDSON_L_BO*10^-3)/10^-3</f>
        <v>0.37174208925782654</v>
      </c>
      <c r="BX165" s="145">
        <f>IF(VACnom&gt;Vbat, Table7[[#This Row],[PRR (mW) C]]+Table7[[#This Row],[Pdead (mW) C]]+Table7[[#This Row],[Pgate_bottom (mW) C]], Table7[[#This Row],[PIV (mW) C]]+Table7[[#This Row],[PQoss (mW) C]]+Table7[[#This Row],[Pgate_bottom (mW) C]])</f>
        <v>1460.0820869565221</v>
      </c>
      <c r="BY165" s="145">
        <f>Table7[[#This Row],[Pcon_bottom (mW) C]]+Table7[[#This Row],[Psw_bottom (mV) C]]</f>
        <v>1460.4538290457799</v>
      </c>
      <c r="BZ165" s="145">
        <f>Table7[[#This Row],[Pbottom (mW) C]]+Table7[[#This Row],[Ptop (mW) C]]</f>
        <v>2223.8107291270935</v>
      </c>
      <c r="CA165" s="148"/>
      <c r="CB165" s="144">
        <f>(RAC_SNS*10^-3*(Table7[[#This Row],[IOUT (A)]]*Vbat/VACnom)^2/10^-3)</f>
        <v>20.092287334593578</v>
      </c>
      <c r="CC165" s="144">
        <f>(RBAT_SNS*10^-3*Table7[[#This Row],[IOUT (A)]]^2)/10^-3</f>
        <v>52.488000000000014</v>
      </c>
      <c r="CD165" s="144">
        <f>IF(VACnom&gt;Vbat,(L_DRC*10^-3*(Table7[[#This Row],[IOUT (A)]])^2/10^-3),(L_DRC*10^-3*(Table7[[#This Row],[IOUT (A)]]*Vbat/VACnom)^2/10^-3))</f>
        <v>52.488000000000014</v>
      </c>
      <c r="CE165" s="152"/>
      <c r="CF165" s="145">
        <f>(Table7[[#This Row],[R_AC (mW)]]+Table7[[#This Row],[R_SR (mW)]]+Table7[[#This Row],[Inductor Loss (mW)]])/10^3</f>
        <v>0.1250682873345936</v>
      </c>
      <c r="CG165" s="145" t="e">
        <f ca="1">Table7[[#This Row],[Total TI (mW)]]/10^3</f>
        <v>#VALUE!</v>
      </c>
      <c r="CH165" s="145" t="e">
        <f ca="1">Table7[[#This Row],[Total Sense Loss]]+Table7[[#This Row],[Total MOSFET Loss]]</f>
        <v>#VALUE!</v>
      </c>
      <c r="CI165" s="149" t="e">
        <f ca="1">IF(Table7[[#This Row],[POUT (W)]]=0,0,(Table7[[#This Row],[POUT (W)]])/(Table7[[#This Row],[POUT (W)]]+Table7[[#This Row],[Total Power Loss (W)]]))*100</f>
        <v>#VALUE!</v>
      </c>
      <c r="CJ165" s="153"/>
      <c r="CK165" s="145">
        <f>(Table7[[#This Row],[R_AC (mW)]]+Table7[[#This Row],[R_SR (mW)]]+Table7[[#This Row],[Inductor Loss (mW)]])/10^3</f>
        <v>0.1250682873345936</v>
      </c>
      <c r="CL165" s="145">
        <f>Table7[[#This Row],[Total (mW) C]]/10^3</f>
        <v>2.2238107291270937</v>
      </c>
      <c r="CM165" s="145">
        <f>Table7[[#This Row],[Total Sense Loss C]]+Table7[[#This Row],[Total MOSFET Loss C]]</f>
        <v>2.3488790164616873</v>
      </c>
      <c r="CN165" s="149">
        <f>IF(Table7[[#This Row],[POUT (W)]]=0,0,(Table7[[#This Row],[POUT (W)]])/(Table7[[#This Row],[POUT (W)]]+Table7[[#This Row],[Total Power Loss (W) C]]))*100</f>
        <v>98.06805228300442</v>
      </c>
      <c r="CO165" s="153"/>
      <c r="CP165" s="149">
        <f>IF(MOSFET_S=Custom_MOSFET,Table7[[#This Row],[Total Sense Loss C]],Table7[[#This Row],[Total Sense Loss]])</f>
        <v>0.1250682873345936</v>
      </c>
      <c r="CQ165" s="149">
        <f>IF(MOSFET_S=Custom_MOSFET,Table7[[#This Row],[Total MOSFET Loss C]],Table7[[#This Row],[Total MOSFET Loss]])</f>
        <v>2.2238107291270937</v>
      </c>
      <c r="CR165" s="149">
        <f>IF(MOSFET_S=Custom_MOSFET,Table7[[#This Row],[Efficiency C]],Table7[[#This Row],[Efficiency]])</f>
        <v>98.06805228300442</v>
      </c>
      <c r="CS165" s="153"/>
      <c r="CT165" s="149">
        <f>IF(MOSFET_S=Compare_MOSFET, Table7[[#This Row],[Total Sense Loss C]], -100)</f>
        <v>-100</v>
      </c>
      <c r="CU165" s="149">
        <f>IF(MOSFET_S=Compare_MOSFET, Table7[[#This Row],[Total MOSFET Loss C]], -100)</f>
        <v>-100</v>
      </c>
      <c r="CV165" s="149">
        <f>IF(MOSFET_S=Compare_MOSFET, Table7[[#This Row],[Efficiency C]], -100)</f>
        <v>-100</v>
      </c>
      <c r="CW165" s="153"/>
      <c r="CX165" s="149">
        <f ca="1">IF(Save_Sel=CLR_Save,  Table7[[#This Row],[Total Sense Loss P1]], Table7[[#This Row],[Total Sense Loss P1 Saved]])</f>
        <v>0.1250682873345936</v>
      </c>
      <c r="CY165" s="149">
        <f ca="1">IF(Save_Sel=CLR_Save,  Table7[[#This Row],[Total MOSFET Loss P1]], Table7[[#This Row],[Total MOSFET Loss P1 Saved]] )</f>
        <v>2.2238107291270937</v>
      </c>
      <c r="CZ165" s="149">
        <f ca="1">IF(Save_Sel=CLR_Save, Table7[[#This Row],[Efficiency P1]], Table7[[#This Row],[Efficiency P1 Saved]])</f>
        <v>98.06805228300442</v>
      </c>
      <c r="DA165" s="153"/>
      <c r="DB165" s="149">
        <f ca="1">IF(Save_Sel=CLR_Save,  Table7[[#This Row],[Total Sense Loss P2]], Table7[[#This Row],[Total Sense Loss P2 Saved]])</f>
        <v>-100</v>
      </c>
      <c r="DC165" s="149">
        <f ca="1">IF(Save_Sel=CLR_Save,  Table7[[#This Row],[Total MOSFET Loss P2]], Table7[[#This Row],[Total MOSFET Loss P2 Saved]] )</f>
        <v>-100</v>
      </c>
      <c r="DD165" s="149">
        <f ca="1">IF(Save_Sel=CLR_Save, Table7[[#This Row],[Efficiency P2]], Table7[[#This Row],[Efficiency P2 Saved]])</f>
        <v>-100</v>
      </c>
      <c r="DE165" s="153"/>
      <c r="DF165" s="19"/>
      <c r="DG165" s="19"/>
      <c r="DH165" s="19"/>
      <c r="DI165" s="19"/>
      <c r="DJ165" s="19"/>
      <c r="DK165" s="19"/>
      <c r="DL165" s="19"/>
      <c r="DM165" s="19"/>
      <c r="DN165" s="19"/>
      <c r="DO165" s="19"/>
      <c r="DP165" s="19"/>
      <c r="DQ165" s="19"/>
      <c r="DR165" s="19"/>
      <c r="DS165" s="19"/>
      <c r="DT165" s="19"/>
      <c r="DU165" s="19"/>
      <c r="DV165" s="19"/>
      <c r="DW165" s="19"/>
      <c r="DX165" s="19"/>
      <c r="DY165" s="19"/>
      <c r="DZ165" s="19"/>
      <c r="EA165" s="19"/>
      <c r="EB165" s="19"/>
      <c r="EC165" s="19"/>
      <c r="ED165" s="19"/>
      <c r="EE165" s="19"/>
      <c r="EF165" s="19"/>
      <c r="EG165" s="19"/>
      <c r="EH165" s="19"/>
      <c r="EI165" s="19"/>
      <c r="EJ165" s="19"/>
      <c r="EK165" s="19"/>
      <c r="EL165" s="19"/>
      <c r="EM165" s="19"/>
      <c r="EN165" s="19"/>
      <c r="EO165" s="19"/>
      <c r="EP165" s="19"/>
      <c r="EQ165" s="19"/>
      <c r="ER165" s="19"/>
      <c r="ES165" s="19"/>
      <c r="ET165" s="19"/>
      <c r="EU165" s="19"/>
      <c r="EV165" s="19"/>
      <c r="EW165" s="19"/>
      <c r="EX165" s="19"/>
      <c r="EY165" s="19"/>
      <c r="EZ165" s="19"/>
      <c r="FA165" s="19"/>
      <c r="FB165" s="19"/>
      <c r="FC165" s="19"/>
      <c r="FD165" s="19"/>
      <c r="FE165" s="19"/>
      <c r="FF165" s="19"/>
      <c r="FG165" s="19"/>
      <c r="FH165" s="19"/>
      <c r="FI165" s="19"/>
    </row>
    <row r="166" spans="1:165" x14ac:dyDescent="0.25">
      <c r="A166" s="48">
        <v>7</v>
      </c>
      <c r="B166" s="49"/>
      <c r="C166" s="49"/>
      <c r="D166" s="32" t="s">
        <v>143</v>
      </c>
      <c r="E166" s="66">
        <f ca="1">TI_QGD_H_BU</f>
        <v>8.8000000000000007</v>
      </c>
      <c r="F166" s="66">
        <f ca="1">TI_QGD_L_BU</f>
        <v>8.8000000000000007</v>
      </c>
      <c r="G166" s="42" t="s">
        <v>140</v>
      </c>
      <c r="H166" s="29"/>
      <c r="I166" s="48">
        <v>7</v>
      </c>
      <c r="J166" s="29"/>
      <c r="K166" s="49"/>
      <c r="L166" s="49"/>
      <c r="M166" s="32" t="s">
        <v>143</v>
      </c>
      <c r="N166" s="117">
        <f t="shared" ref="N166:N172" si="18">$E123</f>
        <v>6.7</v>
      </c>
      <c r="O166" s="117">
        <f t="shared" ref="O166:O174" si="19">$F123</f>
        <v>6.7</v>
      </c>
      <c r="P166" s="42" t="s">
        <v>140</v>
      </c>
      <c r="Q166" s="29"/>
      <c r="R166" s="29"/>
      <c r="S166" s="30"/>
      <c r="T166" s="18"/>
      <c r="U166" s="19"/>
      <c r="V166" s="19"/>
      <c r="W166" s="19"/>
      <c r="X166" s="19"/>
      <c r="Y166" s="19"/>
      <c r="Z166" s="19"/>
      <c r="AA166" s="19"/>
      <c r="AB166" s="19"/>
      <c r="AC166" s="19"/>
      <c r="AD166" s="19"/>
      <c r="AE166" s="19"/>
      <c r="AF166" s="143">
        <f t="shared" si="17"/>
        <v>10</v>
      </c>
      <c r="AG166" s="143">
        <f t="shared" si="16"/>
        <v>3.6</v>
      </c>
      <c r="AH166" s="144">
        <f t="shared" si="3"/>
        <v>132.47999999999999</v>
      </c>
      <c r="AI166" s="145">
        <f t="shared" si="4"/>
        <v>0.97826086956521752</v>
      </c>
      <c r="AJ166" s="145">
        <f t="shared" si="5"/>
        <v>3.5217391304347831</v>
      </c>
      <c r="AK166" s="145">
        <f t="shared" si="6"/>
        <v>0.39130434782608459</v>
      </c>
      <c r="AL166" s="145">
        <f t="shared" si="7"/>
        <v>3.5235502589322003</v>
      </c>
      <c r="AM166" s="146"/>
      <c r="AN166" s="145">
        <f>MAX(0,Table7[[#This Row],[I_L]]-0.5*Table7[[#This Row],[I_L pkpk]])</f>
        <v>3.326086956521741</v>
      </c>
      <c r="AO166" s="145">
        <f>Table7[[#This Row],[I_L]]+0.5*Table7[[#This Row],[I_L pkpk]]</f>
        <v>3.7173913043478253</v>
      </c>
      <c r="AP166" s="145">
        <f ca="1">IF(VACnom&gt;Vbat, (VGS_S-(TI_MOSFET_S_VTH_H_BU+Table7[[#This Row],[I_L]]/TI_MOSFET_S_gFS_H_BU))/3.4, (VGS_S-(TI_MOSFET_S_VTH_L_BO+Table7[[#This Row],[I_L]]/TI_MOSFET_S_gFS_L_BO))/3.4 )</f>
        <v>3.0067381467637224</v>
      </c>
      <c r="AQ166" s="145">
        <f ca="1">IF(VACnom&gt;Vbat, ((TI_MOSFET_S_VTH_H_BU+Table7[[#This Row],[I_L]]/TI_MOSFET_S_gFS_H_BU))/1, ((TI_MOSFET_S_VTH_L_BO+Table7[[#This Row],[I_L]]/TI_MOSFET_S_gFS_L_BO))/1 )</f>
        <v>1.7770903010033445</v>
      </c>
      <c r="AR166" s="145">
        <f ca="1">IF(VACnom&gt;Vbat, (TI_MOSFET_S_QGD_H_BU+TI_MOSFET_S_QGS_H_BU)*10^-9/Table7[[#This Row],[Ion (A)]], (TI_MOSFET_S_QGD_L_BO+TI_MOSFET_S_QGS_L_BO)*10^-9/Table7[[#This Row],[Ion (A)]])/10^-9</f>
        <v>9.5784862512881741</v>
      </c>
      <c r="AS166" s="145">
        <f ca="1">IF(VACnom&gt;Vbat, (TI_MOSFET_S_QGD_H_BU+TI_MOSFET_S_QGS_H_BU)*10^-9/Table7[[#This Row],[Ioff (A)]], (TI_MOSFET_S_QGD_L_BO+TI_MOSFET_S_QGS_L_BO)*10^-9/Table7[[#This Row],[Ioff (A)]])/10^-9</f>
        <v>16.206267055613061</v>
      </c>
      <c r="AT166" s="145">
        <f ca="1" xml:space="preserve"> 0.5*VACnom*Table7[[#This Row],[Ivalley (A)]]*Table7[[#This Row],[ton (ns)]]*10^-9*Fsw*10^3+0.5*VACnom*Table7[[#This Row],[Ipeak (A)]]*Table7[[#This Row],[toff (ns)]]*10^-9*Fsw*10^3/10^-3</f>
        <v>221.81897399250244</v>
      </c>
      <c r="AU166" s="145">
        <f t="shared" ca="1" si="8"/>
        <v>268.64000000000004</v>
      </c>
      <c r="AV166" s="145" t="e">
        <f t="shared" si="9"/>
        <v>#VALUE!</v>
      </c>
      <c r="AW166" s="145">
        <f t="shared" ca="1" si="10"/>
        <v>566.72000000000025</v>
      </c>
      <c r="AX166" s="145">
        <f ca="1">IF(VACnom&gt;Vbat, TI_MOSFET_S_VSD_L_BU*Table7[[#This Row],[Ivalley (A)]]*Fsw*10^3*40*10^-9+TI_MOSFET_S_VSD_L_BU*Table7[[#This Row],[Ipeak (A)]]*Fsw*10^3*30*10^-9, TI_MOSFET_S_VSD_H_BO*Table7[[#This Row],[Ivalley (A)]]*Fsw*10^3*40*10^-9+TI_MOSFET_S_VSD_H_BO*Table7[[#This Row],[Ipeak (A)]]*Fsw*10^3*30*10^-9)/10^-3</f>
        <v>35.217391304347835</v>
      </c>
      <c r="AY166" s="145" t="e">
        <f t="shared" si="11"/>
        <v>#VALUE!</v>
      </c>
      <c r="AZ166" s="145" t="e">
        <f>IF(VACnom&lt;Vbat, Table7[[#This Row],[Duty Cycle]]*Table7[[#This Row],[I_L RMS]]^2*TI_MOSFET_S_RDSON_H_BU*10^-3, (1-Table7[[#This Row],[Duty Cycle]])*Table7[[#This Row],[I_L RMS]]^2*TI_MOSFET_S_RDSON_H_BO*10^-3)/10^-3</f>
        <v>#VALUE!</v>
      </c>
      <c r="BA166" s="145" t="e">
        <f ca="1">IF(VACnom&gt;Vbat, Table7[[#This Row],[PIV (mW)]]+Table7[[#This Row],[Pqoss (mW)]]+Table7[[#This Row],[Pgate_top (mW)]], Table7[[#This Row],[PRR (mW)]]+Table7[[#This Row],[Pdead (mW)]]+Table7[[#This Row],[Pgate_top (mW)]])</f>
        <v>#VALUE!</v>
      </c>
      <c r="BB166" s="145" t="e">
        <f ca="1">Table7[[#This Row],[Pcon_top (mW)]]+Table7[[#This Row],[Psw_top (mW)]]</f>
        <v>#VALUE!</v>
      </c>
      <c r="BC166" s="145" t="e">
        <f>IF(VACnom&gt;Vbat, (1-Table7[[#This Row],[Duty Cycle]])*Table7[[#This Row],[I_L RMS]]^2*TI_MOSFET_S_RDSON_L_BU*10^-3, Table7[[#This Row],[Duty Cycle]]*Table7[[#This Row],[I_L RMS]]^2*TI_MOSFET_S_RDSON_L_BO*10^-3)/10^-3</f>
        <v>#VALUE!</v>
      </c>
      <c r="BD166" s="145" t="e">
        <f ca="1">IF(VACnom&gt;Vbat, Table7[[#This Row],[PRR (mW)]]+Table7[[#This Row],[Pdead (mW)]]+Table7[[#This Row],[Pgate_bottom (mW)]], Table7[[#This Row],[PIV (mW)]]+Table7[[#This Row],[Pqoss (mW)]]+Table7[[#This Row],[Pgate_bottom (mW)]])</f>
        <v>#VALUE!</v>
      </c>
      <c r="BE166" s="147" t="e">
        <f ca="1">Table7[[#This Row],[Pcon_bottom (mW)]]+Table7[[#This Row],[Psw_bottom (mW)]]</f>
        <v>#VALUE!</v>
      </c>
      <c r="BF166" s="145" t="e">
        <f ca="1">Table7[[#This Row],[Pbottom (mW)]]+Table7[[#This Row],[Ptop (mW)]]</f>
        <v>#VALUE!</v>
      </c>
      <c r="BG166" s="142"/>
      <c r="BH166" s="145">
        <f>MAX(0,Table7[[#This Row],[I_L]]-0.5*Table7[[#This Row],[I_L pkpk]])</f>
        <v>3.326086956521741</v>
      </c>
      <c r="BI166" s="145">
        <f>Table7[[#This Row],[I_L]]+0.5*Table7[[#This Row],[I_L pkpk]]</f>
        <v>3.7173913043478253</v>
      </c>
      <c r="BJ166" s="145">
        <f>IF(VACnom&gt;Vbat, (VGS_S-(C_MOSFET_S_VTH_H_BU+Table7[[#This Row],[I_L]]/C_MOSFET_S_gFS_H_BU))/3.4, (VGS_S-(C_MOSFET_S_VTH_L_BO+Table7[[#This Row],[I_L]]/C_MOSFET_S_gFS_L_BO))/3.4 )</f>
        <v>2.961658876444131</v>
      </c>
      <c r="BK166" s="145">
        <f>IF(VACnom&gt;Vbat, ((C_MOSFET_S_VTH_H_BU+Table7[[#This Row],[I_L]]/C_MOSFET_S_gFS_H_BU))/1, ((C_MOSFET_S_VTH_L_BO+Table7[[#This Row],[I_L]]/C_MOSFET_S_gFS_L_BO))/1 )</f>
        <v>1.930359820089955</v>
      </c>
      <c r="BL166" s="145">
        <f>IF(VACnom&gt;Vbat, (C_MOSFET_S_QGD_H_BU+C_MOSFET_S_QGS_H_BU)*10^-9/Table7[[#This Row],[Ion (A) C]], (C_MOSFET_S_QGD_L_BO+C_MOSFET_S_QGS_L_BO)*10^-9/Table7[[#This Row],[Ion (A) C]])/10^-9</f>
        <v>5.2335534396891212</v>
      </c>
      <c r="BM166" s="145">
        <f>IF(VACnom&gt;Vbat, (C_MOSFET_S_QGD_H_BU+C_MOSFET_S_QGS_H_BU)*10^-9/Table7[[#This Row],[Ioff (A) C]], (C_MOSFET_S_QGD_L_BO+C_MOSFET_S_QGS_L_BO)*10^-9/Table7[[#This Row],[Ioff (A) C]])/10^-9</f>
        <v>8.0295910838414031</v>
      </c>
      <c r="BN166" s="145">
        <f xml:space="preserve"> 0.5*VACnom*Table7[[#This Row],[Ivalley (A) C]]*Table7[[#This Row],[ton (ns) C]]*10^-9*Fsw*10^3+0.5*VACnom*Table7[[#This Row],[Ipeak (A) C]]*Table7[[#This Row],[toff (ns) C]]*10^-9*Fsw*10^3/10^-3</f>
        <v>109.9088647210522</v>
      </c>
      <c r="BO166" s="145">
        <f t="shared" si="12"/>
        <v>305.44000000000011</v>
      </c>
      <c r="BP166" s="145">
        <f t="shared" si="13"/>
        <v>357.69600000000014</v>
      </c>
      <c r="BQ166" s="145">
        <f t="shared" si="14"/>
        <v>1067.2000000000003</v>
      </c>
      <c r="BR166" s="145">
        <f>IF(VACnom&gt;Vbat, C_MOSFET_S_VSD_L_BU*Table7[[#This Row],[Ivalley (A) C]]*Fsw*10^3*40*10^-9+C_MOSFET_S_VSD_L_BU*Table7[[#This Row],[Ipeak (A) C]]*Fsw*10^3*30*10^-9, C_MOSFET_S_VSD_H_BO*Table7[[#This Row],[Ivalley (A) C]]*Fsw*10^3*40*10^-9+C_MOSFET_S_VSD_H_BO*Table7[[#This Row],[Ipeak (A) C]]*Fsw*10^3*30*10^-9)/10^-3</f>
        <v>39.130434782608717</v>
      </c>
      <c r="BS166" s="145">
        <f t="shared" si="15"/>
        <v>357.69600000000014</v>
      </c>
      <c r="BT166" s="145">
        <f>IF(VACnom&lt;Vbat, Table7[[#This Row],[Duty Cycle]]*Table7[[#This Row],[I_L RMS]]^2*C_MOSFET_S_RDSON_H_BU*10^-3, (1-Table7[[#This Row],[Duty Cycle]])*Table7[[#This Row],[I_L RMS]]^2*C_MOSFET_S_RDSON_H_BO*10^-3)/10^-3</f>
        <v>0.70174036327771472</v>
      </c>
      <c r="BU166" s="145">
        <f>IF(VACnom&gt;Vbat, Table7[[#This Row],[PIV (mW) C]]+Table7[[#This Row],[PQoss (mW) C]]+Table7[[#This Row],[Pgate_top (mW) C]], Table7[[#This Row],[PRR (mW) C]]+Table7[[#This Row],[Pdead (mW) C]]+Table7[[#This Row],[Pgate_top (mW) C]])</f>
        <v>773.04486472105248</v>
      </c>
      <c r="BV166" s="145">
        <f>Table7[[#This Row],[Pcon_top (mW) C]]+Table7[[#This Row],[Psw_top (mW) C]]</f>
        <v>773.74660508433021</v>
      </c>
      <c r="BW166" s="145">
        <f>IF(VACnom&gt;Vbat, (1-Table7[[#This Row],[Duty Cycle]])*Table7[[#This Row],[I_L RMS]]^2*C_MOSFET_S_RDSON_L_BU*10^-3, Table7[[#This Row],[Duty Cycle]]*Table7[[#This Row],[I_L RMS]]^2*C_MOSFET_S_RDSON_L_BO*10^-3)/10^-3</f>
        <v>0.4588302375277365</v>
      </c>
      <c r="BX166" s="145">
        <f>IF(VACnom&gt;Vbat, Table7[[#This Row],[PRR (mW) C]]+Table7[[#This Row],[Pdead (mW) C]]+Table7[[#This Row],[Pgate_bottom (mW) C]], Table7[[#This Row],[PIV (mW) C]]+Table7[[#This Row],[PQoss (mW) C]]+Table7[[#This Row],[Pgate_bottom (mW) C]])</f>
        <v>1464.0264347826092</v>
      </c>
      <c r="BY166" s="145">
        <f>Table7[[#This Row],[Pcon_bottom (mW) C]]+Table7[[#This Row],[Psw_bottom (mV) C]]</f>
        <v>1464.4852650201369</v>
      </c>
      <c r="BZ166" s="145">
        <f>Table7[[#This Row],[Pbottom (mW) C]]+Table7[[#This Row],[Ptop (mW) C]]</f>
        <v>2238.2318701044669</v>
      </c>
      <c r="CA166" s="148"/>
      <c r="CB166" s="144">
        <f>(RAC_SNS*10^-3*(Table7[[#This Row],[IOUT (A)]]*Vbat/VACnom)^2/10^-3)</f>
        <v>24.805293005671079</v>
      </c>
      <c r="CC166" s="144">
        <f>(RBAT_SNS*10^-3*Table7[[#This Row],[IOUT (A)]]^2)/10^-3</f>
        <v>64.800000000000011</v>
      </c>
      <c r="CD166" s="144">
        <f>IF(VACnom&gt;Vbat,(L_DRC*10^-3*(Table7[[#This Row],[IOUT (A)]])^2/10^-3),(L_DRC*10^-3*(Table7[[#This Row],[IOUT (A)]]*Vbat/VACnom)^2/10^-3))</f>
        <v>64.800000000000011</v>
      </c>
      <c r="CE166" s="152"/>
      <c r="CF166" s="145">
        <f>(Table7[[#This Row],[R_AC (mW)]]+Table7[[#This Row],[R_SR (mW)]]+Table7[[#This Row],[Inductor Loss (mW)]])/10^3</f>
        <v>0.1544052930056711</v>
      </c>
      <c r="CG166" s="145" t="e">
        <f ca="1">Table7[[#This Row],[Total TI (mW)]]/10^3</f>
        <v>#VALUE!</v>
      </c>
      <c r="CH166" s="145" t="e">
        <f ca="1">Table7[[#This Row],[Total Sense Loss]]+Table7[[#This Row],[Total MOSFET Loss]]</f>
        <v>#VALUE!</v>
      </c>
      <c r="CI166" s="149" t="e">
        <f ca="1">IF(Table7[[#This Row],[POUT (W)]]=0,0,(Table7[[#This Row],[POUT (W)]])/(Table7[[#This Row],[POUT (W)]]+Table7[[#This Row],[Total Power Loss (W)]]))*100</f>
        <v>#VALUE!</v>
      </c>
      <c r="CJ166" s="153"/>
      <c r="CK166" s="145">
        <f>(Table7[[#This Row],[R_AC (mW)]]+Table7[[#This Row],[R_SR (mW)]]+Table7[[#This Row],[Inductor Loss (mW)]])/10^3</f>
        <v>0.1544052930056711</v>
      </c>
      <c r="CL166" s="145">
        <f>Table7[[#This Row],[Total (mW) C]]/10^3</f>
        <v>2.238231870104467</v>
      </c>
      <c r="CM166" s="145">
        <f>Table7[[#This Row],[Total Sense Loss C]]+Table7[[#This Row],[Total MOSFET Loss C]]</f>
        <v>2.392637163110138</v>
      </c>
      <c r="CN166" s="149">
        <f>IF(Table7[[#This Row],[POUT (W)]]=0,0,(Table7[[#This Row],[POUT (W)]])/(Table7[[#This Row],[POUT (W)]]+Table7[[#This Row],[Total Power Loss (W) C]]))*100</f>
        <v>98.226002535846774</v>
      </c>
      <c r="CO166" s="153"/>
      <c r="CP166" s="149">
        <f>IF(MOSFET_S=Custom_MOSFET,Table7[[#This Row],[Total Sense Loss C]],Table7[[#This Row],[Total Sense Loss]])</f>
        <v>0.1544052930056711</v>
      </c>
      <c r="CQ166" s="149">
        <f>IF(MOSFET_S=Custom_MOSFET,Table7[[#This Row],[Total MOSFET Loss C]],Table7[[#This Row],[Total MOSFET Loss]])</f>
        <v>2.238231870104467</v>
      </c>
      <c r="CR166" s="149">
        <f>IF(MOSFET_S=Custom_MOSFET,Table7[[#This Row],[Efficiency C]],Table7[[#This Row],[Efficiency]])</f>
        <v>98.226002535846774</v>
      </c>
      <c r="CS166" s="153"/>
      <c r="CT166" s="149">
        <f>IF(MOSFET_S=Compare_MOSFET, Table7[[#This Row],[Total Sense Loss C]], -100)</f>
        <v>-100</v>
      </c>
      <c r="CU166" s="149">
        <f>IF(MOSFET_S=Compare_MOSFET, Table7[[#This Row],[Total MOSFET Loss C]], -100)</f>
        <v>-100</v>
      </c>
      <c r="CV166" s="149">
        <f>IF(MOSFET_S=Compare_MOSFET, Table7[[#This Row],[Efficiency C]], -100)</f>
        <v>-100</v>
      </c>
      <c r="CW166" s="153"/>
      <c r="CX166" s="149">
        <f ca="1">IF(Save_Sel=CLR_Save,  Table7[[#This Row],[Total Sense Loss P1]], Table7[[#This Row],[Total Sense Loss P1 Saved]])</f>
        <v>0.1544052930056711</v>
      </c>
      <c r="CY166" s="149">
        <f ca="1">IF(Save_Sel=CLR_Save,  Table7[[#This Row],[Total MOSFET Loss P1]], Table7[[#This Row],[Total MOSFET Loss P1 Saved]] )</f>
        <v>2.238231870104467</v>
      </c>
      <c r="CZ166" s="149">
        <f ca="1">IF(Save_Sel=CLR_Save, Table7[[#This Row],[Efficiency P1]], Table7[[#This Row],[Efficiency P1 Saved]])</f>
        <v>98.226002535846774</v>
      </c>
      <c r="DA166" s="153"/>
      <c r="DB166" s="149">
        <f ca="1">IF(Save_Sel=CLR_Save,  Table7[[#This Row],[Total Sense Loss P2]], Table7[[#This Row],[Total Sense Loss P2 Saved]])</f>
        <v>-100</v>
      </c>
      <c r="DC166" s="149">
        <f ca="1">IF(Save_Sel=CLR_Save,  Table7[[#This Row],[Total MOSFET Loss P2]], Table7[[#This Row],[Total MOSFET Loss P2 Saved]] )</f>
        <v>-100</v>
      </c>
      <c r="DD166" s="149">
        <f ca="1">IF(Save_Sel=CLR_Save, Table7[[#This Row],[Efficiency P2]], Table7[[#This Row],[Efficiency P2 Saved]])</f>
        <v>-100</v>
      </c>
      <c r="DE166" s="153"/>
      <c r="DF166" s="19"/>
      <c r="DG166" s="19"/>
      <c r="DH166" s="19"/>
      <c r="DI166" s="19"/>
      <c r="DJ166" s="19"/>
      <c r="DK166" s="19"/>
      <c r="DL166" s="19"/>
      <c r="DM166" s="19"/>
      <c r="DN166" s="19"/>
      <c r="DO166" s="19"/>
      <c r="DP166" s="19"/>
      <c r="DQ166" s="19"/>
      <c r="DR166" s="19"/>
      <c r="DS166" s="19"/>
      <c r="DT166" s="19"/>
      <c r="DU166" s="19"/>
      <c r="DV166" s="19"/>
      <c r="DW166" s="19"/>
      <c r="DX166" s="19"/>
      <c r="DY166" s="19"/>
      <c r="DZ166" s="19"/>
      <c r="EA166" s="19"/>
      <c r="EB166" s="19"/>
      <c r="EC166" s="19"/>
      <c r="ED166" s="19"/>
      <c r="EE166" s="19"/>
      <c r="EF166" s="19"/>
      <c r="EG166" s="19"/>
      <c r="EH166" s="19"/>
      <c r="EI166" s="19"/>
      <c r="EJ166" s="19"/>
      <c r="EK166" s="19"/>
      <c r="EL166" s="19"/>
      <c r="EM166" s="19"/>
      <c r="EN166" s="19"/>
      <c r="EO166" s="19"/>
      <c r="EP166" s="19"/>
      <c r="EQ166" s="19"/>
      <c r="ER166" s="19"/>
      <c r="ES166" s="19"/>
      <c r="ET166" s="19"/>
      <c r="EU166" s="19"/>
      <c r="EV166" s="19"/>
      <c r="EW166" s="19"/>
      <c r="EX166" s="19"/>
      <c r="EY166" s="19"/>
      <c r="EZ166" s="19"/>
      <c r="FA166" s="19"/>
      <c r="FB166" s="19"/>
      <c r="FC166" s="19"/>
      <c r="FD166" s="19"/>
      <c r="FE166" s="19"/>
      <c r="FF166" s="19"/>
      <c r="FG166" s="19"/>
      <c r="FH166" s="19"/>
      <c r="FI166" s="19"/>
    </row>
    <row r="167" spans="1:165" x14ac:dyDescent="0.25">
      <c r="A167" s="48">
        <v>8</v>
      </c>
      <c r="B167" s="49"/>
      <c r="C167" s="49"/>
      <c r="D167" s="32" t="s">
        <v>144</v>
      </c>
      <c r="E167" s="66">
        <f t="shared" ref="E167:E172" ca="1" si="20">$N124</f>
        <v>20</v>
      </c>
      <c r="F167" s="66">
        <f t="shared" ref="F167:F174" ca="1" si="21">$O124</f>
        <v>20</v>
      </c>
      <c r="G167" s="42" t="s">
        <v>140</v>
      </c>
      <c r="H167" s="29"/>
      <c r="I167" s="48">
        <v>8</v>
      </c>
      <c r="J167" s="29"/>
      <c r="K167" s="49"/>
      <c r="L167" s="49"/>
      <c r="M167" s="32" t="s">
        <v>144</v>
      </c>
      <c r="N167" s="117">
        <f t="shared" si="18"/>
        <v>8.8000000000000007</v>
      </c>
      <c r="O167" s="117">
        <f t="shared" si="19"/>
        <v>8.8000000000000007</v>
      </c>
      <c r="P167" s="42" t="s">
        <v>140</v>
      </c>
      <c r="Q167" s="29"/>
      <c r="R167" s="29"/>
      <c r="S167" s="30"/>
      <c r="T167" s="18"/>
      <c r="U167" s="19"/>
      <c r="V167" s="19"/>
      <c r="W167" s="19"/>
      <c r="X167" s="19"/>
      <c r="Y167" s="19"/>
      <c r="Z167" s="19"/>
      <c r="AA167" s="19"/>
      <c r="AB167" s="19"/>
      <c r="AC167" s="19"/>
      <c r="AD167" s="19"/>
      <c r="AE167" s="19"/>
      <c r="AF167" s="143">
        <f t="shared" si="17"/>
        <v>11</v>
      </c>
      <c r="AG167" s="143">
        <f t="shared" si="16"/>
        <v>3.96</v>
      </c>
      <c r="AH167" s="144">
        <f t="shared" si="3"/>
        <v>145.72799999999998</v>
      </c>
      <c r="AI167" s="145">
        <f t="shared" si="4"/>
        <v>0.97826086956521752</v>
      </c>
      <c r="AJ167" s="145">
        <f t="shared" si="5"/>
        <v>3.8739130434782614</v>
      </c>
      <c r="AK167" s="145">
        <f t="shared" si="6"/>
        <v>0.39130434782608459</v>
      </c>
      <c r="AL167" s="145">
        <f t="shared" si="7"/>
        <v>3.8755595973764407</v>
      </c>
      <c r="AM167" s="146"/>
      <c r="AN167" s="145">
        <f>MAX(0,Table7[[#This Row],[I_L]]-0.5*Table7[[#This Row],[I_L pkpk]])</f>
        <v>3.6782608695652192</v>
      </c>
      <c r="AO167" s="145">
        <f>Table7[[#This Row],[I_L]]+0.5*Table7[[#This Row],[I_L pkpk]]</f>
        <v>4.0695652173913039</v>
      </c>
      <c r="AP167" s="145">
        <f ca="1">IF(VACnom&gt;Vbat, (VGS_S-(TI_MOSFET_S_VTH_H_BU+Table7[[#This Row],[I_L]]/TI_MOSFET_S_gFS_H_BU))/3.4, (VGS_S-(TI_MOSFET_S_VTH_L_BO+Table7[[#This Row],[I_L]]/TI_MOSFET_S_gFS_L_BO))/3.4 )</f>
        <v>3.0059413732048004</v>
      </c>
      <c r="AQ167" s="145">
        <f ca="1">IF(VACnom&gt;Vbat, ((TI_MOSFET_S_VTH_H_BU+Table7[[#This Row],[I_L]]/TI_MOSFET_S_gFS_H_BU))/1, ((TI_MOSFET_S_VTH_L_BO+Table7[[#This Row],[I_L]]/TI_MOSFET_S_gFS_L_BO))/1 )</f>
        <v>1.7797993311036788</v>
      </c>
      <c r="AR167" s="145">
        <f ca="1">IF(VACnom&gt;Vbat, (TI_MOSFET_S_QGD_H_BU+TI_MOSFET_S_QGS_H_BU)*10^-9/Table7[[#This Row],[Ion (A)]], (TI_MOSFET_S_QGD_L_BO+TI_MOSFET_S_QGS_L_BO)*10^-9/Table7[[#This Row],[Ion (A)]])/10^-9</f>
        <v>9.5810251845646359</v>
      </c>
      <c r="AS167" s="145">
        <f ca="1">IF(VACnom&gt;Vbat, (TI_MOSFET_S_QGD_H_BU+TI_MOSFET_S_QGS_H_BU)*10^-9/Table7[[#This Row],[Ioff (A)]], (TI_MOSFET_S_QGD_L_BO+TI_MOSFET_S_QGS_L_BO)*10^-9/Table7[[#This Row],[Ioff (A)]])/10^-9</f>
        <v>16.181599518941674</v>
      </c>
      <c r="AT167" s="145">
        <f ca="1" xml:space="preserve"> 0.5*VACnom*Table7[[#This Row],[Ivalley (A)]]*Table7[[#This Row],[ton (ns)]]*10^-9*Fsw*10^3+0.5*VACnom*Table7[[#This Row],[Ipeak (A)]]*Table7[[#This Row],[toff (ns)]]*10^-9*Fsw*10^3/10^-3</f>
        <v>242.46532315256883</v>
      </c>
      <c r="AU167" s="145">
        <f t="shared" ca="1" si="8"/>
        <v>268.64000000000004</v>
      </c>
      <c r="AV167" s="145" t="e">
        <f t="shared" si="9"/>
        <v>#VALUE!</v>
      </c>
      <c r="AW167" s="145">
        <f t="shared" ca="1" si="10"/>
        <v>566.72000000000025</v>
      </c>
      <c r="AX167" s="145">
        <f ca="1">IF(VACnom&gt;Vbat, TI_MOSFET_S_VSD_L_BU*Table7[[#This Row],[Ivalley (A)]]*Fsw*10^3*40*10^-9+TI_MOSFET_S_VSD_L_BU*Table7[[#This Row],[Ipeak (A)]]*Fsw*10^3*30*10^-9, TI_MOSFET_S_VSD_H_BO*Table7[[#This Row],[Ivalley (A)]]*Fsw*10^3*40*10^-9+TI_MOSFET_S_VSD_H_BO*Table7[[#This Row],[Ipeak (A)]]*Fsw*10^3*30*10^-9)/10^-3</f>
        <v>38.767304347826105</v>
      </c>
      <c r="AY167" s="145" t="e">
        <f t="shared" si="11"/>
        <v>#VALUE!</v>
      </c>
      <c r="AZ167" s="145" t="e">
        <f>IF(VACnom&lt;Vbat, Table7[[#This Row],[Duty Cycle]]*Table7[[#This Row],[I_L RMS]]^2*TI_MOSFET_S_RDSON_H_BU*10^-3, (1-Table7[[#This Row],[Duty Cycle]])*Table7[[#This Row],[I_L RMS]]^2*TI_MOSFET_S_RDSON_H_BO*10^-3)/10^-3</f>
        <v>#VALUE!</v>
      </c>
      <c r="BA167" s="145" t="e">
        <f ca="1">IF(VACnom&gt;Vbat, Table7[[#This Row],[PIV (mW)]]+Table7[[#This Row],[Pqoss (mW)]]+Table7[[#This Row],[Pgate_top (mW)]], Table7[[#This Row],[PRR (mW)]]+Table7[[#This Row],[Pdead (mW)]]+Table7[[#This Row],[Pgate_top (mW)]])</f>
        <v>#VALUE!</v>
      </c>
      <c r="BB167" s="145" t="e">
        <f ca="1">Table7[[#This Row],[Pcon_top (mW)]]+Table7[[#This Row],[Psw_top (mW)]]</f>
        <v>#VALUE!</v>
      </c>
      <c r="BC167" s="145" t="e">
        <f>IF(VACnom&gt;Vbat, (1-Table7[[#This Row],[Duty Cycle]])*Table7[[#This Row],[I_L RMS]]^2*TI_MOSFET_S_RDSON_L_BU*10^-3, Table7[[#This Row],[Duty Cycle]]*Table7[[#This Row],[I_L RMS]]^2*TI_MOSFET_S_RDSON_L_BO*10^-3)/10^-3</f>
        <v>#VALUE!</v>
      </c>
      <c r="BD167" s="145" t="e">
        <f ca="1">IF(VACnom&gt;Vbat, Table7[[#This Row],[PRR (mW)]]+Table7[[#This Row],[Pdead (mW)]]+Table7[[#This Row],[Pgate_bottom (mW)]], Table7[[#This Row],[PIV (mW)]]+Table7[[#This Row],[Pqoss (mW)]]+Table7[[#This Row],[Pgate_bottom (mW)]])</f>
        <v>#VALUE!</v>
      </c>
      <c r="BE167" s="147" t="e">
        <f ca="1">Table7[[#This Row],[Pcon_bottom (mW)]]+Table7[[#This Row],[Psw_bottom (mW)]]</f>
        <v>#VALUE!</v>
      </c>
      <c r="BF167" s="145" t="e">
        <f ca="1">Table7[[#This Row],[Pbottom (mW)]]+Table7[[#This Row],[Ptop (mW)]]</f>
        <v>#VALUE!</v>
      </c>
      <c r="BG167" s="142"/>
      <c r="BH167" s="145">
        <f>MAX(0,Table7[[#This Row],[I_L]]-0.5*Table7[[#This Row],[I_L pkpk]])</f>
        <v>3.6782608695652192</v>
      </c>
      <c r="BI167" s="145">
        <f>Table7[[#This Row],[I_L]]+0.5*Table7[[#This Row],[I_L pkpk]]</f>
        <v>4.0695652173913039</v>
      </c>
      <c r="BJ167" s="145">
        <f>IF(VACnom&gt;Vbat, (VGS_S-(C_MOSFET_S_VTH_H_BU+Table7[[#This Row],[I_L]]/C_MOSFET_S_gFS_H_BU))/3.4, (VGS_S-(C_MOSFET_S_VTH_L_BO+Table7[[#This Row],[I_L]]/C_MOSFET_S_gFS_L_BO))/3.4 )</f>
        <v>2.9607659405591327</v>
      </c>
      <c r="BK167" s="145">
        <f>IF(VACnom&gt;Vbat, ((C_MOSFET_S_VTH_H_BU+Table7[[#This Row],[I_L]]/C_MOSFET_S_gFS_H_BU))/1, ((C_MOSFET_S_VTH_L_BO+Table7[[#This Row],[I_L]]/C_MOSFET_S_gFS_L_BO))/1 )</f>
        <v>1.9333958020989503</v>
      </c>
      <c r="BL167" s="145">
        <f>IF(VACnom&gt;Vbat, (C_MOSFET_S_QGD_H_BU+C_MOSFET_S_QGS_H_BU)*10^-9/Table7[[#This Row],[Ion (A) C]], (C_MOSFET_S_QGD_L_BO+C_MOSFET_S_QGS_L_BO)*10^-9/Table7[[#This Row],[Ion (A) C]])/10^-9</f>
        <v>5.2351318243930036</v>
      </c>
      <c r="BM167" s="145">
        <f>IF(VACnom&gt;Vbat, (C_MOSFET_S_QGD_H_BU+C_MOSFET_S_QGS_H_BU)*10^-9/Table7[[#This Row],[Ioff (A) C]], (C_MOSFET_S_QGD_L_BO+C_MOSFET_S_QGS_L_BO)*10^-9/Table7[[#This Row],[Ioff (A) C]])/10^-9</f>
        <v>8.0169823391427411</v>
      </c>
      <c r="BN167" s="145">
        <f xml:space="preserve"> 0.5*VACnom*Table7[[#This Row],[Ivalley (A) C]]*Table7[[#This Row],[ton (ns) C]]*10^-9*Fsw*10^3+0.5*VACnom*Table7[[#This Row],[Ipeak (A) C]]*Table7[[#This Row],[toff (ns) C]]*10^-9*Fsw*10^3/10^-3</f>
        <v>120.13319025537666</v>
      </c>
      <c r="BO167" s="145">
        <f t="shared" si="12"/>
        <v>305.44000000000011</v>
      </c>
      <c r="BP167" s="145">
        <f t="shared" si="13"/>
        <v>357.69600000000014</v>
      </c>
      <c r="BQ167" s="145">
        <f t="shared" si="14"/>
        <v>1067.2000000000003</v>
      </c>
      <c r="BR167" s="145">
        <f>IF(VACnom&gt;Vbat, C_MOSFET_S_VSD_L_BU*Table7[[#This Row],[Ivalley (A) C]]*Fsw*10^3*40*10^-9+C_MOSFET_S_VSD_L_BU*Table7[[#This Row],[Ipeak (A) C]]*Fsw*10^3*30*10^-9, C_MOSFET_S_VSD_H_BO*Table7[[#This Row],[Ivalley (A) C]]*Fsw*10^3*40*10^-9+C_MOSFET_S_VSD_H_BO*Table7[[#This Row],[Ipeak (A) C]]*Fsw*10^3*30*10^-9)/10^-3</f>
        <v>43.074782608695685</v>
      </c>
      <c r="BS167" s="145">
        <f t="shared" si="15"/>
        <v>357.69600000000014</v>
      </c>
      <c r="BT167" s="145">
        <f>IF(VACnom&lt;Vbat, Table7[[#This Row],[Duty Cycle]]*Table7[[#This Row],[I_L RMS]]^2*C_MOSFET_S_RDSON_H_BU*10^-3, (1-Table7[[#This Row],[Duty Cycle]])*Table7[[#This Row],[I_L RMS]]^2*C_MOSFET_S_RDSON_H_BO*10^-3)/10^-3</f>
        <v>0.84895438481137031</v>
      </c>
      <c r="BU167" s="145">
        <f>IF(VACnom&gt;Vbat, Table7[[#This Row],[PIV (mW) C]]+Table7[[#This Row],[PQoss (mW) C]]+Table7[[#This Row],[Pgate_top (mW) C]], Table7[[#This Row],[PRR (mW) C]]+Table7[[#This Row],[Pdead (mW) C]]+Table7[[#This Row],[Pgate_top (mW) C]])</f>
        <v>783.26919025537688</v>
      </c>
      <c r="BV167" s="145">
        <f>Table7[[#This Row],[Pcon_top (mW) C]]+Table7[[#This Row],[Psw_top (mW) C]]</f>
        <v>784.11814464018823</v>
      </c>
      <c r="BW167" s="145">
        <f>IF(VACnom&gt;Vbat, (1-Table7[[#This Row],[Duty Cycle]])*Table7[[#This Row],[I_L RMS]]^2*C_MOSFET_S_RDSON_L_BU*10^-3, Table7[[#This Row],[Duty Cycle]]*Table7[[#This Row],[I_L RMS]]^2*C_MOSFET_S_RDSON_L_BO*10^-3)/10^-3</f>
        <v>0.55508555929974213</v>
      </c>
      <c r="BX167" s="145">
        <f>IF(VACnom&gt;Vbat, Table7[[#This Row],[PRR (mW) C]]+Table7[[#This Row],[Pdead (mW) C]]+Table7[[#This Row],[Pgate_bottom (mW) C]], Table7[[#This Row],[PIV (mW) C]]+Table7[[#This Row],[PQoss (mW) C]]+Table7[[#This Row],[Pgate_bottom (mW) C]])</f>
        <v>1467.970782608696</v>
      </c>
      <c r="BY167" s="145">
        <f>Table7[[#This Row],[Pcon_bottom (mW) C]]+Table7[[#This Row],[Psw_bottom (mV) C]]</f>
        <v>1468.5258681679957</v>
      </c>
      <c r="BZ167" s="145">
        <f>Table7[[#This Row],[Pbottom (mW) C]]+Table7[[#This Row],[Ptop (mW) C]]</f>
        <v>2252.644012808184</v>
      </c>
      <c r="CA167" s="148"/>
      <c r="CB167" s="144">
        <f>(RAC_SNS*10^-3*(Table7[[#This Row],[IOUT (A)]]*Vbat/VACnom)^2/10^-3)</f>
        <v>30.014404536862013</v>
      </c>
      <c r="CC167" s="144">
        <f>(RBAT_SNS*10^-3*Table7[[#This Row],[IOUT (A)]]^2)/10^-3</f>
        <v>78.408000000000001</v>
      </c>
      <c r="CD167" s="144">
        <f>IF(VACnom&gt;Vbat,(L_DRC*10^-3*(Table7[[#This Row],[IOUT (A)]])^2/10^-3),(L_DRC*10^-3*(Table7[[#This Row],[IOUT (A)]]*Vbat/VACnom)^2/10^-3))</f>
        <v>78.408000000000001</v>
      </c>
      <c r="CE167" s="152"/>
      <c r="CF167" s="145">
        <f>(Table7[[#This Row],[R_AC (mW)]]+Table7[[#This Row],[R_SR (mW)]]+Table7[[#This Row],[Inductor Loss (mW)]])/10^3</f>
        <v>0.18683040453686203</v>
      </c>
      <c r="CG167" s="145" t="e">
        <f ca="1">Table7[[#This Row],[Total TI (mW)]]/10^3</f>
        <v>#VALUE!</v>
      </c>
      <c r="CH167" s="145" t="e">
        <f ca="1">Table7[[#This Row],[Total Sense Loss]]+Table7[[#This Row],[Total MOSFET Loss]]</f>
        <v>#VALUE!</v>
      </c>
      <c r="CI167" s="149" t="e">
        <f ca="1">IF(Table7[[#This Row],[POUT (W)]]=0,0,(Table7[[#This Row],[POUT (W)]])/(Table7[[#This Row],[POUT (W)]]+Table7[[#This Row],[Total Power Loss (W)]]))*100</f>
        <v>#VALUE!</v>
      </c>
      <c r="CJ167" s="153"/>
      <c r="CK167" s="145">
        <f>(Table7[[#This Row],[R_AC (mW)]]+Table7[[#This Row],[R_SR (mW)]]+Table7[[#This Row],[Inductor Loss (mW)]])/10^3</f>
        <v>0.18683040453686203</v>
      </c>
      <c r="CL167" s="145">
        <f>Table7[[#This Row],[Total (mW) C]]/10^3</f>
        <v>2.2526440128081839</v>
      </c>
      <c r="CM167" s="145">
        <f>Table7[[#This Row],[Total Sense Loss C]]+Table7[[#This Row],[Total MOSFET Loss C]]</f>
        <v>2.4394744173450458</v>
      </c>
      <c r="CN167" s="149">
        <f>IF(Table7[[#This Row],[POUT (W)]]=0,0,(Table7[[#This Row],[POUT (W)]])/(Table7[[#This Row],[POUT (W)]]+Table7[[#This Row],[Total Power Loss (W) C]]))*100</f>
        <v>98.353569548959342</v>
      </c>
      <c r="CO167" s="153"/>
      <c r="CP167" s="149">
        <f>IF(MOSFET_S=Custom_MOSFET,Table7[[#This Row],[Total Sense Loss C]],Table7[[#This Row],[Total Sense Loss]])</f>
        <v>0.18683040453686203</v>
      </c>
      <c r="CQ167" s="149">
        <f>IF(MOSFET_S=Custom_MOSFET,Table7[[#This Row],[Total MOSFET Loss C]],Table7[[#This Row],[Total MOSFET Loss]])</f>
        <v>2.2526440128081839</v>
      </c>
      <c r="CR167" s="149">
        <f>IF(MOSFET_S=Custom_MOSFET,Table7[[#This Row],[Efficiency C]],Table7[[#This Row],[Efficiency]])</f>
        <v>98.353569548959342</v>
      </c>
      <c r="CS167" s="153"/>
      <c r="CT167" s="149">
        <f>IF(MOSFET_S=Compare_MOSFET, Table7[[#This Row],[Total Sense Loss C]], -100)</f>
        <v>-100</v>
      </c>
      <c r="CU167" s="149">
        <f>IF(MOSFET_S=Compare_MOSFET, Table7[[#This Row],[Total MOSFET Loss C]], -100)</f>
        <v>-100</v>
      </c>
      <c r="CV167" s="149">
        <f>IF(MOSFET_S=Compare_MOSFET, Table7[[#This Row],[Efficiency C]], -100)</f>
        <v>-100</v>
      </c>
      <c r="CW167" s="153"/>
      <c r="CX167" s="149">
        <f ca="1">IF(Save_Sel=CLR_Save,  Table7[[#This Row],[Total Sense Loss P1]], Table7[[#This Row],[Total Sense Loss P1 Saved]])</f>
        <v>0.18683040453686203</v>
      </c>
      <c r="CY167" s="149">
        <f ca="1">IF(Save_Sel=CLR_Save,  Table7[[#This Row],[Total MOSFET Loss P1]], Table7[[#This Row],[Total MOSFET Loss P1 Saved]] )</f>
        <v>2.2526440128081839</v>
      </c>
      <c r="CZ167" s="149">
        <f ca="1">IF(Save_Sel=CLR_Save, Table7[[#This Row],[Efficiency P1]], Table7[[#This Row],[Efficiency P1 Saved]])</f>
        <v>98.353569548959342</v>
      </c>
      <c r="DA167" s="153"/>
      <c r="DB167" s="149">
        <f ca="1">IF(Save_Sel=CLR_Save,  Table7[[#This Row],[Total Sense Loss P2]], Table7[[#This Row],[Total Sense Loss P2 Saved]])</f>
        <v>-100</v>
      </c>
      <c r="DC167" s="149">
        <f ca="1">IF(Save_Sel=CLR_Save,  Table7[[#This Row],[Total MOSFET Loss P2]], Table7[[#This Row],[Total MOSFET Loss P2 Saved]] )</f>
        <v>-100</v>
      </c>
      <c r="DD167" s="149">
        <f ca="1">IF(Save_Sel=CLR_Save, Table7[[#This Row],[Efficiency P2]], Table7[[#This Row],[Efficiency P2 Saved]])</f>
        <v>-100</v>
      </c>
      <c r="DE167" s="153"/>
      <c r="DF167" s="19"/>
      <c r="DG167" s="19"/>
      <c r="DH167" s="19"/>
      <c r="DI167" s="19"/>
      <c r="DJ167" s="19"/>
      <c r="DK167" s="19"/>
      <c r="DL167" s="19"/>
      <c r="DM167" s="19"/>
      <c r="DN167" s="19"/>
      <c r="DO167" s="19"/>
      <c r="DP167" s="19"/>
      <c r="DQ167" s="19"/>
      <c r="DR167" s="19"/>
      <c r="DS167" s="19"/>
      <c r="DT167" s="19"/>
      <c r="DU167" s="19"/>
      <c r="DV167" s="19"/>
      <c r="DW167" s="19"/>
      <c r="DX167" s="19"/>
      <c r="DY167" s="19"/>
      <c r="DZ167" s="19"/>
      <c r="EA167" s="19"/>
      <c r="EB167" s="19"/>
      <c r="EC167" s="19"/>
      <c r="ED167" s="19"/>
      <c r="EE167" s="19"/>
      <c r="EF167" s="19"/>
      <c r="EG167" s="19"/>
      <c r="EH167" s="19"/>
      <c r="EI167" s="19"/>
      <c r="EJ167" s="19"/>
      <c r="EK167" s="19"/>
      <c r="EL167" s="19"/>
      <c r="EM167" s="19"/>
      <c r="EN167" s="19"/>
      <c r="EO167" s="19"/>
      <c r="EP167" s="19"/>
      <c r="EQ167" s="19"/>
      <c r="ER167" s="19"/>
      <c r="ES167" s="19"/>
      <c r="ET167" s="19"/>
      <c r="EU167" s="19"/>
      <c r="EV167" s="19"/>
      <c r="EW167" s="19"/>
      <c r="EX167" s="19"/>
      <c r="EY167" s="19"/>
      <c r="EZ167" s="19"/>
      <c r="FA167" s="19"/>
      <c r="FB167" s="19"/>
      <c r="FC167" s="19"/>
      <c r="FD167" s="19"/>
      <c r="FE167" s="19"/>
      <c r="FF167" s="19"/>
      <c r="FG167" s="19"/>
      <c r="FH167" s="19"/>
      <c r="FI167" s="19"/>
    </row>
    <row r="168" spans="1:165" x14ac:dyDescent="0.25">
      <c r="A168" s="48">
        <v>9</v>
      </c>
      <c r="B168" s="49"/>
      <c r="C168" s="49"/>
      <c r="D168" s="32" t="s">
        <v>146</v>
      </c>
      <c r="E168" s="66">
        <f t="shared" ca="1" si="20"/>
        <v>73</v>
      </c>
      <c r="F168" s="66">
        <f t="shared" ca="1" si="21"/>
        <v>73</v>
      </c>
      <c r="G168" s="42" t="s">
        <v>140</v>
      </c>
      <c r="H168" s="29"/>
      <c r="I168" s="48">
        <v>9</v>
      </c>
      <c r="J168" s="29"/>
      <c r="K168" s="49"/>
      <c r="L168" s="49"/>
      <c r="M168" s="32" t="s">
        <v>146</v>
      </c>
      <c r="N168" s="117">
        <f t="shared" si="18"/>
        <v>83</v>
      </c>
      <c r="O168" s="117">
        <f t="shared" si="19"/>
        <v>83</v>
      </c>
      <c r="P168" s="42" t="s">
        <v>140</v>
      </c>
      <c r="Q168" s="29"/>
      <c r="R168" s="29"/>
      <c r="S168" s="30"/>
      <c r="T168" s="18"/>
      <c r="U168" s="19"/>
      <c r="V168" s="19"/>
      <c r="W168" s="19"/>
      <c r="X168" s="19"/>
      <c r="Y168" s="19"/>
      <c r="Z168" s="19"/>
      <c r="AA168" s="19"/>
      <c r="AB168" s="19"/>
      <c r="AC168" s="19"/>
      <c r="AD168" s="19"/>
      <c r="AE168" s="19"/>
      <c r="AF168" s="143">
        <f t="shared" si="17"/>
        <v>12</v>
      </c>
      <c r="AG168" s="143">
        <f t="shared" si="16"/>
        <v>4.32</v>
      </c>
      <c r="AH168" s="144">
        <f t="shared" si="3"/>
        <v>158.976</v>
      </c>
      <c r="AI168" s="145">
        <f t="shared" si="4"/>
        <v>0.97826086956521752</v>
      </c>
      <c r="AJ168" s="145">
        <f t="shared" si="5"/>
        <v>4.2260869565217396</v>
      </c>
      <c r="AK168" s="145">
        <f t="shared" si="6"/>
        <v>0.39130434782608459</v>
      </c>
      <c r="AL168" s="145">
        <f t="shared" si="7"/>
        <v>4.2275963488096657</v>
      </c>
      <c r="AM168" s="146"/>
      <c r="AN168" s="145">
        <f>MAX(0,Table7[[#This Row],[I_L]]-0.5*Table7[[#This Row],[I_L pkpk]])</f>
        <v>4.0304347826086975</v>
      </c>
      <c r="AO168" s="145">
        <f>Table7[[#This Row],[I_L]]+0.5*Table7[[#This Row],[I_L pkpk]]</f>
        <v>4.4217391304347817</v>
      </c>
      <c r="AP168" s="145">
        <f ca="1">IF(VACnom&gt;Vbat, (VGS_S-(TI_MOSFET_S_VTH_H_BU+Table7[[#This Row],[I_L]]/TI_MOSFET_S_gFS_H_BU))/3.4, (VGS_S-(TI_MOSFET_S_VTH_L_BO+Table7[[#This Row],[I_L]]/TI_MOSFET_S_gFS_L_BO))/3.4 )</f>
        <v>3.0051445996458788</v>
      </c>
      <c r="AQ168" s="145">
        <f ca="1">IF(VACnom&gt;Vbat, ((TI_MOSFET_S_VTH_H_BU+Table7[[#This Row],[I_L]]/TI_MOSFET_S_gFS_H_BU))/1, ((TI_MOSFET_S_VTH_L_BO+Table7[[#This Row],[I_L]]/TI_MOSFET_S_gFS_L_BO))/1 )</f>
        <v>1.7825083612040133</v>
      </c>
      <c r="AR168" s="145">
        <f ca="1">IF(VACnom&gt;Vbat, (TI_MOSFET_S_QGD_H_BU+TI_MOSFET_S_QGS_H_BU)*10^-9/Table7[[#This Row],[Ion (A)]], (TI_MOSFET_S_QGD_L_BO+TI_MOSFET_S_QGS_L_BO)*10^-9/Table7[[#This Row],[Ion (A)]])/10^-9</f>
        <v>9.5835654641689274</v>
      </c>
      <c r="AS168" s="145">
        <f ca="1">IF(VACnom&gt;Vbat, (TI_MOSFET_S_QGD_H_BU+TI_MOSFET_S_QGS_H_BU)*10^-9/Table7[[#This Row],[Ioff (A)]], (TI_MOSFET_S_QGD_L_BO+TI_MOSFET_S_QGS_L_BO)*10^-9/Table7[[#This Row],[Ioff (A)]])/10^-9</f>
        <v>16.157006960992174</v>
      </c>
      <c r="AT168" s="145">
        <f ca="1" xml:space="preserve"> 0.5*VACnom*Table7[[#This Row],[Ivalley (A)]]*Table7[[#This Row],[ton (ns)]]*10^-9*Fsw*10^3+0.5*VACnom*Table7[[#This Row],[Ipeak (A)]]*Table7[[#This Row],[toff (ns)]]*10^-9*Fsw*10^3/10^-3</f>
        <v>263.04896071222913</v>
      </c>
      <c r="AU168" s="145">
        <f t="shared" ca="1" si="8"/>
        <v>268.64000000000004</v>
      </c>
      <c r="AV168" s="145" t="e">
        <f t="shared" si="9"/>
        <v>#VALUE!</v>
      </c>
      <c r="AW168" s="145">
        <f t="shared" ca="1" si="10"/>
        <v>566.72000000000025</v>
      </c>
      <c r="AX168" s="145">
        <f ca="1">IF(VACnom&gt;Vbat, TI_MOSFET_S_VSD_L_BU*Table7[[#This Row],[Ivalley (A)]]*Fsw*10^3*40*10^-9+TI_MOSFET_S_VSD_L_BU*Table7[[#This Row],[Ipeak (A)]]*Fsw*10^3*30*10^-9, TI_MOSFET_S_VSD_H_BO*Table7[[#This Row],[Ivalley (A)]]*Fsw*10^3*40*10^-9+TI_MOSFET_S_VSD_H_BO*Table7[[#This Row],[Ipeak (A)]]*Fsw*10^3*30*10^-9)/10^-3</f>
        <v>42.317217391304368</v>
      </c>
      <c r="AY168" s="145" t="e">
        <f t="shared" si="11"/>
        <v>#VALUE!</v>
      </c>
      <c r="AZ168" s="145" t="e">
        <f>IF(VACnom&lt;Vbat, Table7[[#This Row],[Duty Cycle]]*Table7[[#This Row],[I_L RMS]]^2*TI_MOSFET_S_RDSON_H_BU*10^-3, (1-Table7[[#This Row],[Duty Cycle]])*Table7[[#This Row],[I_L RMS]]^2*TI_MOSFET_S_RDSON_H_BO*10^-3)/10^-3</f>
        <v>#VALUE!</v>
      </c>
      <c r="BA168" s="145" t="e">
        <f ca="1">IF(VACnom&gt;Vbat, Table7[[#This Row],[PIV (mW)]]+Table7[[#This Row],[Pqoss (mW)]]+Table7[[#This Row],[Pgate_top (mW)]], Table7[[#This Row],[PRR (mW)]]+Table7[[#This Row],[Pdead (mW)]]+Table7[[#This Row],[Pgate_top (mW)]])</f>
        <v>#VALUE!</v>
      </c>
      <c r="BB168" s="145" t="e">
        <f ca="1">Table7[[#This Row],[Pcon_top (mW)]]+Table7[[#This Row],[Psw_top (mW)]]</f>
        <v>#VALUE!</v>
      </c>
      <c r="BC168" s="145" t="e">
        <f>IF(VACnom&gt;Vbat, (1-Table7[[#This Row],[Duty Cycle]])*Table7[[#This Row],[I_L RMS]]^2*TI_MOSFET_S_RDSON_L_BU*10^-3, Table7[[#This Row],[Duty Cycle]]*Table7[[#This Row],[I_L RMS]]^2*TI_MOSFET_S_RDSON_L_BO*10^-3)/10^-3</f>
        <v>#VALUE!</v>
      </c>
      <c r="BD168" s="145" t="e">
        <f ca="1">IF(VACnom&gt;Vbat, Table7[[#This Row],[PRR (mW)]]+Table7[[#This Row],[Pdead (mW)]]+Table7[[#This Row],[Pgate_bottom (mW)]], Table7[[#This Row],[PIV (mW)]]+Table7[[#This Row],[Pqoss (mW)]]+Table7[[#This Row],[Pgate_bottom (mW)]])</f>
        <v>#VALUE!</v>
      </c>
      <c r="BE168" s="147" t="e">
        <f ca="1">Table7[[#This Row],[Pcon_bottom (mW)]]+Table7[[#This Row],[Psw_bottom (mW)]]</f>
        <v>#VALUE!</v>
      </c>
      <c r="BF168" s="145" t="e">
        <f ca="1">Table7[[#This Row],[Pbottom (mW)]]+Table7[[#This Row],[Ptop (mW)]]</f>
        <v>#VALUE!</v>
      </c>
      <c r="BG168" s="142"/>
      <c r="BH168" s="145">
        <f>MAX(0,Table7[[#This Row],[I_L]]-0.5*Table7[[#This Row],[I_L pkpk]])</f>
        <v>4.0304347826086975</v>
      </c>
      <c r="BI168" s="145">
        <f>Table7[[#This Row],[I_L]]+0.5*Table7[[#This Row],[I_L pkpk]]</f>
        <v>4.4217391304347817</v>
      </c>
      <c r="BJ168" s="145">
        <f>IF(VACnom&gt;Vbat, (VGS_S-(C_MOSFET_S_VTH_H_BU+Table7[[#This Row],[I_L]]/C_MOSFET_S_gFS_H_BU))/3.4, (VGS_S-(C_MOSFET_S_VTH_L_BO+Table7[[#This Row],[I_L]]/C_MOSFET_S_gFS_L_BO))/3.4 )</f>
        <v>2.9598730046741339</v>
      </c>
      <c r="BK168" s="145">
        <f>IF(VACnom&gt;Vbat, ((C_MOSFET_S_VTH_H_BU+Table7[[#This Row],[I_L]]/C_MOSFET_S_gFS_H_BU))/1, ((C_MOSFET_S_VTH_L_BO+Table7[[#This Row],[I_L]]/C_MOSFET_S_gFS_L_BO))/1 )</f>
        <v>1.9364317841079459</v>
      </c>
      <c r="BL168" s="145">
        <f>IF(VACnom&gt;Vbat, (C_MOSFET_S_QGD_H_BU+C_MOSFET_S_QGS_H_BU)*10^-9/Table7[[#This Row],[Ion (A) C]], (C_MOSFET_S_QGD_L_BO+C_MOSFET_S_QGS_L_BO)*10^-9/Table7[[#This Row],[Ion (A) C]])/10^-9</f>
        <v>5.236711161432571</v>
      </c>
      <c r="BM168" s="145">
        <f>IF(VACnom&gt;Vbat, (C_MOSFET_S_QGD_H_BU+C_MOSFET_S_QGS_H_BU)*10^-9/Table7[[#This Row],[Ioff (A) C]], (C_MOSFET_S_QGD_L_BO+C_MOSFET_S_QGS_L_BO)*10^-9/Table7[[#This Row],[Ioff (A) C]])/10^-9</f>
        <v>8.0044131310003088</v>
      </c>
      <c r="BN168" s="145">
        <f xml:space="preserve"> 0.5*VACnom*Table7[[#This Row],[Ivalley (A) C]]*Table7[[#This Row],[ton (ns) C]]*10^-9*Fsw*10^3+0.5*VACnom*Table7[[#This Row],[Ipeak (A) C]]*Table7[[#This Row],[toff (ns) C]]*10^-9*Fsw*10^3/10^-3</f>
        <v>130.32548136758339</v>
      </c>
      <c r="BO168" s="145">
        <f t="shared" si="12"/>
        <v>305.44000000000011</v>
      </c>
      <c r="BP168" s="145">
        <f t="shared" si="13"/>
        <v>357.69600000000014</v>
      </c>
      <c r="BQ168" s="145">
        <f t="shared" si="14"/>
        <v>1067.2000000000003</v>
      </c>
      <c r="BR168" s="145">
        <f>IF(VACnom&gt;Vbat, C_MOSFET_S_VSD_L_BU*Table7[[#This Row],[Ivalley (A) C]]*Fsw*10^3*40*10^-9+C_MOSFET_S_VSD_L_BU*Table7[[#This Row],[Ipeak (A) C]]*Fsw*10^3*30*10^-9, C_MOSFET_S_VSD_H_BO*Table7[[#This Row],[Ivalley (A) C]]*Fsw*10^3*40*10^-9+C_MOSFET_S_VSD_H_BO*Table7[[#This Row],[Ipeak (A) C]]*Fsw*10^3*30*10^-9)/10^-3</f>
        <v>47.019130434782632</v>
      </c>
      <c r="BS168" s="145">
        <f t="shared" si="15"/>
        <v>357.69600000000014</v>
      </c>
      <c r="BT168" s="145">
        <f>IF(VACnom&lt;Vbat, Table7[[#This Row],[Duty Cycle]]*Table7[[#This Row],[I_L RMS]]^2*C_MOSFET_S_RDSON_H_BU*10^-3, (1-Table7[[#This Row],[Duty Cycle]])*Table7[[#This Row],[I_L RMS]]^2*C_MOSFET_S_RDSON_H_BO*10^-3)/10^-3</f>
        <v>1.0101887893482318</v>
      </c>
      <c r="BU168" s="145">
        <f>IF(VACnom&gt;Vbat, Table7[[#This Row],[PIV (mW) C]]+Table7[[#This Row],[PQoss (mW) C]]+Table7[[#This Row],[Pgate_top (mW) C]], Table7[[#This Row],[PRR (mW) C]]+Table7[[#This Row],[Pdead (mW) C]]+Table7[[#This Row],[Pgate_top (mW) C]])</f>
        <v>793.4614813675837</v>
      </c>
      <c r="BV168" s="145">
        <f>Table7[[#This Row],[Pcon_top (mW) C]]+Table7[[#This Row],[Psw_top (mW) C]]</f>
        <v>794.47167015693196</v>
      </c>
      <c r="BW168" s="145">
        <f>IF(VACnom&gt;Vbat, (1-Table7[[#This Row],[Duty Cycle]])*Table7[[#This Row],[I_L RMS]]^2*C_MOSFET_S_RDSON_L_BU*10^-3, Table7[[#This Row],[Duty Cycle]]*Table7[[#This Row],[I_L RMS]]^2*C_MOSFET_S_RDSON_L_BO*10^-3)/10^-3</f>
        <v>0.66050805457384376</v>
      </c>
      <c r="BX168" s="145">
        <f>IF(VACnom&gt;Vbat, Table7[[#This Row],[PRR (mW) C]]+Table7[[#This Row],[Pdead (mW) C]]+Table7[[#This Row],[Pgate_bottom (mW) C]], Table7[[#This Row],[PIV (mW) C]]+Table7[[#This Row],[PQoss (mW) C]]+Table7[[#This Row],[Pgate_bottom (mW) C]])</f>
        <v>1471.9151304347831</v>
      </c>
      <c r="BY168" s="145">
        <f>Table7[[#This Row],[Pcon_bottom (mW) C]]+Table7[[#This Row],[Psw_bottom (mV) C]]</f>
        <v>1472.5756384893571</v>
      </c>
      <c r="BZ168" s="145">
        <f>Table7[[#This Row],[Pbottom (mW) C]]+Table7[[#This Row],[Ptop (mW) C]]</f>
        <v>2267.0473086462889</v>
      </c>
      <c r="CA168" s="148"/>
      <c r="CB168" s="144">
        <f>(RAC_SNS*10^-3*(Table7[[#This Row],[IOUT (A)]]*Vbat/VACnom)^2/10^-3)</f>
        <v>35.719621928166362</v>
      </c>
      <c r="CC168" s="144">
        <f>(RBAT_SNS*10^-3*Table7[[#This Row],[IOUT (A)]]^2)/10^-3</f>
        <v>93.311999999999998</v>
      </c>
      <c r="CD168" s="144">
        <f>IF(VACnom&gt;Vbat,(L_DRC*10^-3*(Table7[[#This Row],[IOUT (A)]])^2/10^-3),(L_DRC*10^-3*(Table7[[#This Row],[IOUT (A)]]*Vbat/VACnom)^2/10^-3))</f>
        <v>93.311999999999998</v>
      </c>
      <c r="CE168" s="152"/>
      <c r="CF168" s="145">
        <f>(Table7[[#This Row],[R_AC (mW)]]+Table7[[#This Row],[R_SR (mW)]]+Table7[[#This Row],[Inductor Loss (mW)]])/10^3</f>
        <v>0.2223436219281664</v>
      </c>
      <c r="CG168" s="145" t="e">
        <f ca="1">Table7[[#This Row],[Total TI (mW)]]/10^3</f>
        <v>#VALUE!</v>
      </c>
      <c r="CH168" s="145" t="e">
        <f ca="1">Table7[[#This Row],[Total Sense Loss]]+Table7[[#This Row],[Total MOSFET Loss]]</f>
        <v>#VALUE!</v>
      </c>
      <c r="CI168" s="149" t="e">
        <f ca="1">IF(Table7[[#This Row],[POUT (W)]]=0,0,(Table7[[#This Row],[POUT (W)]])/(Table7[[#This Row],[POUT (W)]]+Table7[[#This Row],[Total Power Loss (W)]]))*100</f>
        <v>#VALUE!</v>
      </c>
      <c r="CJ168" s="153"/>
      <c r="CK168" s="145">
        <f>(Table7[[#This Row],[R_AC (mW)]]+Table7[[#This Row],[R_SR (mW)]]+Table7[[#This Row],[Inductor Loss (mW)]])/10^3</f>
        <v>0.2223436219281664</v>
      </c>
      <c r="CL168" s="145">
        <f>Table7[[#This Row],[Total (mW) C]]/10^3</f>
        <v>2.2670473086462888</v>
      </c>
      <c r="CM168" s="145">
        <f>Table7[[#This Row],[Total Sense Loss C]]+Table7[[#This Row],[Total MOSFET Loss C]]</f>
        <v>2.489390930574455</v>
      </c>
      <c r="CN168" s="149">
        <f>IF(Table7[[#This Row],[POUT (W)]]=0,0,(Table7[[#This Row],[POUT (W)]])/(Table7[[#This Row],[POUT (W)]]+Table7[[#This Row],[Total Power Loss (W) C]]))*100</f>
        <v>98.45825107397485</v>
      </c>
      <c r="CO168" s="153"/>
      <c r="CP168" s="149">
        <f>IF(MOSFET_S=Custom_MOSFET,Table7[[#This Row],[Total Sense Loss C]],Table7[[#This Row],[Total Sense Loss]])</f>
        <v>0.2223436219281664</v>
      </c>
      <c r="CQ168" s="149">
        <f>IF(MOSFET_S=Custom_MOSFET,Table7[[#This Row],[Total MOSFET Loss C]],Table7[[#This Row],[Total MOSFET Loss]])</f>
        <v>2.2670473086462888</v>
      </c>
      <c r="CR168" s="149">
        <f>IF(MOSFET_S=Custom_MOSFET,Table7[[#This Row],[Efficiency C]],Table7[[#This Row],[Efficiency]])</f>
        <v>98.45825107397485</v>
      </c>
      <c r="CS168" s="153"/>
      <c r="CT168" s="149">
        <f>IF(MOSFET_S=Compare_MOSFET, Table7[[#This Row],[Total Sense Loss C]], -100)</f>
        <v>-100</v>
      </c>
      <c r="CU168" s="149">
        <f>IF(MOSFET_S=Compare_MOSFET, Table7[[#This Row],[Total MOSFET Loss C]], -100)</f>
        <v>-100</v>
      </c>
      <c r="CV168" s="149">
        <f>IF(MOSFET_S=Compare_MOSFET, Table7[[#This Row],[Efficiency C]], -100)</f>
        <v>-100</v>
      </c>
      <c r="CW168" s="153"/>
      <c r="CX168" s="149">
        <f ca="1">IF(Save_Sel=CLR_Save,  Table7[[#This Row],[Total Sense Loss P1]], Table7[[#This Row],[Total Sense Loss P1 Saved]])</f>
        <v>0.2223436219281664</v>
      </c>
      <c r="CY168" s="149">
        <f ca="1">IF(Save_Sel=CLR_Save,  Table7[[#This Row],[Total MOSFET Loss P1]], Table7[[#This Row],[Total MOSFET Loss P1 Saved]] )</f>
        <v>2.2670473086462888</v>
      </c>
      <c r="CZ168" s="149">
        <f ca="1">IF(Save_Sel=CLR_Save, Table7[[#This Row],[Efficiency P1]], Table7[[#This Row],[Efficiency P1 Saved]])</f>
        <v>98.45825107397485</v>
      </c>
      <c r="DA168" s="153"/>
      <c r="DB168" s="149">
        <f ca="1">IF(Save_Sel=CLR_Save,  Table7[[#This Row],[Total Sense Loss P2]], Table7[[#This Row],[Total Sense Loss P2 Saved]])</f>
        <v>-100</v>
      </c>
      <c r="DC168" s="149">
        <f ca="1">IF(Save_Sel=CLR_Save,  Table7[[#This Row],[Total MOSFET Loss P2]], Table7[[#This Row],[Total MOSFET Loss P2 Saved]] )</f>
        <v>-100</v>
      </c>
      <c r="DD168" s="149">
        <f ca="1">IF(Save_Sel=CLR_Save, Table7[[#This Row],[Efficiency P2]], Table7[[#This Row],[Efficiency P2 Saved]])</f>
        <v>-100</v>
      </c>
      <c r="DE168" s="153"/>
      <c r="DF168" s="19"/>
      <c r="DG168" s="19"/>
      <c r="DH168" s="19"/>
      <c r="DI168" s="19"/>
      <c r="DJ168" s="19"/>
      <c r="DK168" s="19"/>
      <c r="DL168" s="19"/>
      <c r="DM168" s="19"/>
      <c r="DN168" s="19"/>
      <c r="DO168" s="19"/>
      <c r="DP168" s="19"/>
      <c r="DQ168" s="19"/>
      <c r="DR168" s="19"/>
      <c r="DS168" s="19"/>
      <c r="DT168" s="19"/>
      <c r="DU168" s="19"/>
      <c r="DV168" s="19"/>
      <c r="DW168" s="19"/>
      <c r="DX168" s="19"/>
      <c r="DY168" s="19"/>
      <c r="DZ168" s="19"/>
      <c r="EA168" s="19"/>
      <c r="EB168" s="19"/>
      <c r="EC168" s="19"/>
      <c r="ED168" s="19"/>
      <c r="EE168" s="19"/>
      <c r="EF168" s="19"/>
      <c r="EG168" s="19"/>
      <c r="EH168" s="19"/>
      <c r="EI168" s="19"/>
      <c r="EJ168" s="19"/>
      <c r="EK168" s="19"/>
      <c r="EL168" s="19"/>
      <c r="EM168" s="19"/>
      <c r="EN168" s="19"/>
      <c r="EO168" s="19"/>
      <c r="EP168" s="19"/>
      <c r="EQ168" s="19"/>
      <c r="ER168" s="19"/>
      <c r="ES168" s="19"/>
      <c r="ET168" s="19"/>
      <c r="EU168" s="19"/>
      <c r="EV168" s="19"/>
      <c r="EW168" s="19"/>
      <c r="EX168" s="19"/>
      <c r="EY168" s="19"/>
      <c r="EZ168" s="19"/>
      <c r="FA168" s="19"/>
      <c r="FB168" s="19"/>
      <c r="FC168" s="19"/>
      <c r="FD168" s="19"/>
      <c r="FE168" s="19"/>
      <c r="FF168" s="19"/>
      <c r="FG168" s="19"/>
      <c r="FH168" s="19"/>
      <c r="FI168" s="19"/>
    </row>
    <row r="169" spans="1:165" x14ac:dyDescent="0.25">
      <c r="A169" s="48">
        <v>10</v>
      </c>
      <c r="B169" s="49"/>
      <c r="C169" s="49"/>
      <c r="D169" s="32" t="s">
        <v>147</v>
      </c>
      <c r="E169" s="66">
        <f t="shared" ca="1" si="20"/>
        <v>0.95</v>
      </c>
      <c r="F169" s="66">
        <f t="shared" ca="1" si="21"/>
        <v>0.95</v>
      </c>
      <c r="G169" s="120" t="s">
        <v>148</v>
      </c>
      <c r="H169" s="29"/>
      <c r="I169" s="48">
        <v>10</v>
      </c>
      <c r="J169" s="29"/>
      <c r="K169" s="49"/>
      <c r="L169" s="49"/>
      <c r="M169" s="32" t="s">
        <v>147</v>
      </c>
      <c r="N169" s="117">
        <f t="shared" si="18"/>
        <v>0.8</v>
      </c>
      <c r="O169" s="117">
        <f t="shared" si="19"/>
        <v>0.8</v>
      </c>
      <c r="P169" s="120" t="s">
        <v>148</v>
      </c>
      <c r="Q169" s="29"/>
      <c r="R169" s="29"/>
      <c r="S169" s="30"/>
      <c r="T169" s="18"/>
      <c r="U169" s="19"/>
      <c r="V169" s="19"/>
      <c r="W169" s="19"/>
      <c r="X169" s="19"/>
      <c r="Y169" s="19"/>
      <c r="Z169" s="19"/>
      <c r="AA169" s="19"/>
      <c r="AB169" s="19"/>
      <c r="AC169" s="19"/>
      <c r="AD169" s="19"/>
      <c r="AE169" s="19"/>
      <c r="AF169" s="143">
        <f t="shared" si="17"/>
        <v>13</v>
      </c>
      <c r="AG169" s="143">
        <f t="shared" si="16"/>
        <v>4.68</v>
      </c>
      <c r="AH169" s="144">
        <f t="shared" si="3"/>
        <v>172.22399999999999</v>
      </c>
      <c r="AI169" s="145">
        <f t="shared" si="4"/>
        <v>0.97826086956521752</v>
      </c>
      <c r="AJ169" s="145">
        <f t="shared" si="5"/>
        <v>4.5782608695652174</v>
      </c>
      <c r="AK169" s="145">
        <f t="shared" si="6"/>
        <v>0.39130434782608459</v>
      </c>
      <c r="AL169" s="145">
        <f t="shared" si="7"/>
        <v>4.5796541915495865</v>
      </c>
      <c r="AM169" s="146"/>
      <c r="AN169" s="145">
        <f>MAX(0,Table7[[#This Row],[I_L]]-0.5*Table7[[#This Row],[I_L pkpk]])</f>
        <v>4.3826086956521753</v>
      </c>
      <c r="AO169" s="145">
        <f>Table7[[#This Row],[I_L]]+0.5*Table7[[#This Row],[I_L pkpk]]</f>
        <v>4.7739130434782595</v>
      </c>
      <c r="AP169" s="145">
        <f ca="1">IF(VACnom&gt;Vbat, (VGS_S-(TI_MOSFET_S_VTH_H_BU+Table7[[#This Row],[I_L]]/TI_MOSFET_S_gFS_H_BU))/3.4, (VGS_S-(TI_MOSFET_S_VTH_L_BO+Table7[[#This Row],[I_L]]/TI_MOSFET_S_gFS_L_BO))/3.4 )</f>
        <v>3.0043478260869563</v>
      </c>
      <c r="AQ169" s="145">
        <f ca="1">IF(VACnom&gt;Vbat, ((TI_MOSFET_S_VTH_H_BU+Table7[[#This Row],[I_L]]/TI_MOSFET_S_gFS_H_BU))/1, ((TI_MOSFET_S_VTH_L_BO+Table7[[#This Row],[I_L]]/TI_MOSFET_S_gFS_L_BO))/1 )</f>
        <v>1.7852173913043479</v>
      </c>
      <c r="AR169" s="145">
        <f ca="1">IF(VACnom&gt;Vbat, (TI_MOSFET_S_QGD_H_BU+TI_MOSFET_S_QGS_H_BU)*10^-9/Table7[[#This Row],[Ion (A)]], (TI_MOSFET_S_QGD_L_BO+TI_MOSFET_S_QGS_L_BO)*10^-9/Table7[[#This Row],[Ion (A)]])/10^-9</f>
        <v>9.5861070911722148</v>
      </c>
      <c r="AS169" s="145">
        <f ca="1">IF(VACnom&gt;Vbat, (TI_MOSFET_S_QGD_H_BU+TI_MOSFET_S_QGS_H_BU)*10^-9/Table7[[#This Row],[Ioff (A)]], (TI_MOSFET_S_QGD_L_BO+TI_MOSFET_S_QGS_L_BO)*10^-9/Table7[[#This Row],[Ioff (A)]])/10^-9</f>
        <v>16.132489040428641</v>
      </c>
      <c r="AT169" s="145">
        <f ca="1" xml:space="preserve"> 0.5*VACnom*Table7[[#This Row],[Ivalley (A)]]*Table7[[#This Row],[ton (ns)]]*10^-9*Fsw*10^3+0.5*VACnom*Table7[[#This Row],[Ipeak (A)]]*Table7[[#This Row],[toff (ns)]]*10^-9*Fsw*10^3/10^-3</f>
        <v>283.57017219741675</v>
      </c>
      <c r="AU169" s="145">
        <f t="shared" ca="1" si="8"/>
        <v>268.64000000000004</v>
      </c>
      <c r="AV169" s="145" t="e">
        <f t="shared" si="9"/>
        <v>#VALUE!</v>
      </c>
      <c r="AW169" s="145">
        <f t="shared" ca="1" si="10"/>
        <v>566.72000000000025</v>
      </c>
      <c r="AX169" s="145">
        <f ca="1">IF(VACnom&gt;Vbat, TI_MOSFET_S_VSD_L_BU*Table7[[#This Row],[Ivalley (A)]]*Fsw*10^3*40*10^-9+TI_MOSFET_S_VSD_L_BU*Table7[[#This Row],[Ipeak (A)]]*Fsw*10^3*30*10^-9, TI_MOSFET_S_VSD_H_BO*Table7[[#This Row],[Ivalley (A)]]*Fsw*10^3*40*10^-9+TI_MOSFET_S_VSD_H_BO*Table7[[#This Row],[Ipeak (A)]]*Fsw*10^3*30*10^-9)/10^-3</f>
        <v>45.867130434782617</v>
      </c>
      <c r="AY169" s="145" t="e">
        <f t="shared" si="11"/>
        <v>#VALUE!</v>
      </c>
      <c r="AZ169" s="145" t="e">
        <f>IF(VACnom&lt;Vbat, Table7[[#This Row],[Duty Cycle]]*Table7[[#This Row],[I_L RMS]]^2*TI_MOSFET_S_RDSON_H_BU*10^-3, (1-Table7[[#This Row],[Duty Cycle]])*Table7[[#This Row],[I_L RMS]]^2*TI_MOSFET_S_RDSON_H_BO*10^-3)/10^-3</f>
        <v>#VALUE!</v>
      </c>
      <c r="BA169" s="145" t="e">
        <f ca="1">IF(VACnom&gt;Vbat, Table7[[#This Row],[PIV (mW)]]+Table7[[#This Row],[Pqoss (mW)]]+Table7[[#This Row],[Pgate_top (mW)]], Table7[[#This Row],[PRR (mW)]]+Table7[[#This Row],[Pdead (mW)]]+Table7[[#This Row],[Pgate_top (mW)]])</f>
        <v>#VALUE!</v>
      </c>
      <c r="BB169" s="145" t="e">
        <f ca="1">Table7[[#This Row],[Pcon_top (mW)]]+Table7[[#This Row],[Psw_top (mW)]]</f>
        <v>#VALUE!</v>
      </c>
      <c r="BC169" s="145" t="e">
        <f>IF(VACnom&gt;Vbat, (1-Table7[[#This Row],[Duty Cycle]])*Table7[[#This Row],[I_L RMS]]^2*TI_MOSFET_S_RDSON_L_BU*10^-3, Table7[[#This Row],[Duty Cycle]]*Table7[[#This Row],[I_L RMS]]^2*TI_MOSFET_S_RDSON_L_BO*10^-3)/10^-3</f>
        <v>#VALUE!</v>
      </c>
      <c r="BD169" s="145" t="e">
        <f ca="1">IF(VACnom&gt;Vbat, Table7[[#This Row],[PRR (mW)]]+Table7[[#This Row],[Pdead (mW)]]+Table7[[#This Row],[Pgate_bottom (mW)]], Table7[[#This Row],[PIV (mW)]]+Table7[[#This Row],[Pqoss (mW)]]+Table7[[#This Row],[Pgate_bottom (mW)]])</f>
        <v>#VALUE!</v>
      </c>
      <c r="BE169" s="147" t="e">
        <f ca="1">Table7[[#This Row],[Pcon_bottom (mW)]]+Table7[[#This Row],[Psw_bottom (mW)]]</f>
        <v>#VALUE!</v>
      </c>
      <c r="BF169" s="145" t="e">
        <f ca="1">Table7[[#This Row],[Pbottom (mW)]]+Table7[[#This Row],[Ptop (mW)]]</f>
        <v>#VALUE!</v>
      </c>
      <c r="BG169" s="142"/>
      <c r="BH169" s="145">
        <f>MAX(0,Table7[[#This Row],[I_L]]-0.5*Table7[[#This Row],[I_L pkpk]])</f>
        <v>4.3826086956521753</v>
      </c>
      <c r="BI169" s="145">
        <f>Table7[[#This Row],[I_L]]+0.5*Table7[[#This Row],[I_L pkpk]]</f>
        <v>4.7739130434782595</v>
      </c>
      <c r="BJ169" s="145">
        <f>IF(VACnom&gt;Vbat, (VGS_S-(C_MOSFET_S_VTH_H_BU+Table7[[#This Row],[I_L]]/C_MOSFET_S_gFS_H_BU))/3.4, (VGS_S-(C_MOSFET_S_VTH_L_BO+Table7[[#This Row],[I_L]]/C_MOSFET_S_gFS_L_BO))/3.4 )</f>
        <v>2.9589800687891352</v>
      </c>
      <c r="BK169" s="145">
        <f>IF(VACnom&gt;Vbat, ((C_MOSFET_S_VTH_H_BU+Table7[[#This Row],[I_L]]/C_MOSFET_S_gFS_H_BU))/1, ((C_MOSFET_S_VTH_L_BO+Table7[[#This Row],[I_L]]/C_MOSFET_S_gFS_L_BO))/1 )</f>
        <v>1.9394677661169415</v>
      </c>
      <c r="BL169" s="145">
        <f>IF(VACnom&gt;Vbat, (C_MOSFET_S_QGD_H_BU+C_MOSFET_S_QGS_H_BU)*10^-9/Table7[[#This Row],[Ion (A) C]], (C_MOSFET_S_QGD_L_BO+C_MOSFET_S_QGS_L_BO)*10^-9/Table7[[#This Row],[Ion (A) C]])/10^-9</f>
        <v>5.2382914516699879</v>
      </c>
      <c r="BM169" s="145">
        <f>IF(VACnom&gt;Vbat, (C_MOSFET_S_QGD_H_BU+C_MOSFET_S_QGS_H_BU)*10^-9/Table7[[#This Row],[Ioff (A) C]], (C_MOSFET_S_QGD_L_BO+C_MOSFET_S_QGS_L_BO)*10^-9/Table7[[#This Row],[Ioff (A) C]])/10^-9</f>
        <v>7.9918832737462555</v>
      </c>
      <c r="BN169" s="145">
        <f xml:space="preserve"> 0.5*VACnom*Table7[[#This Row],[Ivalley (A) C]]*Table7[[#This Row],[ton (ns) C]]*10^-9*Fsw*10^3+0.5*VACnom*Table7[[#This Row],[Ipeak (A) C]]*Table7[[#This Row],[toff (ns) C]]*10^-9*Fsw*10^3/10^-3</f>
        <v>140.4858885177068</v>
      </c>
      <c r="BO169" s="145">
        <f t="shared" si="12"/>
        <v>305.44000000000011</v>
      </c>
      <c r="BP169" s="145">
        <f t="shared" si="13"/>
        <v>357.69600000000014</v>
      </c>
      <c r="BQ169" s="145">
        <f t="shared" si="14"/>
        <v>1067.2000000000003</v>
      </c>
      <c r="BR169" s="145">
        <f>IF(VACnom&gt;Vbat, C_MOSFET_S_VSD_L_BU*Table7[[#This Row],[Ivalley (A) C]]*Fsw*10^3*40*10^-9+C_MOSFET_S_VSD_L_BU*Table7[[#This Row],[Ipeak (A) C]]*Fsw*10^3*30*10^-9, C_MOSFET_S_VSD_H_BO*Table7[[#This Row],[Ivalley (A) C]]*Fsw*10^3*40*10^-9+C_MOSFET_S_VSD_H_BO*Table7[[#This Row],[Ipeak (A) C]]*Fsw*10^3*30*10^-9)/10^-3</f>
        <v>50.963478260869579</v>
      </c>
      <c r="BS169" s="145">
        <f t="shared" si="15"/>
        <v>357.69600000000014</v>
      </c>
      <c r="BT169" s="145">
        <f>IF(VACnom&lt;Vbat, Table7[[#This Row],[Duty Cycle]]*Table7[[#This Row],[I_L RMS]]^2*C_MOSFET_S_RDSON_H_BU*10^-3, (1-Table7[[#This Row],[Duty Cycle]])*Table7[[#This Row],[I_L RMS]]^2*C_MOSFET_S_RDSON_H_BO*10^-3)/10^-3</f>
        <v>1.1854435768882976</v>
      </c>
      <c r="BU169" s="145">
        <f>IF(VACnom&gt;Vbat, Table7[[#This Row],[PIV (mW) C]]+Table7[[#This Row],[PQoss (mW) C]]+Table7[[#This Row],[Pgate_top (mW) C]], Table7[[#This Row],[PRR (mW) C]]+Table7[[#This Row],[Pdead (mW) C]]+Table7[[#This Row],[Pgate_top (mW) C]])</f>
        <v>803.62188851770702</v>
      </c>
      <c r="BV169" s="145">
        <f>Table7[[#This Row],[Pcon_top (mW) C]]+Table7[[#This Row],[Psw_top (mW) C]]</f>
        <v>804.80733209459527</v>
      </c>
      <c r="BW169" s="145">
        <f>IF(VACnom&gt;Vbat, (1-Table7[[#This Row],[Duty Cycle]])*Table7[[#This Row],[I_L RMS]]^2*C_MOSFET_S_RDSON_L_BU*10^-3, Table7[[#This Row],[Duty Cycle]]*Table7[[#This Row],[I_L RMS]]^2*C_MOSFET_S_RDSON_L_BO*10^-3)/10^-3</f>
        <v>0.77509772335004079</v>
      </c>
      <c r="BX169" s="145">
        <f>IF(VACnom&gt;Vbat, Table7[[#This Row],[PRR (mW) C]]+Table7[[#This Row],[Pdead (mW) C]]+Table7[[#This Row],[Pgate_bottom (mW) C]], Table7[[#This Row],[PIV (mW) C]]+Table7[[#This Row],[PQoss (mW) C]]+Table7[[#This Row],[Pgate_bottom (mW) C]])</f>
        <v>1475.85947826087</v>
      </c>
      <c r="BY169" s="145">
        <f>Table7[[#This Row],[Pcon_bottom (mW) C]]+Table7[[#This Row],[Psw_bottom (mV) C]]</f>
        <v>1476.63457598422</v>
      </c>
      <c r="BZ169" s="145">
        <f>Table7[[#This Row],[Pbottom (mW) C]]+Table7[[#This Row],[Ptop (mW) C]]</f>
        <v>2281.4419080788152</v>
      </c>
      <c r="CA169" s="148"/>
      <c r="CB169" s="144">
        <f>(RAC_SNS*10^-3*(Table7[[#This Row],[IOUT (A)]]*Vbat/VACnom)^2/10^-3)</f>
        <v>41.920945179584123</v>
      </c>
      <c r="CC169" s="144">
        <f>(RBAT_SNS*10^-3*Table7[[#This Row],[IOUT (A)]]^2)/10^-3</f>
        <v>109.51199999999999</v>
      </c>
      <c r="CD169" s="144">
        <f>IF(VACnom&gt;Vbat,(L_DRC*10^-3*(Table7[[#This Row],[IOUT (A)]])^2/10^-3),(L_DRC*10^-3*(Table7[[#This Row],[IOUT (A)]]*Vbat/VACnom)^2/10^-3))</f>
        <v>109.51199999999999</v>
      </c>
      <c r="CE169" s="152"/>
      <c r="CF169" s="145">
        <f>(Table7[[#This Row],[R_AC (mW)]]+Table7[[#This Row],[R_SR (mW)]]+Table7[[#This Row],[Inductor Loss (mW)]])/10^3</f>
        <v>0.26094494517958411</v>
      </c>
      <c r="CG169" s="145" t="e">
        <f ca="1">Table7[[#This Row],[Total TI (mW)]]/10^3</f>
        <v>#VALUE!</v>
      </c>
      <c r="CH169" s="145" t="e">
        <f ca="1">Table7[[#This Row],[Total Sense Loss]]+Table7[[#This Row],[Total MOSFET Loss]]</f>
        <v>#VALUE!</v>
      </c>
      <c r="CI169" s="149" t="e">
        <f ca="1">IF(Table7[[#This Row],[POUT (W)]]=0,0,(Table7[[#This Row],[POUT (W)]])/(Table7[[#This Row],[POUT (W)]]+Table7[[#This Row],[Total Power Loss (W)]]))*100</f>
        <v>#VALUE!</v>
      </c>
      <c r="CJ169" s="153"/>
      <c r="CK169" s="145">
        <f>(Table7[[#This Row],[R_AC (mW)]]+Table7[[#This Row],[R_SR (mW)]]+Table7[[#This Row],[Inductor Loss (mW)]])/10^3</f>
        <v>0.26094494517958411</v>
      </c>
      <c r="CL169" s="145">
        <f>Table7[[#This Row],[Total (mW) C]]/10^3</f>
        <v>2.2814419080788153</v>
      </c>
      <c r="CM169" s="145">
        <f>Table7[[#This Row],[Total Sense Loss C]]+Table7[[#This Row],[Total MOSFET Loss C]]</f>
        <v>2.5423868532583995</v>
      </c>
      <c r="CN169" s="149">
        <f>IF(Table7[[#This Row],[POUT (W)]]=0,0,(Table7[[#This Row],[POUT (W)]])/(Table7[[#This Row],[POUT (W)]]+Table7[[#This Row],[Total Power Loss (W) C]]))*100</f>
        <v>98.54526554045367</v>
      </c>
      <c r="CO169" s="153"/>
      <c r="CP169" s="149">
        <f>IF(MOSFET_S=Custom_MOSFET,Table7[[#This Row],[Total Sense Loss C]],Table7[[#This Row],[Total Sense Loss]])</f>
        <v>0.26094494517958411</v>
      </c>
      <c r="CQ169" s="149">
        <f>IF(MOSFET_S=Custom_MOSFET,Table7[[#This Row],[Total MOSFET Loss C]],Table7[[#This Row],[Total MOSFET Loss]])</f>
        <v>2.2814419080788153</v>
      </c>
      <c r="CR169" s="149">
        <f>IF(MOSFET_S=Custom_MOSFET,Table7[[#This Row],[Efficiency C]],Table7[[#This Row],[Efficiency]])</f>
        <v>98.54526554045367</v>
      </c>
      <c r="CS169" s="153"/>
      <c r="CT169" s="149">
        <f>IF(MOSFET_S=Compare_MOSFET, Table7[[#This Row],[Total Sense Loss C]], -100)</f>
        <v>-100</v>
      </c>
      <c r="CU169" s="149">
        <f>IF(MOSFET_S=Compare_MOSFET, Table7[[#This Row],[Total MOSFET Loss C]], -100)</f>
        <v>-100</v>
      </c>
      <c r="CV169" s="149">
        <f>IF(MOSFET_S=Compare_MOSFET, Table7[[#This Row],[Efficiency C]], -100)</f>
        <v>-100</v>
      </c>
      <c r="CW169" s="153"/>
      <c r="CX169" s="149">
        <f ca="1">IF(Save_Sel=CLR_Save,  Table7[[#This Row],[Total Sense Loss P1]], Table7[[#This Row],[Total Sense Loss P1 Saved]])</f>
        <v>0.26094494517958411</v>
      </c>
      <c r="CY169" s="149">
        <f ca="1">IF(Save_Sel=CLR_Save,  Table7[[#This Row],[Total MOSFET Loss P1]], Table7[[#This Row],[Total MOSFET Loss P1 Saved]] )</f>
        <v>2.2814419080788153</v>
      </c>
      <c r="CZ169" s="149">
        <f ca="1">IF(Save_Sel=CLR_Save, Table7[[#This Row],[Efficiency P1]], Table7[[#This Row],[Efficiency P1 Saved]])</f>
        <v>98.54526554045367</v>
      </c>
      <c r="DA169" s="153"/>
      <c r="DB169" s="149">
        <f ca="1">IF(Save_Sel=CLR_Save,  Table7[[#This Row],[Total Sense Loss P2]], Table7[[#This Row],[Total Sense Loss P2 Saved]])</f>
        <v>-100</v>
      </c>
      <c r="DC169" s="149">
        <f ca="1">IF(Save_Sel=CLR_Save,  Table7[[#This Row],[Total MOSFET Loss P2]], Table7[[#This Row],[Total MOSFET Loss P2 Saved]] )</f>
        <v>-100</v>
      </c>
      <c r="DD169" s="149">
        <f ca="1">IF(Save_Sel=CLR_Save, Table7[[#This Row],[Efficiency P2]], Table7[[#This Row],[Efficiency P2 Saved]])</f>
        <v>-100</v>
      </c>
      <c r="DE169" s="153"/>
      <c r="DF169" s="19"/>
      <c r="DG169" s="19"/>
      <c r="DH169" s="19"/>
      <c r="DI169" s="19"/>
      <c r="DJ169" s="19"/>
      <c r="DK169" s="19"/>
      <c r="DL169" s="19"/>
      <c r="DM169" s="19"/>
      <c r="DN169" s="19"/>
      <c r="DO169" s="19"/>
      <c r="DP169" s="19"/>
      <c r="DQ169" s="19"/>
      <c r="DR169" s="19"/>
      <c r="DS169" s="19"/>
      <c r="DT169" s="19"/>
      <c r="DU169" s="19"/>
      <c r="DV169" s="19"/>
      <c r="DW169" s="19"/>
      <c r="DX169" s="19"/>
      <c r="DY169" s="19"/>
      <c r="DZ169" s="19"/>
      <c r="EA169" s="19"/>
      <c r="EB169" s="19"/>
      <c r="EC169" s="19"/>
      <c r="ED169" s="19"/>
      <c r="EE169" s="19"/>
      <c r="EF169" s="19"/>
      <c r="EG169" s="19"/>
      <c r="EH169" s="19"/>
      <c r="EI169" s="19"/>
      <c r="EJ169" s="19"/>
      <c r="EK169" s="19"/>
      <c r="EL169" s="19"/>
      <c r="EM169" s="19"/>
      <c r="EN169" s="19"/>
      <c r="EO169" s="19"/>
      <c r="EP169" s="19"/>
      <c r="EQ169" s="19"/>
      <c r="ER169" s="19"/>
      <c r="ES169" s="19"/>
      <c r="ET169" s="19"/>
      <c r="EU169" s="19"/>
      <c r="EV169" s="19"/>
      <c r="EW169" s="19"/>
      <c r="EX169" s="19"/>
      <c r="EY169" s="19"/>
      <c r="EZ169" s="19"/>
      <c r="FA169" s="19"/>
      <c r="FB169" s="19"/>
      <c r="FC169" s="19"/>
      <c r="FD169" s="19"/>
      <c r="FE169" s="19"/>
      <c r="FF169" s="19"/>
      <c r="FG169" s="19"/>
      <c r="FH169" s="19"/>
      <c r="FI169" s="19"/>
    </row>
    <row r="170" spans="1:165" x14ac:dyDescent="0.25">
      <c r="A170" s="48">
        <v>11</v>
      </c>
      <c r="B170" s="49"/>
      <c r="C170" s="49"/>
      <c r="D170" s="32" t="s">
        <v>149</v>
      </c>
      <c r="E170" s="66">
        <f t="shared" ca="1" si="20"/>
        <v>130</v>
      </c>
      <c r="F170" s="66">
        <f t="shared" ca="1" si="21"/>
        <v>130</v>
      </c>
      <c r="G170" s="42" t="s">
        <v>150</v>
      </c>
      <c r="H170" s="29"/>
      <c r="I170" s="48">
        <v>11</v>
      </c>
      <c r="J170" s="29"/>
      <c r="K170" s="49"/>
      <c r="L170" s="49"/>
      <c r="M170" s="32" t="s">
        <v>149</v>
      </c>
      <c r="N170" s="117">
        <f t="shared" si="18"/>
        <v>116</v>
      </c>
      <c r="O170" s="117">
        <f t="shared" si="19"/>
        <v>116</v>
      </c>
      <c r="P170" s="42" t="s">
        <v>150</v>
      </c>
      <c r="Q170" s="29"/>
      <c r="R170" s="29"/>
      <c r="S170" s="30"/>
      <c r="T170" s="18"/>
      <c r="U170" s="19"/>
      <c r="V170" s="19"/>
      <c r="W170" s="19"/>
      <c r="X170" s="19"/>
      <c r="Y170" s="19"/>
      <c r="Z170" s="19"/>
      <c r="AA170" s="19"/>
      <c r="AB170" s="19"/>
      <c r="AC170" s="19"/>
      <c r="AD170" s="19"/>
      <c r="AE170" s="19"/>
      <c r="AF170" s="143">
        <f>AF169+1</f>
        <v>14</v>
      </c>
      <c r="AG170" s="143">
        <f t="shared" si="16"/>
        <v>5.04</v>
      </c>
      <c r="AH170" s="144">
        <f t="shared" si="3"/>
        <v>185.47199999999998</v>
      </c>
      <c r="AI170" s="145">
        <f t="shared" si="4"/>
        <v>0.97826086956521752</v>
      </c>
      <c r="AJ170" s="145">
        <f t="shared" si="5"/>
        <v>4.9304347826086961</v>
      </c>
      <c r="AK170" s="145">
        <f t="shared" si="6"/>
        <v>0.39130434782608459</v>
      </c>
      <c r="AL170" s="145">
        <f t="shared" si="7"/>
        <v>4.9317286087074272</v>
      </c>
      <c r="AM170" s="146"/>
      <c r="AN170" s="145">
        <f>MAX(0,Table7[[#This Row],[I_L]]-0.5*Table7[[#This Row],[I_L pkpk]])</f>
        <v>4.7347826086956539</v>
      </c>
      <c r="AO170" s="145">
        <f>Table7[[#This Row],[I_L]]+0.5*Table7[[#This Row],[I_L pkpk]]</f>
        <v>5.1260869565217382</v>
      </c>
      <c r="AP170" s="145">
        <f ca="1">IF(VACnom&gt;Vbat, (VGS_S-(TI_MOSFET_S_VTH_H_BU+Table7[[#This Row],[I_L]]/TI_MOSFET_S_gFS_H_BU))/3.4, (VGS_S-(TI_MOSFET_S_VTH_L_BO+Table7[[#This Row],[I_L]]/TI_MOSFET_S_gFS_L_BO))/3.4 )</f>
        <v>3.0035510525280347</v>
      </c>
      <c r="AQ170" s="145">
        <f ca="1">IF(VACnom&gt;Vbat, ((TI_MOSFET_S_VTH_H_BU+Table7[[#This Row],[I_L]]/TI_MOSFET_S_gFS_H_BU))/1, ((TI_MOSFET_S_VTH_L_BO+Table7[[#This Row],[I_L]]/TI_MOSFET_S_gFS_L_BO))/1 )</f>
        <v>1.7879264214046824</v>
      </c>
      <c r="AR170" s="145">
        <f ca="1">IF(VACnom&gt;Vbat, (TI_MOSFET_S_QGD_H_BU+TI_MOSFET_S_QGS_H_BU)*10^-9/Table7[[#This Row],[Ion (A)]], (TI_MOSFET_S_QGD_L_BO+TI_MOSFET_S_QGS_L_BO)*10^-9/Table7[[#This Row],[Ion (A)]])/10^-9</f>
        <v>9.5886500666467978</v>
      </c>
      <c r="AS170" s="145">
        <f ca="1">IF(VACnom&gt;Vbat, (TI_MOSFET_S_QGD_H_BU+TI_MOSFET_S_QGS_H_BU)*10^-9/Table7[[#This Row],[Ioff (A)]], (TI_MOSFET_S_QGD_L_BO+TI_MOSFET_S_QGS_L_BO)*10^-9/Table7[[#This Row],[Ioff (A)]])/10^-9</f>
        <v>16.108045417983874</v>
      </c>
      <c r="AT170" s="145">
        <f ca="1" xml:space="preserve"> 0.5*VACnom*Table7[[#This Row],[Ivalley (A)]]*Table7[[#This Row],[ton (ns)]]*10^-9*Fsw*10^3+0.5*VACnom*Table7[[#This Row],[Ipeak (A)]]*Table7[[#This Row],[toff (ns)]]*10^-9*Fsw*10^3/10^-3</f>
        <v>304.02924140360903</v>
      </c>
      <c r="AU170" s="145">
        <f t="shared" ca="1" si="8"/>
        <v>268.64000000000004</v>
      </c>
      <c r="AV170" s="145" t="e">
        <f t="shared" si="9"/>
        <v>#VALUE!</v>
      </c>
      <c r="AW170" s="145">
        <f t="shared" ca="1" si="10"/>
        <v>566.72000000000025</v>
      </c>
      <c r="AX170" s="145">
        <f ca="1">IF(VACnom&gt;Vbat, TI_MOSFET_S_VSD_L_BU*Table7[[#This Row],[Ivalley (A)]]*Fsw*10^3*40*10^-9+TI_MOSFET_S_VSD_L_BU*Table7[[#This Row],[Ipeak (A)]]*Fsw*10^3*30*10^-9, TI_MOSFET_S_VSD_H_BO*Table7[[#This Row],[Ivalley (A)]]*Fsw*10^3*40*10^-9+TI_MOSFET_S_VSD_H_BO*Table7[[#This Row],[Ipeak (A)]]*Fsw*10^3*30*10^-9)/10^-3</f>
        <v>49.417043478260879</v>
      </c>
      <c r="AY170" s="145" t="e">
        <f t="shared" si="11"/>
        <v>#VALUE!</v>
      </c>
      <c r="AZ170" s="145" t="e">
        <f>IF(VACnom&lt;Vbat, Table7[[#This Row],[Duty Cycle]]*Table7[[#This Row],[I_L RMS]]^2*TI_MOSFET_S_RDSON_H_BU*10^-3, (1-Table7[[#This Row],[Duty Cycle]])*Table7[[#This Row],[I_L RMS]]^2*TI_MOSFET_S_RDSON_H_BO*10^-3)/10^-3</f>
        <v>#VALUE!</v>
      </c>
      <c r="BA170" s="145" t="e">
        <f ca="1">IF(VACnom&gt;Vbat, Table7[[#This Row],[PIV (mW)]]+Table7[[#This Row],[Pqoss (mW)]]+Table7[[#This Row],[Pgate_top (mW)]], Table7[[#This Row],[PRR (mW)]]+Table7[[#This Row],[Pdead (mW)]]+Table7[[#This Row],[Pgate_top (mW)]])</f>
        <v>#VALUE!</v>
      </c>
      <c r="BB170" s="145" t="e">
        <f ca="1">Table7[[#This Row],[Pcon_top (mW)]]+Table7[[#This Row],[Psw_top (mW)]]</f>
        <v>#VALUE!</v>
      </c>
      <c r="BC170" s="145" t="e">
        <f>IF(VACnom&gt;Vbat, (1-Table7[[#This Row],[Duty Cycle]])*Table7[[#This Row],[I_L RMS]]^2*TI_MOSFET_S_RDSON_L_BU*10^-3, Table7[[#This Row],[Duty Cycle]]*Table7[[#This Row],[I_L RMS]]^2*TI_MOSFET_S_RDSON_L_BO*10^-3)/10^-3</f>
        <v>#VALUE!</v>
      </c>
      <c r="BD170" s="145" t="e">
        <f ca="1">IF(VACnom&gt;Vbat, Table7[[#This Row],[PRR (mW)]]+Table7[[#This Row],[Pdead (mW)]]+Table7[[#This Row],[Pgate_bottom (mW)]], Table7[[#This Row],[PIV (mW)]]+Table7[[#This Row],[Pqoss (mW)]]+Table7[[#This Row],[Pgate_bottom (mW)]])</f>
        <v>#VALUE!</v>
      </c>
      <c r="BE170" s="147" t="e">
        <f ca="1">Table7[[#This Row],[Pcon_bottom (mW)]]+Table7[[#This Row],[Psw_bottom (mW)]]</f>
        <v>#VALUE!</v>
      </c>
      <c r="BF170" s="145" t="e">
        <f ca="1">Table7[[#This Row],[Pbottom (mW)]]+Table7[[#This Row],[Ptop (mW)]]</f>
        <v>#VALUE!</v>
      </c>
      <c r="BG170" s="142"/>
      <c r="BH170" s="145">
        <f>MAX(0,Table7[[#This Row],[I_L]]-0.5*Table7[[#This Row],[I_L pkpk]])</f>
        <v>4.7347826086956539</v>
      </c>
      <c r="BI170" s="145">
        <f>Table7[[#This Row],[I_L]]+0.5*Table7[[#This Row],[I_L pkpk]]</f>
        <v>5.1260869565217382</v>
      </c>
      <c r="BJ170" s="145">
        <f>IF(VACnom&gt;Vbat, (VGS_S-(C_MOSFET_S_VTH_H_BU+Table7[[#This Row],[I_L]]/C_MOSFET_S_gFS_H_BU))/3.4, (VGS_S-(C_MOSFET_S_VTH_L_BO+Table7[[#This Row],[I_L]]/C_MOSFET_S_gFS_L_BO))/3.4 )</f>
        <v>2.9580871329041365</v>
      </c>
      <c r="BK170" s="145">
        <f>IF(VACnom&gt;Vbat, ((C_MOSFET_S_VTH_H_BU+Table7[[#This Row],[I_L]]/C_MOSFET_S_gFS_H_BU))/1, ((C_MOSFET_S_VTH_L_BO+Table7[[#This Row],[I_L]]/C_MOSFET_S_gFS_L_BO))/1 )</f>
        <v>1.9425037481259368</v>
      </c>
      <c r="BL170" s="145">
        <f>IF(VACnom&gt;Vbat, (C_MOSFET_S_QGD_H_BU+C_MOSFET_S_QGS_H_BU)*10^-9/Table7[[#This Row],[Ion (A) C]], (C_MOSFET_S_QGD_L_BO+C_MOSFET_S_QGS_L_BO)*10^-9/Table7[[#This Row],[Ion (A) C]])/10^-9</f>
        <v>5.2398726959684563</v>
      </c>
      <c r="BM170" s="145">
        <f>IF(VACnom&gt;Vbat, (C_MOSFET_S_QGD_H_BU+C_MOSFET_S_QGS_H_BU)*10^-9/Table7[[#This Row],[Ioff (A) C]], (C_MOSFET_S_QGD_L_BO+C_MOSFET_S_QGS_L_BO)*10^-9/Table7[[#This Row],[Ioff (A) C]])/10^-9</f>
        <v>7.9793925828734604</v>
      </c>
      <c r="BN170" s="145">
        <f xml:space="preserve"> 0.5*VACnom*Table7[[#This Row],[Ivalley (A) C]]*Table7[[#This Row],[ton (ns) C]]*10^-9*Fsw*10^3+0.5*VACnom*Table7[[#This Row],[Ipeak (A) C]]*Table7[[#This Row],[toff (ns) C]]*10^-9*Fsw*10^3/10^-3</f>
        <v>150.61456122517953</v>
      </c>
      <c r="BO170" s="145">
        <f t="shared" si="12"/>
        <v>305.44000000000011</v>
      </c>
      <c r="BP170" s="145">
        <f t="shared" si="13"/>
        <v>357.69600000000014</v>
      </c>
      <c r="BQ170" s="145">
        <f t="shared" si="14"/>
        <v>1067.2000000000003</v>
      </c>
      <c r="BR170" s="145">
        <f>IF(VACnom&gt;Vbat, C_MOSFET_S_VSD_L_BU*Table7[[#This Row],[Ivalley (A) C]]*Fsw*10^3*40*10^-9+C_MOSFET_S_VSD_L_BU*Table7[[#This Row],[Ipeak (A) C]]*Fsw*10^3*30*10^-9, C_MOSFET_S_VSD_H_BO*Table7[[#This Row],[Ivalley (A) C]]*Fsw*10^3*40*10^-9+C_MOSFET_S_VSD_H_BO*Table7[[#This Row],[Ipeak (A) C]]*Fsw*10^3*30*10^-9)/10^-3</f>
        <v>54.907826086956547</v>
      </c>
      <c r="BS170" s="145">
        <f t="shared" si="15"/>
        <v>357.69600000000014</v>
      </c>
      <c r="BT170" s="145">
        <f>IF(VACnom&lt;Vbat, Table7[[#This Row],[Duty Cycle]]*Table7[[#This Row],[I_L RMS]]^2*C_MOSFET_S_RDSON_H_BU*10^-3, (1-Table7[[#This Row],[Duty Cycle]])*Table7[[#This Row],[I_L RMS]]^2*C_MOSFET_S_RDSON_H_BO*10^-3)/10^-3</f>
        <v>1.3747187474315696</v>
      </c>
      <c r="BU170" s="145">
        <f>IF(VACnom&gt;Vbat, Table7[[#This Row],[PIV (mW) C]]+Table7[[#This Row],[PQoss (mW) C]]+Table7[[#This Row],[Pgate_top (mW) C]], Table7[[#This Row],[PRR (mW) C]]+Table7[[#This Row],[Pdead (mW) C]]+Table7[[#This Row],[Pgate_top (mW) C]])</f>
        <v>813.75056122517981</v>
      </c>
      <c r="BV170" s="145">
        <f>Table7[[#This Row],[Pcon_top (mW) C]]+Table7[[#This Row],[Psw_top (mW) C]]</f>
        <v>815.12527997261134</v>
      </c>
      <c r="BW170" s="145">
        <f>IF(VACnom&gt;Vbat, (1-Table7[[#This Row],[Duty Cycle]])*Table7[[#This Row],[I_L RMS]]^2*C_MOSFET_S_RDSON_L_BU*10^-3, Table7[[#This Row],[Duty Cycle]]*Table7[[#This Row],[I_L RMS]]^2*C_MOSFET_S_RDSON_L_BO*10^-3)/10^-3</f>
        <v>0.89885456562833399</v>
      </c>
      <c r="BX170" s="145">
        <f>IF(VACnom&gt;Vbat, Table7[[#This Row],[PRR (mW) C]]+Table7[[#This Row],[Pdead (mW) C]]+Table7[[#This Row],[Pgate_bottom (mW) C]], Table7[[#This Row],[PIV (mW) C]]+Table7[[#This Row],[PQoss (mW) C]]+Table7[[#This Row],[Pgate_bottom (mW) C]])</f>
        <v>1479.8038260869569</v>
      </c>
      <c r="BY170" s="145">
        <f>Table7[[#This Row],[Pcon_bottom (mW) C]]+Table7[[#This Row],[Psw_bottom (mV) C]]</f>
        <v>1480.7026806525853</v>
      </c>
      <c r="BZ170" s="145">
        <f>Table7[[#This Row],[Pbottom (mW) C]]+Table7[[#This Row],[Ptop (mW) C]]</f>
        <v>2295.8279606251967</v>
      </c>
      <c r="CA170" s="148"/>
      <c r="CB170" s="144">
        <f>(RAC_SNS*10^-3*(Table7[[#This Row],[IOUT (A)]]*Vbat/VACnom)^2/10^-3)</f>
        <v>48.618374291115323</v>
      </c>
      <c r="CC170" s="144">
        <f>(RBAT_SNS*10^-3*Table7[[#This Row],[IOUT (A)]]^2)/10^-3</f>
        <v>127.00800000000001</v>
      </c>
      <c r="CD170" s="144">
        <f>IF(VACnom&gt;Vbat,(L_DRC*10^-3*(Table7[[#This Row],[IOUT (A)]])^2/10^-3),(L_DRC*10^-3*(Table7[[#This Row],[IOUT (A)]]*Vbat/VACnom)^2/10^-3))</f>
        <v>127.00800000000001</v>
      </c>
      <c r="CE170" s="152"/>
      <c r="CF170" s="145">
        <f>(Table7[[#This Row],[R_AC (mW)]]+Table7[[#This Row],[R_SR (mW)]]+Table7[[#This Row],[Inductor Loss (mW)]])/10^3</f>
        <v>0.30263437429111534</v>
      </c>
      <c r="CG170" s="145" t="e">
        <f ca="1">Table7[[#This Row],[Total TI (mW)]]/10^3</f>
        <v>#VALUE!</v>
      </c>
      <c r="CH170" s="145" t="e">
        <f ca="1">Table7[[#This Row],[Total Sense Loss]]+Table7[[#This Row],[Total MOSFET Loss]]</f>
        <v>#VALUE!</v>
      </c>
      <c r="CI170" s="149" t="e">
        <f ca="1">IF(Table7[[#This Row],[POUT (W)]]=0,0,(Table7[[#This Row],[POUT (W)]])/(Table7[[#This Row],[POUT (W)]]+Table7[[#This Row],[Total Power Loss (W)]]))*100</f>
        <v>#VALUE!</v>
      </c>
      <c r="CJ170" s="153"/>
      <c r="CK170" s="145">
        <f>(Table7[[#This Row],[R_AC (mW)]]+Table7[[#This Row],[R_SR (mW)]]+Table7[[#This Row],[Inductor Loss (mW)]])/10^3</f>
        <v>0.30263437429111534</v>
      </c>
      <c r="CL170" s="145">
        <f>Table7[[#This Row],[Total (mW) C]]/10^3</f>
        <v>2.2958279606251968</v>
      </c>
      <c r="CM170" s="145">
        <f>Table7[[#This Row],[Total Sense Loss C]]+Table7[[#This Row],[Total MOSFET Loss C]]</f>
        <v>2.5984623349163121</v>
      </c>
      <c r="CN170" s="149">
        <f>IF(Table7[[#This Row],[POUT (W)]]=0,0,(Table7[[#This Row],[POUT (W)]])/(Table7[[#This Row],[POUT (W)]]+Table7[[#This Row],[Total Power Loss (W) C]]))*100</f>
        <v>98.618357022864672</v>
      </c>
      <c r="CO170" s="153"/>
      <c r="CP170" s="149">
        <f>IF(MOSFET_S=Custom_MOSFET,Table7[[#This Row],[Total Sense Loss C]],Table7[[#This Row],[Total Sense Loss]])</f>
        <v>0.30263437429111534</v>
      </c>
      <c r="CQ170" s="149">
        <f>IF(MOSFET_S=Custom_MOSFET,Table7[[#This Row],[Total MOSFET Loss C]],Table7[[#This Row],[Total MOSFET Loss]])</f>
        <v>2.2958279606251968</v>
      </c>
      <c r="CR170" s="149">
        <f>IF(MOSFET_S=Custom_MOSFET,Table7[[#This Row],[Efficiency C]],Table7[[#This Row],[Efficiency]])</f>
        <v>98.618357022864672</v>
      </c>
      <c r="CS170" s="153"/>
      <c r="CT170" s="149">
        <f>IF(MOSFET_S=Compare_MOSFET, Table7[[#This Row],[Total Sense Loss C]], -100)</f>
        <v>-100</v>
      </c>
      <c r="CU170" s="149">
        <f>IF(MOSFET_S=Compare_MOSFET, Table7[[#This Row],[Total MOSFET Loss C]], -100)</f>
        <v>-100</v>
      </c>
      <c r="CV170" s="149">
        <f>IF(MOSFET_S=Compare_MOSFET, Table7[[#This Row],[Efficiency C]], -100)</f>
        <v>-100</v>
      </c>
      <c r="CW170" s="153"/>
      <c r="CX170" s="149">
        <f ca="1">IF(Save_Sel=CLR_Save,  Table7[[#This Row],[Total Sense Loss P1]], Table7[[#This Row],[Total Sense Loss P1 Saved]])</f>
        <v>0.30263437429111534</v>
      </c>
      <c r="CY170" s="149">
        <f ca="1">IF(Save_Sel=CLR_Save,  Table7[[#This Row],[Total MOSFET Loss P1]], Table7[[#This Row],[Total MOSFET Loss P1 Saved]] )</f>
        <v>2.2958279606251968</v>
      </c>
      <c r="CZ170" s="149">
        <f ca="1">IF(Save_Sel=CLR_Save, Table7[[#This Row],[Efficiency P1]], Table7[[#This Row],[Efficiency P1 Saved]])</f>
        <v>98.618357022864672</v>
      </c>
      <c r="DA170" s="153"/>
      <c r="DB170" s="149">
        <f ca="1">IF(Save_Sel=CLR_Save,  Table7[[#This Row],[Total Sense Loss P2]], Table7[[#This Row],[Total Sense Loss P2 Saved]])</f>
        <v>-100</v>
      </c>
      <c r="DC170" s="149">
        <f ca="1">IF(Save_Sel=CLR_Save,  Table7[[#This Row],[Total MOSFET Loss P2]], Table7[[#This Row],[Total MOSFET Loss P2 Saved]] )</f>
        <v>-100</v>
      </c>
      <c r="DD170" s="149">
        <f ca="1">IF(Save_Sel=CLR_Save, Table7[[#This Row],[Efficiency P2]], Table7[[#This Row],[Efficiency P2 Saved]])</f>
        <v>-100</v>
      </c>
      <c r="DE170" s="153"/>
      <c r="DF170" s="19"/>
      <c r="DG170" s="19"/>
      <c r="DH170" s="19"/>
      <c r="DI170" s="19"/>
      <c r="DJ170" s="19"/>
      <c r="DK170" s="19"/>
      <c r="DL170" s="19"/>
      <c r="DM170" s="19"/>
      <c r="DN170" s="19"/>
      <c r="DO170" s="19"/>
      <c r="DP170" s="19"/>
      <c r="DQ170" s="19"/>
      <c r="DR170" s="19"/>
      <c r="DS170" s="19"/>
      <c r="DT170" s="19"/>
      <c r="DU170" s="19"/>
      <c r="DV170" s="19"/>
      <c r="DW170" s="19"/>
      <c r="DX170" s="19"/>
      <c r="DY170" s="19"/>
      <c r="DZ170" s="19"/>
      <c r="EA170" s="19"/>
      <c r="EB170" s="19"/>
      <c r="EC170" s="19"/>
      <c r="ED170" s="19"/>
      <c r="EE170" s="19"/>
      <c r="EF170" s="19"/>
      <c r="EG170" s="19"/>
      <c r="EH170" s="19"/>
      <c r="EI170" s="19"/>
      <c r="EJ170" s="19"/>
      <c r="EK170" s="19"/>
      <c r="EL170" s="19"/>
      <c r="EM170" s="19"/>
      <c r="EN170" s="19"/>
      <c r="EO170" s="19"/>
      <c r="EP170" s="19"/>
      <c r="EQ170" s="19"/>
      <c r="ER170" s="19"/>
      <c r="ES170" s="19"/>
      <c r="ET170" s="19"/>
      <c r="EU170" s="19"/>
      <c r="EV170" s="19"/>
      <c r="EW170" s="19"/>
      <c r="EX170" s="19"/>
      <c r="EY170" s="19"/>
      <c r="EZ170" s="19"/>
      <c r="FA170" s="19"/>
      <c r="FB170" s="19"/>
      <c r="FC170" s="19"/>
      <c r="FD170" s="19"/>
      <c r="FE170" s="19"/>
      <c r="FF170" s="19"/>
      <c r="FG170" s="19"/>
      <c r="FH170" s="19"/>
      <c r="FI170" s="19"/>
    </row>
    <row r="171" spans="1:165" x14ac:dyDescent="0.25">
      <c r="A171" s="48">
        <v>12</v>
      </c>
      <c r="B171" s="49"/>
      <c r="C171" s="49"/>
      <c r="D171" s="32" t="s">
        <v>151</v>
      </c>
      <c r="E171" s="66">
        <f t="shared" ca="1" si="20"/>
        <v>1.75</v>
      </c>
      <c r="F171" s="66">
        <f t="shared" ca="1" si="21"/>
        <v>1.75</v>
      </c>
      <c r="G171" s="42" t="s">
        <v>7</v>
      </c>
      <c r="H171" s="29"/>
      <c r="I171" s="48">
        <v>12</v>
      </c>
      <c r="J171" s="29"/>
      <c r="K171" s="49"/>
      <c r="L171" s="49"/>
      <c r="M171" s="32" t="s">
        <v>151</v>
      </c>
      <c r="N171" s="117">
        <f t="shared" si="18"/>
        <v>1.9</v>
      </c>
      <c r="O171" s="117">
        <f t="shared" si="19"/>
        <v>1.9</v>
      </c>
      <c r="P171" s="42" t="s">
        <v>7</v>
      </c>
      <c r="Q171" s="29"/>
      <c r="R171" s="29"/>
      <c r="S171" s="30"/>
      <c r="T171" s="18"/>
      <c r="U171" s="19"/>
      <c r="V171" s="19"/>
      <c r="W171" s="19"/>
      <c r="X171" s="19"/>
      <c r="Y171" s="19"/>
      <c r="Z171" s="19"/>
      <c r="AA171" s="19"/>
      <c r="AB171" s="19"/>
      <c r="AC171" s="19"/>
      <c r="AD171" s="19"/>
      <c r="AE171" s="19"/>
      <c r="AF171" s="143">
        <f t="shared" si="17"/>
        <v>15</v>
      </c>
      <c r="AG171" s="143">
        <f t="shared" si="16"/>
        <v>5.4</v>
      </c>
      <c r="AH171" s="144">
        <f t="shared" si="3"/>
        <v>198.72</v>
      </c>
      <c r="AI171" s="145">
        <f t="shared" si="4"/>
        <v>0.97826086956521752</v>
      </c>
      <c r="AJ171" s="145">
        <f t="shared" si="5"/>
        <v>5.2826086956521747</v>
      </c>
      <c r="AK171" s="145">
        <f t="shared" si="6"/>
        <v>0.39130434782608459</v>
      </c>
      <c r="AL171" s="145">
        <f t="shared" si="7"/>
        <v>5.2838162870945471</v>
      </c>
      <c r="AM171" s="146"/>
      <c r="AN171" s="145">
        <f>MAX(0,Table7[[#This Row],[I_L]]-0.5*Table7[[#This Row],[I_L pkpk]])</f>
        <v>5.0869565217391326</v>
      </c>
      <c r="AO171" s="145">
        <f>Table7[[#This Row],[I_L]]+0.5*Table7[[#This Row],[I_L pkpk]]</f>
        <v>5.4782608695652169</v>
      </c>
      <c r="AP171" s="145">
        <f ca="1">IF(VACnom&gt;Vbat, (VGS_S-(TI_MOSFET_S_VTH_H_BU+Table7[[#This Row],[I_L]]/TI_MOSFET_S_gFS_H_BU))/3.4, (VGS_S-(TI_MOSFET_S_VTH_L_BO+Table7[[#This Row],[I_L]]/TI_MOSFET_S_gFS_L_BO))/3.4 )</f>
        <v>3.0027542789691131</v>
      </c>
      <c r="AQ171" s="145">
        <f ca="1">IF(VACnom&gt;Vbat, ((TI_MOSFET_S_VTH_H_BU+Table7[[#This Row],[I_L]]/TI_MOSFET_S_gFS_H_BU))/1, ((TI_MOSFET_S_VTH_L_BO+Table7[[#This Row],[I_L]]/TI_MOSFET_S_gFS_L_BO))/1 )</f>
        <v>1.7906354515050167</v>
      </c>
      <c r="AR171" s="145">
        <f ca="1">IF(VACnom&gt;Vbat, (TI_MOSFET_S_QGD_H_BU+TI_MOSFET_S_QGS_H_BU)*10^-9/Table7[[#This Row],[Ion (A)]], (TI_MOSFET_S_QGD_L_BO+TI_MOSFET_S_QGS_L_BO)*10^-9/Table7[[#This Row],[Ion (A)]])/10^-9</f>
        <v>9.5911943916661198</v>
      </c>
      <c r="AS171" s="145">
        <f ca="1">IF(VACnom&gt;Vbat, (TI_MOSFET_S_QGD_H_BU+TI_MOSFET_S_QGS_H_BU)*10^-9/Table7[[#This Row],[Ioff (A)]], (TI_MOSFET_S_QGD_L_BO+TI_MOSFET_S_QGS_L_BO)*10^-9/Table7[[#This Row],[Ioff (A)]])/10^-9</f>
        <v>16.083675756443782</v>
      </c>
      <c r="AT171" s="145">
        <f ca="1" xml:space="preserve"> 0.5*VACnom*Table7[[#This Row],[Ivalley (A)]]*Table7[[#This Row],[ton (ns)]]*10^-9*Fsw*10^3+0.5*VACnom*Table7[[#This Row],[Ipeak (A)]]*Table7[[#This Row],[toff (ns)]]*10^-9*Fsw*10^3/10^-3</f>
        <v>324.42645040891864</v>
      </c>
      <c r="AU171" s="145">
        <f t="shared" ca="1" si="8"/>
        <v>268.64000000000004</v>
      </c>
      <c r="AV171" s="145" t="e">
        <f t="shared" si="9"/>
        <v>#VALUE!</v>
      </c>
      <c r="AW171" s="145">
        <f t="shared" ca="1" si="10"/>
        <v>566.72000000000025</v>
      </c>
      <c r="AX171" s="145">
        <f ca="1">IF(VACnom&gt;Vbat, TI_MOSFET_S_VSD_L_BU*Table7[[#This Row],[Ivalley (A)]]*Fsw*10^3*40*10^-9+TI_MOSFET_S_VSD_L_BU*Table7[[#This Row],[Ipeak (A)]]*Fsw*10^3*30*10^-9, TI_MOSFET_S_VSD_H_BO*Table7[[#This Row],[Ivalley (A)]]*Fsw*10^3*40*10^-9+TI_MOSFET_S_VSD_H_BO*Table7[[#This Row],[Ipeak (A)]]*Fsw*10^3*30*10^-9)/10^-3</f>
        <v>52.966956521739164</v>
      </c>
      <c r="AY171" s="145" t="e">
        <f t="shared" si="11"/>
        <v>#VALUE!</v>
      </c>
      <c r="AZ171" s="145" t="e">
        <f>IF(VACnom&lt;Vbat, Table7[[#This Row],[Duty Cycle]]*Table7[[#This Row],[I_L RMS]]^2*TI_MOSFET_S_RDSON_H_BU*10^-3, (1-Table7[[#This Row],[Duty Cycle]])*Table7[[#This Row],[I_L RMS]]^2*TI_MOSFET_S_RDSON_H_BO*10^-3)/10^-3</f>
        <v>#VALUE!</v>
      </c>
      <c r="BA171" s="145" t="e">
        <f ca="1">IF(VACnom&gt;Vbat, Table7[[#This Row],[PIV (mW)]]+Table7[[#This Row],[Pqoss (mW)]]+Table7[[#This Row],[Pgate_top (mW)]], Table7[[#This Row],[PRR (mW)]]+Table7[[#This Row],[Pdead (mW)]]+Table7[[#This Row],[Pgate_top (mW)]])</f>
        <v>#VALUE!</v>
      </c>
      <c r="BB171" s="145" t="e">
        <f ca="1">Table7[[#This Row],[Pcon_top (mW)]]+Table7[[#This Row],[Psw_top (mW)]]</f>
        <v>#VALUE!</v>
      </c>
      <c r="BC171" s="145" t="e">
        <f>IF(VACnom&gt;Vbat, (1-Table7[[#This Row],[Duty Cycle]])*Table7[[#This Row],[I_L RMS]]^2*TI_MOSFET_S_RDSON_L_BU*10^-3, Table7[[#This Row],[Duty Cycle]]*Table7[[#This Row],[I_L RMS]]^2*TI_MOSFET_S_RDSON_L_BO*10^-3)/10^-3</f>
        <v>#VALUE!</v>
      </c>
      <c r="BD171" s="145" t="e">
        <f ca="1">IF(VACnom&gt;Vbat, Table7[[#This Row],[PRR (mW)]]+Table7[[#This Row],[Pdead (mW)]]+Table7[[#This Row],[Pgate_bottom (mW)]], Table7[[#This Row],[PIV (mW)]]+Table7[[#This Row],[Pqoss (mW)]]+Table7[[#This Row],[Pgate_bottom (mW)]])</f>
        <v>#VALUE!</v>
      </c>
      <c r="BE171" s="147" t="e">
        <f ca="1">Table7[[#This Row],[Pcon_bottom (mW)]]+Table7[[#This Row],[Psw_bottom (mW)]]</f>
        <v>#VALUE!</v>
      </c>
      <c r="BF171" s="145" t="e">
        <f ca="1">Table7[[#This Row],[Pbottom (mW)]]+Table7[[#This Row],[Ptop (mW)]]</f>
        <v>#VALUE!</v>
      </c>
      <c r="BG171" s="142"/>
      <c r="BH171" s="145">
        <f>MAX(0,Table7[[#This Row],[I_L]]-0.5*Table7[[#This Row],[I_L pkpk]])</f>
        <v>5.0869565217391326</v>
      </c>
      <c r="BI171" s="145">
        <f>Table7[[#This Row],[I_L]]+0.5*Table7[[#This Row],[I_L pkpk]]</f>
        <v>5.4782608695652169</v>
      </c>
      <c r="BJ171" s="145">
        <f>IF(VACnom&gt;Vbat, (VGS_S-(C_MOSFET_S_VTH_H_BU+Table7[[#This Row],[I_L]]/C_MOSFET_S_gFS_H_BU))/3.4, (VGS_S-(C_MOSFET_S_VTH_L_BO+Table7[[#This Row],[I_L]]/C_MOSFET_S_gFS_L_BO))/3.4 )</f>
        <v>2.9571941970191378</v>
      </c>
      <c r="BK171" s="145">
        <f>IF(VACnom&gt;Vbat, ((C_MOSFET_S_VTH_H_BU+Table7[[#This Row],[I_L]]/C_MOSFET_S_gFS_H_BU))/1, ((C_MOSFET_S_VTH_L_BO+Table7[[#This Row],[I_L]]/C_MOSFET_S_gFS_L_BO))/1 )</f>
        <v>1.9455397301349324</v>
      </c>
      <c r="BL171" s="145">
        <f>IF(VACnom&gt;Vbat, (C_MOSFET_S_QGD_H_BU+C_MOSFET_S_QGS_H_BU)*10^-9/Table7[[#This Row],[Ion (A) C]], (C_MOSFET_S_QGD_L_BO+C_MOSFET_S_QGS_L_BO)*10^-9/Table7[[#This Row],[Ion (A) C]])/10^-9</f>
        <v>5.2414548951922235</v>
      </c>
      <c r="BM171" s="145">
        <f>IF(VACnom&gt;Vbat, (C_MOSFET_S_QGD_H_BU+C_MOSFET_S_QGS_H_BU)*10^-9/Table7[[#This Row],[Ioff (A) C]], (C_MOSFET_S_QGD_L_BO+C_MOSFET_S_QGS_L_BO)*10^-9/Table7[[#This Row],[Ioff (A) C]])/10^-9</f>
        <v>7.9669408750264896</v>
      </c>
      <c r="BN171" s="145">
        <f xml:space="preserve"> 0.5*VACnom*Table7[[#This Row],[Ivalley (A) C]]*Table7[[#This Row],[ton (ns) C]]*10^-9*Fsw*10^3+0.5*VACnom*Table7[[#This Row],[Ipeak (A) C]]*Table7[[#This Row],[toff (ns) C]]*10^-9*Fsw*10^3/10^-3</f>
        <v>160.71164807617205</v>
      </c>
      <c r="BO171" s="145">
        <f t="shared" si="12"/>
        <v>305.44000000000011</v>
      </c>
      <c r="BP171" s="145">
        <f t="shared" si="13"/>
        <v>357.69600000000014</v>
      </c>
      <c r="BQ171" s="145">
        <f t="shared" si="14"/>
        <v>1067.2000000000003</v>
      </c>
      <c r="BR171" s="145">
        <f>IF(VACnom&gt;Vbat, C_MOSFET_S_VSD_L_BU*Table7[[#This Row],[Ivalley (A) C]]*Fsw*10^3*40*10^-9+C_MOSFET_S_VSD_L_BU*Table7[[#This Row],[Ipeak (A) C]]*Fsw*10^3*30*10^-9, C_MOSFET_S_VSD_H_BO*Table7[[#This Row],[Ivalley (A) C]]*Fsw*10^3*40*10^-9+C_MOSFET_S_VSD_H_BO*Table7[[#This Row],[Ipeak (A) C]]*Fsw*10^3*30*10^-9)/10^-3</f>
        <v>58.852173913043508</v>
      </c>
      <c r="BS171" s="145">
        <f t="shared" si="15"/>
        <v>357.69600000000014</v>
      </c>
      <c r="BT171" s="145">
        <f>IF(VACnom&lt;Vbat, Table7[[#This Row],[Duty Cycle]]*Table7[[#This Row],[I_L RMS]]^2*C_MOSFET_S_RDSON_H_BU*10^-3, (1-Table7[[#This Row],[Duty Cycle]])*Table7[[#This Row],[I_L RMS]]^2*C_MOSFET_S_RDSON_H_BO*10^-3)/10^-3</f>
        <v>1.5780143009780467</v>
      </c>
      <c r="BU171" s="145">
        <f>IF(VACnom&gt;Vbat, Table7[[#This Row],[PIV (mW) C]]+Table7[[#This Row],[PQoss (mW) C]]+Table7[[#This Row],[Pgate_top (mW) C]], Table7[[#This Row],[PRR (mW) C]]+Table7[[#This Row],[Pdead (mW) C]]+Table7[[#This Row],[Pgate_top (mW) C]])</f>
        <v>823.84764807617228</v>
      </c>
      <c r="BV171" s="145">
        <f>Table7[[#This Row],[Pcon_top (mW) C]]+Table7[[#This Row],[Psw_top (mW) C]]</f>
        <v>825.42566237715027</v>
      </c>
      <c r="BW171" s="145">
        <f>IF(VACnom&gt;Vbat, (1-Table7[[#This Row],[Duty Cycle]])*Table7[[#This Row],[I_L RMS]]^2*C_MOSFET_S_RDSON_L_BU*10^-3, Table7[[#This Row],[Duty Cycle]]*Table7[[#This Row],[I_L RMS]]^2*C_MOSFET_S_RDSON_L_BO*10^-3)/10^-3</f>
        <v>1.0317785814087228</v>
      </c>
      <c r="BX171" s="145">
        <f>IF(VACnom&gt;Vbat, Table7[[#This Row],[PRR (mW) C]]+Table7[[#This Row],[Pdead (mW) C]]+Table7[[#This Row],[Pgate_bottom (mW) C]], Table7[[#This Row],[PIV (mW) C]]+Table7[[#This Row],[PQoss (mW) C]]+Table7[[#This Row],[Pgate_bottom (mW) C]])</f>
        <v>1483.748173913044</v>
      </c>
      <c r="BY171" s="145">
        <f>Table7[[#This Row],[Pcon_bottom (mW) C]]+Table7[[#This Row],[Psw_bottom (mV) C]]</f>
        <v>1484.7799524944526</v>
      </c>
      <c r="BZ171" s="145">
        <f>Table7[[#This Row],[Pbottom (mW) C]]+Table7[[#This Row],[Ptop (mW) C]]</f>
        <v>2310.2056148716028</v>
      </c>
      <c r="CA171" s="148"/>
      <c r="CB171" s="144">
        <f>(RAC_SNS*10^-3*(Table7[[#This Row],[IOUT (A)]]*Vbat/VACnom)^2/10^-3)</f>
        <v>55.81190926275994</v>
      </c>
      <c r="CC171" s="144">
        <f>(RBAT_SNS*10^-3*Table7[[#This Row],[IOUT (A)]]^2)/10^-3</f>
        <v>145.80000000000001</v>
      </c>
      <c r="CD171" s="144">
        <f>IF(VACnom&gt;Vbat,(L_DRC*10^-3*(Table7[[#This Row],[IOUT (A)]])^2/10^-3),(L_DRC*10^-3*(Table7[[#This Row],[IOUT (A)]]*Vbat/VACnom)^2/10^-3))</f>
        <v>145.80000000000001</v>
      </c>
      <c r="CE171" s="152"/>
      <c r="CF171" s="145">
        <f>(Table7[[#This Row],[R_AC (mW)]]+Table7[[#This Row],[R_SR (mW)]]+Table7[[#This Row],[Inductor Loss (mW)]])/10^3</f>
        <v>0.34741190926276</v>
      </c>
      <c r="CG171" s="145" t="e">
        <f ca="1">Table7[[#This Row],[Total TI (mW)]]/10^3</f>
        <v>#VALUE!</v>
      </c>
      <c r="CH171" s="145" t="e">
        <f ca="1">Table7[[#This Row],[Total Sense Loss]]+Table7[[#This Row],[Total MOSFET Loss]]</f>
        <v>#VALUE!</v>
      </c>
      <c r="CI171" s="149" t="e">
        <f ca="1">IF(Table7[[#This Row],[POUT (W)]]=0,0,(Table7[[#This Row],[POUT (W)]])/(Table7[[#This Row],[POUT (W)]]+Table7[[#This Row],[Total Power Loss (W)]]))*100</f>
        <v>#VALUE!</v>
      </c>
      <c r="CJ171" s="153"/>
      <c r="CK171" s="145">
        <f>(Table7[[#This Row],[R_AC (mW)]]+Table7[[#This Row],[R_SR (mW)]]+Table7[[#This Row],[Inductor Loss (mW)]])/10^3</f>
        <v>0.34741190926276</v>
      </c>
      <c r="CL171" s="145">
        <f>Table7[[#This Row],[Total (mW) C]]/10^3</f>
        <v>2.3102056148716028</v>
      </c>
      <c r="CM171" s="145">
        <f>Table7[[#This Row],[Total Sense Loss C]]+Table7[[#This Row],[Total MOSFET Loss C]]</f>
        <v>2.6576175241343627</v>
      </c>
      <c r="CN171" s="149">
        <f>IF(Table7[[#This Row],[POUT (W)]]=0,0,(Table7[[#This Row],[POUT (W)]])/(Table7[[#This Row],[POUT (W)]]+Table7[[#This Row],[Total Power Loss (W) C]]))*100</f>
        <v>98.680281574085143</v>
      </c>
      <c r="CO171" s="153"/>
      <c r="CP171" s="149">
        <f>IF(MOSFET_S=Custom_MOSFET,Table7[[#This Row],[Total Sense Loss C]],Table7[[#This Row],[Total Sense Loss]])</f>
        <v>0.34741190926276</v>
      </c>
      <c r="CQ171" s="149">
        <f>IF(MOSFET_S=Custom_MOSFET,Table7[[#This Row],[Total MOSFET Loss C]],Table7[[#This Row],[Total MOSFET Loss]])</f>
        <v>2.3102056148716028</v>
      </c>
      <c r="CR171" s="149">
        <f>IF(MOSFET_S=Custom_MOSFET,Table7[[#This Row],[Efficiency C]],Table7[[#This Row],[Efficiency]])</f>
        <v>98.680281574085143</v>
      </c>
      <c r="CS171" s="153"/>
      <c r="CT171" s="149">
        <f>IF(MOSFET_S=Compare_MOSFET, Table7[[#This Row],[Total Sense Loss C]], -100)</f>
        <v>-100</v>
      </c>
      <c r="CU171" s="149">
        <f>IF(MOSFET_S=Compare_MOSFET, Table7[[#This Row],[Total MOSFET Loss C]], -100)</f>
        <v>-100</v>
      </c>
      <c r="CV171" s="149">
        <f>IF(MOSFET_S=Compare_MOSFET, Table7[[#This Row],[Efficiency C]], -100)</f>
        <v>-100</v>
      </c>
      <c r="CW171" s="153"/>
      <c r="CX171" s="149">
        <f ca="1">IF(Save_Sel=CLR_Save,  Table7[[#This Row],[Total Sense Loss P1]], Table7[[#This Row],[Total Sense Loss P1 Saved]])</f>
        <v>0.34741190926276</v>
      </c>
      <c r="CY171" s="149">
        <f ca="1">IF(Save_Sel=CLR_Save,  Table7[[#This Row],[Total MOSFET Loss P1]], Table7[[#This Row],[Total MOSFET Loss P1 Saved]] )</f>
        <v>2.3102056148716028</v>
      </c>
      <c r="CZ171" s="149">
        <f ca="1">IF(Save_Sel=CLR_Save, Table7[[#This Row],[Efficiency P1]], Table7[[#This Row],[Efficiency P1 Saved]])</f>
        <v>98.680281574085143</v>
      </c>
      <c r="DA171" s="153"/>
      <c r="DB171" s="149">
        <f ca="1">IF(Save_Sel=CLR_Save,  Table7[[#This Row],[Total Sense Loss P2]], Table7[[#This Row],[Total Sense Loss P2 Saved]])</f>
        <v>-100</v>
      </c>
      <c r="DC171" s="149">
        <f ca="1">IF(Save_Sel=CLR_Save,  Table7[[#This Row],[Total MOSFET Loss P2]], Table7[[#This Row],[Total MOSFET Loss P2 Saved]] )</f>
        <v>-100</v>
      </c>
      <c r="DD171" s="149">
        <f ca="1">IF(Save_Sel=CLR_Save, Table7[[#This Row],[Efficiency P2]], Table7[[#This Row],[Efficiency P2 Saved]])</f>
        <v>-100</v>
      </c>
      <c r="DE171" s="153"/>
      <c r="DF171" s="19"/>
      <c r="DG171" s="19"/>
      <c r="DH171" s="19"/>
      <c r="DI171" s="19"/>
      <c r="DJ171" s="19"/>
      <c r="DK171" s="19"/>
      <c r="DL171" s="19"/>
      <c r="DM171" s="19"/>
      <c r="DN171" s="19"/>
      <c r="DO171" s="19"/>
      <c r="DP171" s="19"/>
      <c r="DQ171" s="19"/>
      <c r="DR171" s="19"/>
      <c r="DS171" s="19"/>
      <c r="DT171" s="19"/>
      <c r="DU171" s="19"/>
      <c r="DV171" s="19"/>
      <c r="DW171" s="19"/>
      <c r="DX171" s="19"/>
      <c r="DY171" s="19"/>
      <c r="DZ171" s="19"/>
      <c r="EA171" s="19"/>
      <c r="EB171" s="19"/>
      <c r="EC171" s="19"/>
      <c r="ED171" s="19"/>
      <c r="EE171" s="19"/>
      <c r="EF171" s="19"/>
      <c r="EG171" s="19"/>
      <c r="EH171" s="19"/>
      <c r="EI171" s="19"/>
      <c r="EJ171" s="19"/>
      <c r="EK171" s="19"/>
      <c r="EL171" s="19"/>
      <c r="EM171" s="19"/>
      <c r="EN171" s="19"/>
      <c r="EO171" s="19"/>
      <c r="EP171" s="19"/>
      <c r="EQ171" s="19"/>
      <c r="ER171" s="19"/>
      <c r="ES171" s="19"/>
      <c r="ET171" s="19"/>
      <c r="EU171" s="19"/>
      <c r="EV171" s="19"/>
      <c r="EW171" s="19"/>
      <c r="EX171" s="19"/>
      <c r="EY171" s="19"/>
      <c r="EZ171" s="19"/>
      <c r="FA171" s="19"/>
      <c r="FB171" s="19"/>
      <c r="FC171" s="19"/>
      <c r="FD171" s="19"/>
      <c r="FE171" s="19"/>
      <c r="FF171" s="19"/>
      <c r="FG171" s="19"/>
      <c r="FH171" s="19"/>
      <c r="FI171" s="19"/>
    </row>
    <row r="172" spans="1:165" x14ac:dyDescent="0.25">
      <c r="A172" s="48">
        <v>13</v>
      </c>
      <c r="B172" s="49"/>
      <c r="C172" s="49"/>
      <c r="D172" s="32" t="s">
        <v>152</v>
      </c>
      <c r="E172" s="66">
        <f t="shared" ca="1" si="20"/>
        <v>0.72</v>
      </c>
      <c r="F172" s="66">
        <f t="shared" ca="1" si="21"/>
        <v>0.72</v>
      </c>
      <c r="G172" s="42" t="s">
        <v>7</v>
      </c>
      <c r="H172" s="29"/>
      <c r="I172" s="48">
        <v>13</v>
      </c>
      <c r="J172" s="29"/>
      <c r="K172" s="49"/>
      <c r="L172" s="49"/>
      <c r="M172" s="32" t="s">
        <v>152</v>
      </c>
      <c r="N172" s="117">
        <f t="shared" si="18"/>
        <v>0.8</v>
      </c>
      <c r="O172" s="117">
        <f t="shared" si="19"/>
        <v>0.8</v>
      </c>
      <c r="P172" s="42" t="s">
        <v>7</v>
      </c>
      <c r="Q172" s="29"/>
      <c r="R172" s="29"/>
      <c r="S172" s="30"/>
      <c r="T172" s="18"/>
      <c r="U172" s="19"/>
      <c r="V172" s="19"/>
      <c r="W172" s="19"/>
      <c r="X172" s="19"/>
      <c r="Y172" s="19"/>
      <c r="Z172" s="19"/>
      <c r="AA172" s="19"/>
      <c r="AB172" s="19"/>
      <c r="AC172" s="19"/>
      <c r="AD172" s="19"/>
      <c r="AE172" s="19"/>
      <c r="AF172" s="143">
        <f t="shared" si="17"/>
        <v>16</v>
      </c>
      <c r="AG172" s="143">
        <f t="shared" si="16"/>
        <v>5.76</v>
      </c>
      <c r="AH172" s="144">
        <f t="shared" si="3"/>
        <v>211.96799999999999</v>
      </c>
      <c r="AI172" s="145">
        <f t="shared" si="4"/>
        <v>0.97826086956521752</v>
      </c>
      <c r="AJ172" s="145">
        <f t="shared" si="5"/>
        <v>5.6347826086956525</v>
      </c>
      <c r="AK172" s="145">
        <f t="shared" si="6"/>
        <v>0.39130434782608459</v>
      </c>
      <c r="AL172" s="145">
        <f t="shared" si="7"/>
        <v>5.6359147413392101</v>
      </c>
      <c r="AM172" s="146"/>
      <c r="AN172" s="145">
        <f>MAX(0,Table7[[#This Row],[I_L]]-0.5*Table7[[#This Row],[I_L pkpk]])</f>
        <v>5.4391304347826104</v>
      </c>
      <c r="AO172" s="145">
        <f>Table7[[#This Row],[I_L]]+0.5*Table7[[#This Row],[I_L pkpk]]</f>
        <v>5.8304347826086946</v>
      </c>
      <c r="AP172" s="145">
        <f ca="1">IF(VACnom&gt;Vbat, (VGS_S-(TI_MOSFET_S_VTH_H_BU+Table7[[#This Row],[I_L]]/TI_MOSFET_S_gFS_H_BU))/3.4, (VGS_S-(TI_MOSFET_S_VTH_L_BO+Table7[[#This Row],[I_L]]/TI_MOSFET_S_gFS_L_BO))/3.4 )</f>
        <v>3.001957505410191</v>
      </c>
      <c r="AQ172" s="145">
        <f ca="1">IF(VACnom&gt;Vbat, ((TI_MOSFET_S_VTH_H_BU+Table7[[#This Row],[I_L]]/TI_MOSFET_S_gFS_H_BU))/1, ((TI_MOSFET_S_VTH_L_BO+Table7[[#This Row],[I_L]]/TI_MOSFET_S_gFS_L_BO))/1 )</f>
        <v>1.7933444816053512</v>
      </c>
      <c r="AR172" s="145">
        <f ca="1">IF(VACnom&gt;Vbat, (TI_MOSFET_S_QGD_H_BU+TI_MOSFET_S_QGS_H_BU)*10^-9/Table7[[#This Row],[Ion (A)]], (TI_MOSFET_S_QGD_L_BO+TI_MOSFET_S_QGS_L_BO)*10^-9/Table7[[#This Row],[Ion (A)]])/10^-9</f>
        <v>9.593740067304763</v>
      </c>
      <c r="AS172" s="145">
        <f ca="1">IF(VACnom&gt;Vbat, (TI_MOSFET_S_QGD_H_BU+TI_MOSFET_S_QGS_H_BU)*10^-9/Table7[[#This Row],[Ioff (A)]], (TI_MOSFET_S_QGD_L_BO+TI_MOSFET_S_QGS_L_BO)*10^-9/Table7[[#This Row],[Ioff (A)]])/10^-9</f>
        <v>16.059379720631842</v>
      </c>
      <c r="AT172" s="145">
        <f ca="1" xml:space="preserve"> 0.5*VACnom*Table7[[#This Row],[Ivalley (A)]]*Table7[[#This Row],[ton (ns)]]*10^-9*Fsw*10^3+0.5*VACnom*Table7[[#This Row],[Ipeak (A)]]*Table7[[#This Row],[toff (ns)]]*10^-9*Fsw*10^3/10^-3</f>
        <v>344.76207958706402</v>
      </c>
      <c r="AU172" s="145">
        <f t="shared" ca="1" si="8"/>
        <v>268.64000000000004</v>
      </c>
      <c r="AV172" s="145" t="e">
        <f t="shared" si="9"/>
        <v>#VALUE!</v>
      </c>
      <c r="AW172" s="145">
        <f t="shared" ca="1" si="10"/>
        <v>566.72000000000025</v>
      </c>
      <c r="AX172" s="145">
        <f ca="1">IF(VACnom&gt;Vbat, TI_MOSFET_S_VSD_L_BU*Table7[[#This Row],[Ivalley (A)]]*Fsw*10^3*40*10^-9+TI_MOSFET_S_VSD_L_BU*Table7[[#This Row],[Ipeak (A)]]*Fsw*10^3*30*10^-9, TI_MOSFET_S_VSD_H_BO*Table7[[#This Row],[Ivalley (A)]]*Fsw*10^3*40*10^-9+TI_MOSFET_S_VSD_H_BO*Table7[[#This Row],[Ipeak (A)]]*Fsw*10^3*30*10^-9)/10^-3</f>
        <v>56.516869565217412</v>
      </c>
      <c r="AY172" s="145" t="e">
        <f t="shared" si="11"/>
        <v>#VALUE!</v>
      </c>
      <c r="AZ172" s="145" t="e">
        <f>IF(VACnom&lt;Vbat, Table7[[#This Row],[Duty Cycle]]*Table7[[#This Row],[I_L RMS]]^2*TI_MOSFET_S_RDSON_H_BU*10^-3, (1-Table7[[#This Row],[Duty Cycle]])*Table7[[#This Row],[I_L RMS]]^2*TI_MOSFET_S_RDSON_H_BO*10^-3)/10^-3</f>
        <v>#VALUE!</v>
      </c>
      <c r="BA172" s="145" t="e">
        <f ca="1">IF(VACnom&gt;Vbat, Table7[[#This Row],[PIV (mW)]]+Table7[[#This Row],[Pqoss (mW)]]+Table7[[#This Row],[Pgate_top (mW)]], Table7[[#This Row],[PRR (mW)]]+Table7[[#This Row],[Pdead (mW)]]+Table7[[#This Row],[Pgate_top (mW)]])</f>
        <v>#VALUE!</v>
      </c>
      <c r="BB172" s="145" t="e">
        <f ca="1">Table7[[#This Row],[Pcon_top (mW)]]+Table7[[#This Row],[Psw_top (mW)]]</f>
        <v>#VALUE!</v>
      </c>
      <c r="BC172" s="145" t="e">
        <f>IF(VACnom&gt;Vbat, (1-Table7[[#This Row],[Duty Cycle]])*Table7[[#This Row],[I_L RMS]]^2*TI_MOSFET_S_RDSON_L_BU*10^-3, Table7[[#This Row],[Duty Cycle]]*Table7[[#This Row],[I_L RMS]]^2*TI_MOSFET_S_RDSON_L_BO*10^-3)/10^-3</f>
        <v>#VALUE!</v>
      </c>
      <c r="BD172" s="145" t="e">
        <f ca="1">IF(VACnom&gt;Vbat, Table7[[#This Row],[PRR (mW)]]+Table7[[#This Row],[Pdead (mW)]]+Table7[[#This Row],[Pgate_bottom (mW)]], Table7[[#This Row],[PIV (mW)]]+Table7[[#This Row],[Pqoss (mW)]]+Table7[[#This Row],[Pgate_bottom (mW)]])</f>
        <v>#VALUE!</v>
      </c>
      <c r="BE172" s="147" t="e">
        <f ca="1">Table7[[#This Row],[Pcon_bottom (mW)]]+Table7[[#This Row],[Psw_bottom (mW)]]</f>
        <v>#VALUE!</v>
      </c>
      <c r="BF172" s="145" t="e">
        <f ca="1">Table7[[#This Row],[Pbottom (mW)]]+Table7[[#This Row],[Ptop (mW)]]</f>
        <v>#VALUE!</v>
      </c>
      <c r="BG172" s="142"/>
      <c r="BH172" s="145">
        <f>MAX(0,Table7[[#This Row],[I_L]]-0.5*Table7[[#This Row],[I_L pkpk]])</f>
        <v>5.4391304347826104</v>
      </c>
      <c r="BI172" s="145">
        <f>Table7[[#This Row],[I_L]]+0.5*Table7[[#This Row],[I_L pkpk]]</f>
        <v>5.8304347826086946</v>
      </c>
      <c r="BJ172" s="145">
        <f>IF(VACnom&gt;Vbat, (VGS_S-(C_MOSFET_S_VTH_H_BU+Table7[[#This Row],[I_L]]/C_MOSFET_S_gFS_H_BU))/3.4, (VGS_S-(C_MOSFET_S_VTH_L_BO+Table7[[#This Row],[I_L]]/C_MOSFET_S_gFS_L_BO))/3.4 )</f>
        <v>2.956301261134139</v>
      </c>
      <c r="BK172" s="145">
        <f>IF(VACnom&gt;Vbat, ((C_MOSFET_S_VTH_H_BU+Table7[[#This Row],[I_L]]/C_MOSFET_S_gFS_H_BU))/1, ((C_MOSFET_S_VTH_L_BO+Table7[[#This Row],[I_L]]/C_MOSFET_S_gFS_L_BO))/1 )</f>
        <v>1.948575712143928</v>
      </c>
      <c r="BL172" s="145">
        <f>IF(VACnom&gt;Vbat, (C_MOSFET_S_QGD_H_BU+C_MOSFET_S_QGS_H_BU)*10^-9/Table7[[#This Row],[Ion (A) C]], (C_MOSFET_S_QGD_L_BO+C_MOSFET_S_QGS_L_BO)*10^-9/Table7[[#This Row],[Ion (A) C]])/10^-9</f>
        <v>5.2430380502065832</v>
      </c>
      <c r="BM172" s="145">
        <f>IF(VACnom&gt;Vbat, (C_MOSFET_S_QGD_H_BU+C_MOSFET_S_QGS_H_BU)*10^-9/Table7[[#This Row],[Ioff (A) C]], (C_MOSFET_S_QGD_L_BO+C_MOSFET_S_QGS_L_BO)*10^-9/Table7[[#This Row],[Ioff (A) C]])/10^-9</f>
        <v>7.9545279679926137</v>
      </c>
      <c r="BN172" s="145">
        <f xml:space="preserve"> 0.5*VACnom*Table7[[#This Row],[Ivalley (A) C]]*Table7[[#This Row],[ton (ns) C]]*10^-9*Fsw*10^3+0.5*VACnom*Table7[[#This Row],[Ipeak (A) C]]*Table7[[#This Row],[toff (ns) C]]*10^-9*Fsw*10^3/10^-3</f>
        <v>170.77729673086247</v>
      </c>
      <c r="BO172" s="145">
        <f t="shared" si="12"/>
        <v>305.44000000000011</v>
      </c>
      <c r="BP172" s="145">
        <f t="shared" si="13"/>
        <v>357.69600000000014</v>
      </c>
      <c r="BQ172" s="145">
        <f t="shared" si="14"/>
        <v>1067.2000000000003</v>
      </c>
      <c r="BR172" s="145">
        <f>IF(VACnom&gt;Vbat, C_MOSFET_S_VSD_L_BU*Table7[[#This Row],[Ivalley (A) C]]*Fsw*10^3*40*10^-9+C_MOSFET_S_VSD_L_BU*Table7[[#This Row],[Ipeak (A) C]]*Fsw*10^3*30*10^-9, C_MOSFET_S_VSD_H_BO*Table7[[#This Row],[Ivalley (A) C]]*Fsw*10^3*40*10^-9+C_MOSFET_S_VSD_H_BO*Table7[[#This Row],[Ipeak (A) C]]*Fsw*10^3*30*10^-9)/10^-3</f>
        <v>62.796521739130469</v>
      </c>
      <c r="BS172" s="145">
        <f t="shared" si="15"/>
        <v>357.69600000000014</v>
      </c>
      <c r="BT172" s="145">
        <f>IF(VACnom&lt;Vbat, Table7[[#This Row],[Duty Cycle]]*Table7[[#This Row],[I_L RMS]]^2*C_MOSFET_S_RDSON_H_BU*10^-3, (1-Table7[[#This Row],[Duty Cycle]])*Table7[[#This Row],[I_L RMS]]^2*C_MOSFET_S_RDSON_H_BO*10^-3)/10^-3</f>
        <v>1.7953302375277289</v>
      </c>
      <c r="BU172" s="145">
        <f>IF(VACnom&gt;Vbat, Table7[[#This Row],[PIV (mW) C]]+Table7[[#This Row],[PQoss (mW) C]]+Table7[[#This Row],[Pgate_top (mW) C]], Table7[[#This Row],[PRR (mW) C]]+Table7[[#This Row],[Pdead (mW) C]]+Table7[[#This Row],[Pgate_top (mW) C]])</f>
        <v>833.91329673086273</v>
      </c>
      <c r="BV172" s="145">
        <f>Table7[[#This Row],[Pcon_top (mW) C]]+Table7[[#This Row],[Psw_top (mW) C]]</f>
        <v>835.70862696839049</v>
      </c>
      <c r="BW172" s="145">
        <f>IF(VACnom&gt;Vbat, (1-Table7[[#This Row],[Duty Cycle]])*Table7[[#This Row],[I_L RMS]]^2*C_MOSFET_S_RDSON_L_BU*10^-3, Table7[[#This Row],[Duty Cycle]]*Table7[[#This Row],[I_L RMS]]^2*C_MOSFET_S_RDSON_L_BO*10^-3)/10^-3</f>
        <v>1.1738697706912073</v>
      </c>
      <c r="BX172" s="145">
        <f>IF(VACnom&gt;Vbat, Table7[[#This Row],[PRR (mW) C]]+Table7[[#This Row],[Pdead (mW) C]]+Table7[[#This Row],[Pgate_bottom (mW) C]], Table7[[#This Row],[PIV (mW) C]]+Table7[[#This Row],[PQoss (mW) C]]+Table7[[#This Row],[Pgate_bottom (mW) C]])</f>
        <v>1487.6925217391308</v>
      </c>
      <c r="BY172" s="145">
        <f>Table7[[#This Row],[Pcon_bottom (mW) C]]+Table7[[#This Row],[Psw_bottom (mV) C]]</f>
        <v>1488.8663915098221</v>
      </c>
      <c r="BZ172" s="145">
        <f>Table7[[#This Row],[Pbottom (mW) C]]+Table7[[#This Row],[Ptop (mW) C]]</f>
        <v>2324.5750184782128</v>
      </c>
      <c r="CA172" s="148"/>
      <c r="CB172" s="144">
        <f>(RAC_SNS*10^-3*(Table7[[#This Row],[IOUT (A)]]*Vbat/VACnom)^2/10^-3)</f>
        <v>63.501550094517967</v>
      </c>
      <c r="CC172" s="144">
        <f>(RBAT_SNS*10^-3*Table7[[#This Row],[IOUT (A)]]^2)/10^-3</f>
        <v>165.88800000000001</v>
      </c>
      <c r="CD172" s="144">
        <f>IF(VACnom&gt;Vbat,(L_DRC*10^-3*(Table7[[#This Row],[IOUT (A)]])^2/10^-3),(L_DRC*10^-3*(Table7[[#This Row],[IOUT (A)]]*Vbat/VACnom)^2/10^-3))</f>
        <v>165.88800000000001</v>
      </c>
      <c r="CE172" s="152"/>
      <c r="CF172" s="145">
        <f>(Table7[[#This Row],[R_AC (mW)]]+Table7[[#This Row],[R_SR (mW)]]+Table7[[#This Row],[Inductor Loss (mW)]])/10^3</f>
        <v>0.39527755009451798</v>
      </c>
      <c r="CG172" s="145" t="e">
        <f ca="1">Table7[[#This Row],[Total TI (mW)]]/10^3</f>
        <v>#VALUE!</v>
      </c>
      <c r="CH172" s="145" t="e">
        <f ca="1">Table7[[#This Row],[Total Sense Loss]]+Table7[[#This Row],[Total MOSFET Loss]]</f>
        <v>#VALUE!</v>
      </c>
      <c r="CI172" s="149" t="e">
        <f ca="1">IF(Table7[[#This Row],[POUT (W)]]=0,0,(Table7[[#This Row],[POUT (W)]])/(Table7[[#This Row],[POUT (W)]]+Table7[[#This Row],[Total Power Loss (W)]]))*100</f>
        <v>#VALUE!</v>
      </c>
      <c r="CJ172" s="153"/>
      <c r="CK172" s="145">
        <f>(Table7[[#This Row],[R_AC (mW)]]+Table7[[#This Row],[R_SR (mW)]]+Table7[[#This Row],[Inductor Loss (mW)]])/10^3</f>
        <v>0.39527755009451798</v>
      </c>
      <c r="CL172" s="145">
        <f>Table7[[#This Row],[Total (mW) C]]/10^3</f>
        <v>2.3245750184782126</v>
      </c>
      <c r="CM172" s="145">
        <f>Table7[[#This Row],[Total Sense Loss C]]+Table7[[#This Row],[Total MOSFET Loss C]]</f>
        <v>2.7198525685727306</v>
      </c>
      <c r="CN172" s="149">
        <f>IF(Table7[[#This Row],[POUT (W)]]=0,0,(Table7[[#This Row],[POUT (W)]])/(Table7[[#This Row],[POUT (W)]]+Table7[[#This Row],[Total Power Loss (W) C]]))*100</f>
        <v>98.733112965623434</v>
      </c>
      <c r="CO172" s="153"/>
      <c r="CP172" s="149">
        <f>IF(MOSFET_S=Custom_MOSFET,Table7[[#This Row],[Total Sense Loss C]],Table7[[#This Row],[Total Sense Loss]])</f>
        <v>0.39527755009451798</v>
      </c>
      <c r="CQ172" s="149">
        <f>IF(MOSFET_S=Custom_MOSFET,Table7[[#This Row],[Total MOSFET Loss C]],Table7[[#This Row],[Total MOSFET Loss]])</f>
        <v>2.3245750184782126</v>
      </c>
      <c r="CR172" s="149">
        <f>IF(MOSFET_S=Custom_MOSFET,Table7[[#This Row],[Efficiency C]],Table7[[#This Row],[Efficiency]])</f>
        <v>98.733112965623434</v>
      </c>
      <c r="CS172" s="153"/>
      <c r="CT172" s="149">
        <f>IF(MOSFET_S=Compare_MOSFET, Table7[[#This Row],[Total Sense Loss C]], -100)</f>
        <v>-100</v>
      </c>
      <c r="CU172" s="149">
        <f>IF(MOSFET_S=Compare_MOSFET, Table7[[#This Row],[Total MOSFET Loss C]], -100)</f>
        <v>-100</v>
      </c>
      <c r="CV172" s="149">
        <f>IF(MOSFET_S=Compare_MOSFET, Table7[[#This Row],[Efficiency C]], -100)</f>
        <v>-100</v>
      </c>
      <c r="CW172" s="153"/>
      <c r="CX172" s="149">
        <f ca="1">IF(Save_Sel=CLR_Save,  Table7[[#This Row],[Total Sense Loss P1]], Table7[[#This Row],[Total Sense Loss P1 Saved]])</f>
        <v>0.39527755009451798</v>
      </c>
      <c r="CY172" s="149">
        <f ca="1">IF(Save_Sel=CLR_Save,  Table7[[#This Row],[Total MOSFET Loss P1]], Table7[[#This Row],[Total MOSFET Loss P1 Saved]] )</f>
        <v>2.3245750184782126</v>
      </c>
      <c r="CZ172" s="149">
        <f ca="1">IF(Save_Sel=CLR_Save, Table7[[#This Row],[Efficiency P1]], Table7[[#This Row],[Efficiency P1 Saved]])</f>
        <v>98.733112965623434</v>
      </c>
      <c r="DA172" s="153"/>
      <c r="DB172" s="149">
        <f ca="1">IF(Save_Sel=CLR_Save,  Table7[[#This Row],[Total Sense Loss P2]], Table7[[#This Row],[Total Sense Loss P2 Saved]])</f>
        <v>-100</v>
      </c>
      <c r="DC172" s="149">
        <f ca="1">IF(Save_Sel=CLR_Save,  Table7[[#This Row],[Total MOSFET Loss P2]], Table7[[#This Row],[Total MOSFET Loss P2 Saved]] )</f>
        <v>-100</v>
      </c>
      <c r="DD172" s="149">
        <f ca="1">IF(Save_Sel=CLR_Save, Table7[[#This Row],[Efficiency P2]], Table7[[#This Row],[Efficiency P2 Saved]])</f>
        <v>-100</v>
      </c>
      <c r="DE172" s="153"/>
      <c r="DF172" s="19"/>
      <c r="DG172" s="19"/>
      <c r="DH172" s="19"/>
      <c r="DI172" s="19"/>
      <c r="DJ172" s="19"/>
      <c r="DK172" s="19"/>
      <c r="DL172" s="19"/>
      <c r="DM172" s="19"/>
      <c r="DN172" s="19"/>
      <c r="DO172" s="19"/>
      <c r="DP172" s="19"/>
      <c r="DQ172" s="19"/>
      <c r="DR172" s="19"/>
      <c r="DS172" s="19"/>
      <c r="DT172" s="19"/>
      <c r="DU172" s="19"/>
      <c r="DV172" s="19"/>
      <c r="DW172" s="19"/>
      <c r="DX172" s="19"/>
      <c r="DY172" s="19"/>
      <c r="DZ172" s="19"/>
      <c r="EA172" s="19"/>
      <c r="EB172" s="19"/>
      <c r="EC172" s="19"/>
      <c r="ED172" s="19"/>
      <c r="EE172" s="19"/>
      <c r="EF172" s="19"/>
      <c r="EG172" s="19"/>
      <c r="EH172" s="19"/>
      <c r="EI172" s="19"/>
      <c r="EJ172" s="19"/>
      <c r="EK172" s="19"/>
      <c r="EL172" s="19"/>
      <c r="EM172" s="19"/>
      <c r="EN172" s="19"/>
      <c r="EO172" s="19"/>
      <c r="EP172" s="19"/>
      <c r="EQ172" s="19"/>
      <c r="ER172" s="19"/>
      <c r="ES172" s="19"/>
      <c r="ET172" s="19"/>
      <c r="EU172" s="19"/>
      <c r="EV172" s="19"/>
      <c r="EW172" s="19"/>
      <c r="EX172" s="19"/>
      <c r="EY172" s="19"/>
      <c r="EZ172" s="19"/>
      <c r="FA172" s="19"/>
      <c r="FB172" s="19"/>
      <c r="FC172" s="19"/>
      <c r="FD172" s="19"/>
      <c r="FE172" s="19"/>
      <c r="FF172" s="19"/>
      <c r="FG172" s="19"/>
      <c r="FH172" s="19"/>
      <c r="FI172" s="19"/>
    </row>
    <row r="173" spans="1:165" x14ac:dyDescent="0.25">
      <c r="A173" s="48">
        <v>14</v>
      </c>
      <c r="B173" s="49"/>
      <c r="C173" s="49"/>
      <c r="D173" s="32" t="s">
        <v>153</v>
      </c>
      <c r="E173" s="39"/>
      <c r="F173" s="66">
        <f t="shared" ca="1" si="21"/>
        <v>77</v>
      </c>
      <c r="G173" s="42" t="s">
        <v>140</v>
      </c>
      <c r="H173" s="29"/>
      <c r="I173" s="48">
        <v>14</v>
      </c>
      <c r="J173" s="29"/>
      <c r="K173" s="49"/>
      <c r="L173" s="49"/>
      <c r="M173" s="32" t="s">
        <v>153</v>
      </c>
      <c r="N173" s="49"/>
      <c r="O173" s="117">
        <f t="shared" si="19"/>
        <v>145</v>
      </c>
      <c r="P173" s="42" t="s">
        <v>140</v>
      </c>
      <c r="Q173" s="29"/>
      <c r="R173" s="29"/>
      <c r="S173" s="30"/>
      <c r="T173" s="18"/>
      <c r="U173" s="19"/>
      <c r="V173" s="19"/>
      <c r="W173" s="19"/>
      <c r="X173" s="19"/>
      <c r="Y173" s="19"/>
      <c r="Z173" s="19"/>
      <c r="AA173" s="19"/>
      <c r="AB173" s="19"/>
      <c r="AC173" s="19"/>
      <c r="AD173" s="19"/>
      <c r="AE173" s="19"/>
      <c r="AF173" s="143">
        <f t="shared" si="17"/>
        <v>17</v>
      </c>
      <c r="AG173" s="143">
        <f t="shared" si="16"/>
        <v>6.12</v>
      </c>
      <c r="AH173" s="144">
        <f t="shared" si="3"/>
        <v>225.21599999999998</v>
      </c>
      <c r="AI173" s="145">
        <f t="shared" si="4"/>
        <v>0.97826086956521752</v>
      </c>
      <c r="AJ173" s="145">
        <f t="shared" si="5"/>
        <v>5.9869565217391312</v>
      </c>
      <c r="AK173" s="145">
        <f t="shared" si="6"/>
        <v>0.39130434782608459</v>
      </c>
      <c r="AL173" s="145">
        <f t="shared" si="7"/>
        <v>5.9880220705655685</v>
      </c>
      <c r="AM173" s="146"/>
      <c r="AN173" s="145">
        <f>MAX(0,Table7[[#This Row],[I_L]]-0.5*Table7[[#This Row],[I_L pkpk]])</f>
        <v>5.791304347826089</v>
      </c>
      <c r="AO173" s="145">
        <f>Table7[[#This Row],[I_L]]+0.5*Table7[[#This Row],[I_L pkpk]]</f>
        <v>6.1826086956521733</v>
      </c>
      <c r="AP173" s="145">
        <f ca="1">IF(VACnom&gt;Vbat, (VGS_S-(TI_MOSFET_S_VTH_H_BU+Table7[[#This Row],[I_L]]/TI_MOSFET_S_gFS_H_BU))/3.4, (VGS_S-(TI_MOSFET_S_VTH_L_BO+Table7[[#This Row],[I_L]]/TI_MOSFET_S_gFS_L_BO))/3.4 )</f>
        <v>3.001160731851269</v>
      </c>
      <c r="AQ173" s="145">
        <f ca="1">IF(VACnom&gt;Vbat, ((TI_MOSFET_S_VTH_H_BU+Table7[[#This Row],[I_L]]/TI_MOSFET_S_gFS_H_BU))/1, ((TI_MOSFET_S_VTH_L_BO+Table7[[#This Row],[I_L]]/TI_MOSFET_S_gFS_L_BO))/1 )</f>
        <v>1.7960535117056857</v>
      </c>
      <c r="AR173" s="145">
        <f ca="1">IF(VACnom&gt;Vbat, (TI_MOSFET_S_QGD_H_BU+TI_MOSFET_S_QGS_H_BU)*10^-9/Table7[[#This Row],[Ion (A)]], (TI_MOSFET_S_QGD_L_BO+TI_MOSFET_S_QGS_L_BO)*10^-9/Table7[[#This Row],[Ion (A)]])/10^-9</f>
        <v>9.5962870946384431</v>
      </c>
      <c r="AS173" s="145">
        <f ca="1">IF(VACnom&gt;Vbat, (TI_MOSFET_S_QGD_H_BU+TI_MOSFET_S_QGS_H_BU)*10^-9/Table7[[#This Row],[Ioff (A)]], (TI_MOSFET_S_QGD_L_BO+TI_MOSFET_S_QGS_L_BO)*10^-9/Table7[[#This Row],[Ioff (A)]])/10^-9</f>
        <v>16.035156977393765</v>
      </c>
      <c r="AT173" s="145">
        <f ca="1" xml:space="preserve"> 0.5*VACnom*Table7[[#This Row],[Ivalley (A)]]*Table7[[#This Row],[ton (ns)]]*10^-9*Fsw*10^3+0.5*VACnom*Table7[[#This Row],[Ipeak (A)]]*Table7[[#This Row],[toff (ns)]]*10^-9*Fsw*10^3/10^-3</f>
        <v>365.03640762022388</v>
      </c>
      <c r="AU173" s="145">
        <f t="shared" ca="1" si="8"/>
        <v>268.64000000000004</v>
      </c>
      <c r="AV173" s="145" t="e">
        <f t="shared" si="9"/>
        <v>#VALUE!</v>
      </c>
      <c r="AW173" s="145">
        <f t="shared" ca="1" si="10"/>
        <v>566.72000000000025</v>
      </c>
      <c r="AX173" s="145">
        <f ca="1">IF(VACnom&gt;Vbat, TI_MOSFET_S_VSD_L_BU*Table7[[#This Row],[Ivalley (A)]]*Fsw*10^3*40*10^-9+TI_MOSFET_S_VSD_L_BU*Table7[[#This Row],[Ipeak (A)]]*Fsw*10^3*30*10^-9, TI_MOSFET_S_VSD_H_BO*Table7[[#This Row],[Ivalley (A)]]*Fsw*10^3*40*10^-9+TI_MOSFET_S_VSD_H_BO*Table7[[#This Row],[Ipeak (A)]]*Fsw*10^3*30*10^-9)/10^-3</f>
        <v>60.066782608695675</v>
      </c>
      <c r="AY173" s="145" t="e">
        <f t="shared" si="11"/>
        <v>#VALUE!</v>
      </c>
      <c r="AZ173" s="145" t="e">
        <f>IF(VACnom&lt;Vbat, Table7[[#This Row],[Duty Cycle]]*Table7[[#This Row],[I_L RMS]]^2*TI_MOSFET_S_RDSON_H_BU*10^-3, (1-Table7[[#This Row],[Duty Cycle]])*Table7[[#This Row],[I_L RMS]]^2*TI_MOSFET_S_RDSON_H_BO*10^-3)/10^-3</f>
        <v>#VALUE!</v>
      </c>
      <c r="BA173" s="145" t="e">
        <f ca="1">IF(VACnom&gt;Vbat, Table7[[#This Row],[PIV (mW)]]+Table7[[#This Row],[Pqoss (mW)]]+Table7[[#This Row],[Pgate_top (mW)]], Table7[[#This Row],[PRR (mW)]]+Table7[[#This Row],[Pdead (mW)]]+Table7[[#This Row],[Pgate_top (mW)]])</f>
        <v>#VALUE!</v>
      </c>
      <c r="BB173" s="145" t="e">
        <f ca="1">Table7[[#This Row],[Pcon_top (mW)]]+Table7[[#This Row],[Psw_top (mW)]]</f>
        <v>#VALUE!</v>
      </c>
      <c r="BC173" s="145" t="e">
        <f>IF(VACnom&gt;Vbat, (1-Table7[[#This Row],[Duty Cycle]])*Table7[[#This Row],[I_L RMS]]^2*TI_MOSFET_S_RDSON_L_BU*10^-3, Table7[[#This Row],[Duty Cycle]]*Table7[[#This Row],[I_L RMS]]^2*TI_MOSFET_S_RDSON_L_BO*10^-3)/10^-3</f>
        <v>#VALUE!</v>
      </c>
      <c r="BD173" s="145" t="e">
        <f ca="1">IF(VACnom&gt;Vbat, Table7[[#This Row],[PRR (mW)]]+Table7[[#This Row],[Pdead (mW)]]+Table7[[#This Row],[Pgate_bottom (mW)]], Table7[[#This Row],[PIV (mW)]]+Table7[[#This Row],[Pqoss (mW)]]+Table7[[#This Row],[Pgate_bottom (mW)]])</f>
        <v>#VALUE!</v>
      </c>
      <c r="BE173" s="147" t="e">
        <f ca="1">Table7[[#This Row],[Pcon_bottom (mW)]]+Table7[[#This Row],[Psw_bottom (mW)]]</f>
        <v>#VALUE!</v>
      </c>
      <c r="BF173" s="145" t="e">
        <f ca="1">Table7[[#This Row],[Pbottom (mW)]]+Table7[[#This Row],[Ptop (mW)]]</f>
        <v>#VALUE!</v>
      </c>
      <c r="BG173" s="142"/>
      <c r="BH173" s="145">
        <f>MAX(0,Table7[[#This Row],[I_L]]-0.5*Table7[[#This Row],[I_L pkpk]])</f>
        <v>5.791304347826089</v>
      </c>
      <c r="BI173" s="145">
        <f>Table7[[#This Row],[I_L]]+0.5*Table7[[#This Row],[I_L pkpk]]</f>
        <v>6.1826086956521733</v>
      </c>
      <c r="BJ173" s="145">
        <f>IF(VACnom&gt;Vbat, (VGS_S-(C_MOSFET_S_VTH_H_BU+Table7[[#This Row],[I_L]]/C_MOSFET_S_gFS_H_BU))/3.4, (VGS_S-(C_MOSFET_S_VTH_L_BO+Table7[[#This Row],[I_L]]/C_MOSFET_S_gFS_L_BO))/3.4 )</f>
        <v>2.9554083252491403</v>
      </c>
      <c r="BK173" s="145">
        <f>IF(VACnom&gt;Vbat, ((C_MOSFET_S_VTH_H_BU+Table7[[#This Row],[I_L]]/C_MOSFET_S_gFS_H_BU))/1, ((C_MOSFET_S_VTH_L_BO+Table7[[#This Row],[I_L]]/C_MOSFET_S_gFS_L_BO))/1 )</f>
        <v>1.9516116941529233</v>
      </c>
      <c r="BL173" s="145">
        <f>IF(VACnom&gt;Vbat, (C_MOSFET_S_QGD_H_BU+C_MOSFET_S_QGS_H_BU)*10^-9/Table7[[#This Row],[Ion (A) C]], (C_MOSFET_S_QGD_L_BO+C_MOSFET_S_QGS_L_BO)*10^-9/Table7[[#This Row],[Ion (A) C]])/10^-9</f>
        <v>5.244622161877869</v>
      </c>
      <c r="BM173" s="145">
        <f>IF(VACnom&gt;Vbat, (C_MOSFET_S_QGD_H_BU+C_MOSFET_S_QGS_H_BU)*10^-9/Table7[[#This Row],[Ioff (A) C]], (C_MOSFET_S_QGD_L_BO+C_MOSFET_S_QGS_L_BO)*10^-9/Table7[[#This Row],[Ioff (A) C]])/10^-9</f>
        <v>7.942153680692928</v>
      </c>
      <c r="BN173" s="145">
        <f xml:space="preserve"> 0.5*VACnom*Table7[[#This Row],[Ivalley (A) C]]*Table7[[#This Row],[ton (ns) C]]*10^-9*Fsw*10^3+0.5*VACnom*Table7[[#This Row],[Ipeak (A) C]]*Table7[[#This Row],[toff (ns) C]]*10^-9*Fsw*10^3/10^-3</f>
        <v>180.81165393063949</v>
      </c>
      <c r="BO173" s="145">
        <f t="shared" si="12"/>
        <v>305.44000000000011</v>
      </c>
      <c r="BP173" s="145">
        <f t="shared" si="13"/>
        <v>357.69600000000014</v>
      </c>
      <c r="BQ173" s="145">
        <f t="shared" si="14"/>
        <v>1067.2000000000003</v>
      </c>
      <c r="BR173" s="145">
        <f>IF(VACnom&gt;Vbat, C_MOSFET_S_VSD_L_BU*Table7[[#This Row],[Ivalley (A) C]]*Fsw*10^3*40*10^-9+C_MOSFET_S_VSD_L_BU*Table7[[#This Row],[Ipeak (A) C]]*Fsw*10^3*30*10^-9, C_MOSFET_S_VSD_H_BO*Table7[[#This Row],[Ivalley (A) C]]*Fsw*10^3*40*10^-9+C_MOSFET_S_VSD_H_BO*Table7[[#This Row],[Ipeak (A) C]]*Fsw*10^3*30*10^-9)/10^-3</f>
        <v>66.740869565217437</v>
      </c>
      <c r="BS173" s="145">
        <f t="shared" si="15"/>
        <v>357.69600000000014</v>
      </c>
      <c r="BT173" s="145">
        <f>IF(VACnom&lt;Vbat, Table7[[#This Row],[Duty Cycle]]*Table7[[#This Row],[I_L RMS]]^2*C_MOSFET_S_RDSON_H_BU*10^-3, (1-Table7[[#This Row],[Duty Cycle]])*Table7[[#This Row],[I_L RMS]]^2*C_MOSFET_S_RDSON_H_BO*10^-3)/10^-3</f>
        <v>2.0266665570806177</v>
      </c>
      <c r="BU173" s="145">
        <f>IF(VACnom&gt;Vbat, Table7[[#This Row],[PIV (mW) C]]+Table7[[#This Row],[PQoss (mW) C]]+Table7[[#This Row],[Pgate_top (mW) C]], Table7[[#This Row],[PRR (mW) C]]+Table7[[#This Row],[Pdead (mW) C]]+Table7[[#This Row],[Pgate_top (mW) C]])</f>
        <v>843.94765393063972</v>
      </c>
      <c r="BV173" s="145">
        <f>Table7[[#This Row],[Pcon_top (mW) C]]+Table7[[#This Row],[Psw_top (mW) C]]</f>
        <v>845.97432048772032</v>
      </c>
      <c r="BW173" s="145">
        <f>IF(VACnom&gt;Vbat, (1-Table7[[#This Row],[Duty Cycle]])*Table7[[#This Row],[I_L RMS]]^2*C_MOSFET_S_RDSON_L_BU*10^-3, Table7[[#This Row],[Duty Cycle]]*Table7[[#This Row],[I_L RMS]]^2*C_MOSFET_S_RDSON_L_BO*10^-3)/10^-3</f>
        <v>1.3251281334757883</v>
      </c>
      <c r="BX173" s="145">
        <f>IF(VACnom&gt;Vbat, Table7[[#This Row],[PRR (mW) C]]+Table7[[#This Row],[Pdead (mW) C]]+Table7[[#This Row],[Pgate_bottom (mW) C]], Table7[[#This Row],[PIV (mW) C]]+Table7[[#This Row],[PQoss (mW) C]]+Table7[[#This Row],[Pgate_bottom (mW) C]])</f>
        <v>1491.6368695652179</v>
      </c>
      <c r="BY173" s="145">
        <f>Table7[[#This Row],[Pcon_bottom (mW) C]]+Table7[[#This Row],[Psw_bottom (mV) C]]</f>
        <v>1492.9619976986937</v>
      </c>
      <c r="BZ173" s="145">
        <f>Table7[[#This Row],[Pbottom (mW) C]]+Table7[[#This Row],[Ptop (mW) C]]</f>
        <v>2338.9363181864142</v>
      </c>
      <c r="CA173" s="148"/>
      <c r="CB173" s="144">
        <f>(RAC_SNS*10^-3*(Table7[[#This Row],[IOUT (A)]]*Vbat/VACnom)^2/10^-3)</f>
        <v>71.68729678638941</v>
      </c>
      <c r="CC173" s="144">
        <f>(RBAT_SNS*10^-3*Table7[[#This Row],[IOUT (A)]]^2)/10^-3</f>
        <v>187.27199999999999</v>
      </c>
      <c r="CD173" s="144">
        <f>IF(VACnom&gt;Vbat,(L_DRC*10^-3*(Table7[[#This Row],[IOUT (A)]])^2/10^-3),(L_DRC*10^-3*(Table7[[#This Row],[IOUT (A)]]*Vbat/VACnom)^2/10^-3))</f>
        <v>187.27199999999999</v>
      </c>
      <c r="CE173" s="152"/>
      <c r="CF173" s="145">
        <f>(Table7[[#This Row],[R_AC (mW)]]+Table7[[#This Row],[R_SR (mW)]]+Table7[[#This Row],[Inductor Loss (mW)]])/10^3</f>
        <v>0.4462312967863894</v>
      </c>
      <c r="CG173" s="145" t="e">
        <f ca="1">Table7[[#This Row],[Total TI (mW)]]/10^3</f>
        <v>#VALUE!</v>
      </c>
      <c r="CH173" s="145" t="e">
        <f ca="1">Table7[[#This Row],[Total Sense Loss]]+Table7[[#This Row],[Total MOSFET Loss]]</f>
        <v>#VALUE!</v>
      </c>
      <c r="CI173" s="149" t="e">
        <f ca="1">IF(Table7[[#This Row],[POUT (W)]]=0,0,(Table7[[#This Row],[POUT (W)]])/(Table7[[#This Row],[POUT (W)]]+Table7[[#This Row],[Total Power Loss (W)]]))*100</f>
        <v>#VALUE!</v>
      </c>
      <c r="CJ173" s="153"/>
      <c r="CK173" s="145">
        <f>(Table7[[#This Row],[R_AC (mW)]]+Table7[[#This Row],[R_SR (mW)]]+Table7[[#This Row],[Inductor Loss (mW)]])/10^3</f>
        <v>0.4462312967863894</v>
      </c>
      <c r="CL173" s="145">
        <f>Table7[[#This Row],[Total (mW) C]]/10^3</f>
        <v>2.338936318186414</v>
      </c>
      <c r="CM173" s="145">
        <f>Table7[[#This Row],[Total Sense Loss C]]+Table7[[#This Row],[Total MOSFET Loss C]]</f>
        <v>2.7851676149728033</v>
      </c>
      <c r="CN173" s="149">
        <f>IF(Table7[[#This Row],[POUT (W)]]=0,0,(Table7[[#This Row],[POUT (W)]])/(Table7[[#This Row],[POUT (W)]]+Table7[[#This Row],[Total Power Loss (W) C]]))*100</f>
        <v>98.7784415123364</v>
      </c>
      <c r="CO173" s="153"/>
      <c r="CP173" s="149">
        <f>IF(MOSFET_S=Custom_MOSFET,Table7[[#This Row],[Total Sense Loss C]],Table7[[#This Row],[Total Sense Loss]])</f>
        <v>0.4462312967863894</v>
      </c>
      <c r="CQ173" s="149">
        <f>IF(MOSFET_S=Custom_MOSFET,Table7[[#This Row],[Total MOSFET Loss C]],Table7[[#This Row],[Total MOSFET Loss]])</f>
        <v>2.338936318186414</v>
      </c>
      <c r="CR173" s="149">
        <f>IF(MOSFET_S=Custom_MOSFET,Table7[[#This Row],[Efficiency C]],Table7[[#This Row],[Efficiency]])</f>
        <v>98.7784415123364</v>
      </c>
      <c r="CS173" s="153"/>
      <c r="CT173" s="149">
        <f>IF(MOSFET_S=Compare_MOSFET, Table7[[#This Row],[Total Sense Loss C]], -100)</f>
        <v>-100</v>
      </c>
      <c r="CU173" s="149">
        <f>IF(MOSFET_S=Compare_MOSFET, Table7[[#This Row],[Total MOSFET Loss C]], -100)</f>
        <v>-100</v>
      </c>
      <c r="CV173" s="149">
        <f>IF(MOSFET_S=Compare_MOSFET, Table7[[#This Row],[Efficiency C]], -100)</f>
        <v>-100</v>
      </c>
      <c r="CW173" s="153"/>
      <c r="CX173" s="149">
        <f ca="1">IF(Save_Sel=CLR_Save,  Table7[[#This Row],[Total Sense Loss P1]], Table7[[#This Row],[Total Sense Loss P1 Saved]])</f>
        <v>0.4462312967863894</v>
      </c>
      <c r="CY173" s="149">
        <f ca="1">IF(Save_Sel=CLR_Save,  Table7[[#This Row],[Total MOSFET Loss P1]], Table7[[#This Row],[Total MOSFET Loss P1 Saved]] )</f>
        <v>2.338936318186414</v>
      </c>
      <c r="CZ173" s="149">
        <f ca="1">IF(Save_Sel=CLR_Save, Table7[[#This Row],[Efficiency P1]], Table7[[#This Row],[Efficiency P1 Saved]])</f>
        <v>98.7784415123364</v>
      </c>
      <c r="DA173" s="153"/>
      <c r="DB173" s="149">
        <f ca="1">IF(Save_Sel=CLR_Save,  Table7[[#This Row],[Total Sense Loss P2]], Table7[[#This Row],[Total Sense Loss P2 Saved]])</f>
        <v>-100</v>
      </c>
      <c r="DC173" s="149">
        <f ca="1">IF(Save_Sel=CLR_Save,  Table7[[#This Row],[Total MOSFET Loss P2]], Table7[[#This Row],[Total MOSFET Loss P2 Saved]] )</f>
        <v>-100</v>
      </c>
      <c r="DD173" s="149">
        <f ca="1">IF(Save_Sel=CLR_Save, Table7[[#This Row],[Efficiency P2]], Table7[[#This Row],[Efficiency P2 Saved]])</f>
        <v>-100</v>
      </c>
      <c r="DE173" s="153"/>
      <c r="DF173" s="19"/>
      <c r="DG173" s="19"/>
      <c r="DH173" s="19"/>
      <c r="DI173" s="19"/>
      <c r="DJ173" s="19"/>
      <c r="DK173" s="19"/>
      <c r="DL173" s="19"/>
      <c r="DM173" s="19"/>
      <c r="DN173" s="19"/>
      <c r="DO173" s="19"/>
      <c r="DP173" s="19"/>
      <c r="DQ173" s="19"/>
      <c r="DR173" s="19"/>
      <c r="DS173" s="19"/>
      <c r="DT173" s="19"/>
      <c r="DU173" s="19"/>
      <c r="DV173" s="19"/>
      <c r="DW173" s="19"/>
      <c r="DX173" s="19"/>
      <c r="DY173" s="19"/>
      <c r="DZ173" s="19"/>
      <c r="EA173" s="19"/>
      <c r="EB173" s="19"/>
      <c r="EC173" s="19"/>
      <c r="ED173" s="19"/>
      <c r="EE173" s="19"/>
      <c r="EF173" s="19"/>
      <c r="EG173" s="19"/>
      <c r="EH173" s="19"/>
      <c r="EI173" s="19"/>
      <c r="EJ173" s="19"/>
      <c r="EK173" s="19"/>
      <c r="EL173" s="19"/>
      <c r="EM173" s="19"/>
      <c r="EN173" s="19"/>
      <c r="EO173" s="19"/>
      <c r="EP173" s="19"/>
      <c r="EQ173" s="19"/>
      <c r="ER173" s="19"/>
      <c r="ES173" s="19"/>
      <c r="ET173" s="19"/>
      <c r="EU173" s="19"/>
      <c r="EV173" s="19"/>
      <c r="EW173" s="19"/>
      <c r="EX173" s="19"/>
      <c r="EY173" s="19"/>
      <c r="EZ173" s="19"/>
      <c r="FA173" s="19"/>
      <c r="FB173" s="19"/>
      <c r="FC173" s="19"/>
      <c r="FD173" s="19"/>
      <c r="FE173" s="19"/>
      <c r="FF173" s="19"/>
      <c r="FG173" s="19"/>
      <c r="FH173" s="19"/>
      <c r="FI173" s="19"/>
    </row>
    <row r="174" spans="1:165" ht="15.75" thickBot="1" x14ac:dyDescent="0.3">
      <c r="A174" s="46">
        <v>15</v>
      </c>
      <c r="B174" s="47"/>
      <c r="C174" s="47"/>
      <c r="D174" s="35" t="s">
        <v>154</v>
      </c>
      <c r="E174" s="123">
        <f ca="1">$N131</f>
        <v>15</v>
      </c>
      <c r="F174" s="123">
        <f t="shared" ca="1" si="21"/>
        <v>15</v>
      </c>
      <c r="G174" s="45" t="s">
        <v>155</v>
      </c>
      <c r="H174" s="29"/>
      <c r="I174" s="46">
        <v>15</v>
      </c>
      <c r="J174" s="114"/>
      <c r="K174" s="47"/>
      <c r="L174" s="47"/>
      <c r="M174" s="35" t="s">
        <v>154</v>
      </c>
      <c r="N174" s="121">
        <f>$E131</f>
        <v>50</v>
      </c>
      <c r="O174" s="121">
        <f t="shared" si="19"/>
        <v>50</v>
      </c>
      <c r="P174" s="45" t="s">
        <v>155</v>
      </c>
      <c r="Q174" s="29"/>
      <c r="R174" s="29"/>
      <c r="S174" s="30"/>
      <c r="T174" s="18"/>
      <c r="U174" s="19"/>
      <c r="V174" s="19"/>
      <c r="W174" s="19"/>
      <c r="X174" s="19"/>
      <c r="Y174" s="19"/>
      <c r="Z174" s="19"/>
      <c r="AA174" s="19"/>
      <c r="AB174" s="19"/>
      <c r="AC174" s="19"/>
      <c r="AD174" s="19"/>
      <c r="AE174" s="19"/>
      <c r="AF174" s="143">
        <f t="shared" si="17"/>
        <v>18</v>
      </c>
      <c r="AG174" s="143">
        <f t="shared" si="16"/>
        <v>6.48</v>
      </c>
      <c r="AH174" s="144">
        <f t="shared" si="3"/>
        <v>238.464</v>
      </c>
      <c r="AI174" s="145">
        <f t="shared" si="4"/>
        <v>0.97826086956521752</v>
      </c>
      <c r="AJ174" s="145">
        <f t="shared" si="5"/>
        <v>6.3391304347826098</v>
      </c>
      <c r="AK174" s="145">
        <f t="shared" si="6"/>
        <v>0.39130434782608459</v>
      </c>
      <c r="AL174" s="145">
        <f t="shared" si="7"/>
        <v>6.3401367961245754</v>
      </c>
      <c r="AM174" s="146"/>
      <c r="AN174" s="145">
        <f>MAX(0,Table7[[#This Row],[I_L]]-0.5*Table7[[#This Row],[I_L pkpk]])</f>
        <v>6.1434782608695677</v>
      </c>
      <c r="AO174" s="145">
        <f>Table7[[#This Row],[I_L]]+0.5*Table7[[#This Row],[I_L pkpk]]</f>
        <v>6.534782608695652</v>
      </c>
      <c r="AP174" s="145">
        <f ca="1">IF(VACnom&gt;Vbat, (VGS_S-(TI_MOSFET_S_VTH_H_BU+Table7[[#This Row],[I_L]]/TI_MOSFET_S_gFS_H_BU))/3.4, (VGS_S-(TI_MOSFET_S_VTH_L_BO+Table7[[#This Row],[I_L]]/TI_MOSFET_S_gFS_L_BO))/3.4 )</f>
        <v>3.0003639582923469</v>
      </c>
      <c r="AQ174" s="145">
        <f ca="1">IF(VACnom&gt;Vbat, ((TI_MOSFET_S_VTH_H_BU+Table7[[#This Row],[I_L]]/TI_MOSFET_S_gFS_H_BU))/1, ((TI_MOSFET_S_VTH_L_BO+Table7[[#This Row],[I_L]]/TI_MOSFET_S_gFS_L_BO))/1 )</f>
        <v>1.79876254180602</v>
      </c>
      <c r="AR174" s="145">
        <f ca="1">IF(VACnom&gt;Vbat, (TI_MOSFET_S_QGD_H_BU+TI_MOSFET_S_QGS_H_BU)*10^-9/Table7[[#This Row],[Ion (A)]], (TI_MOSFET_S_QGD_L_BO+TI_MOSFET_S_QGS_L_BO)*10^-9/Table7[[#This Row],[Ion (A)]])/10^-9</f>
        <v>9.5988354747440319</v>
      </c>
      <c r="AS174" s="145">
        <f ca="1">IF(VACnom&gt;Vbat, (TI_MOSFET_S_QGD_H_BU+TI_MOSFET_S_QGS_H_BU)*10^-9/Table7[[#This Row],[Ioff (A)]], (TI_MOSFET_S_QGD_L_BO+TI_MOSFET_S_QGS_L_BO)*10^-9/Table7[[#This Row],[Ioff (A)]])/10^-9</f>
        <v>16.011007195582248</v>
      </c>
      <c r="AT174" s="145">
        <f ca="1" xml:space="preserve"> 0.5*VACnom*Table7[[#This Row],[Ivalley (A)]]*Table7[[#This Row],[ton (ns)]]*10^-9*Fsw*10^3+0.5*VACnom*Table7[[#This Row],[Ipeak (A)]]*Table7[[#This Row],[toff (ns)]]*10^-9*Fsw*10^3/10^-3</f>
        <v>385.24971151177499</v>
      </c>
      <c r="AU174" s="145">
        <f t="shared" ca="1" si="8"/>
        <v>268.64000000000004</v>
      </c>
      <c r="AV174" s="145" t="e">
        <f t="shared" si="9"/>
        <v>#VALUE!</v>
      </c>
      <c r="AW174" s="145">
        <f t="shared" ca="1" si="10"/>
        <v>566.72000000000025</v>
      </c>
      <c r="AX174" s="145">
        <f ca="1">IF(VACnom&gt;Vbat, TI_MOSFET_S_VSD_L_BU*Table7[[#This Row],[Ivalley (A)]]*Fsw*10^3*40*10^-9+TI_MOSFET_S_VSD_L_BU*Table7[[#This Row],[Ipeak (A)]]*Fsw*10^3*30*10^-9, TI_MOSFET_S_VSD_H_BO*Table7[[#This Row],[Ivalley (A)]]*Fsw*10^3*40*10^-9+TI_MOSFET_S_VSD_H_BO*Table7[[#This Row],[Ipeak (A)]]*Fsw*10^3*30*10^-9)/10^-3</f>
        <v>63.616695652173952</v>
      </c>
      <c r="AY174" s="145" t="e">
        <f t="shared" si="11"/>
        <v>#VALUE!</v>
      </c>
      <c r="AZ174" s="145" t="e">
        <f>IF(VACnom&lt;Vbat, Table7[[#This Row],[Duty Cycle]]*Table7[[#This Row],[I_L RMS]]^2*TI_MOSFET_S_RDSON_H_BU*10^-3, (1-Table7[[#This Row],[Duty Cycle]])*Table7[[#This Row],[I_L RMS]]^2*TI_MOSFET_S_RDSON_H_BO*10^-3)/10^-3</f>
        <v>#VALUE!</v>
      </c>
      <c r="BA174" s="145" t="e">
        <f ca="1">IF(VACnom&gt;Vbat, Table7[[#This Row],[PIV (mW)]]+Table7[[#This Row],[Pqoss (mW)]]+Table7[[#This Row],[Pgate_top (mW)]], Table7[[#This Row],[PRR (mW)]]+Table7[[#This Row],[Pdead (mW)]]+Table7[[#This Row],[Pgate_top (mW)]])</f>
        <v>#VALUE!</v>
      </c>
      <c r="BB174" s="145" t="e">
        <f ca="1">Table7[[#This Row],[Pcon_top (mW)]]+Table7[[#This Row],[Psw_top (mW)]]</f>
        <v>#VALUE!</v>
      </c>
      <c r="BC174" s="145" t="e">
        <f>IF(VACnom&gt;Vbat, (1-Table7[[#This Row],[Duty Cycle]])*Table7[[#This Row],[I_L RMS]]^2*TI_MOSFET_S_RDSON_L_BU*10^-3, Table7[[#This Row],[Duty Cycle]]*Table7[[#This Row],[I_L RMS]]^2*TI_MOSFET_S_RDSON_L_BO*10^-3)/10^-3</f>
        <v>#VALUE!</v>
      </c>
      <c r="BD174" s="145" t="e">
        <f ca="1">IF(VACnom&gt;Vbat, Table7[[#This Row],[PRR (mW)]]+Table7[[#This Row],[Pdead (mW)]]+Table7[[#This Row],[Pgate_bottom (mW)]], Table7[[#This Row],[PIV (mW)]]+Table7[[#This Row],[Pqoss (mW)]]+Table7[[#This Row],[Pgate_bottom (mW)]])</f>
        <v>#VALUE!</v>
      </c>
      <c r="BE174" s="147" t="e">
        <f ca="1">Table7[[#This Row],[Pcon_bottom (mW)]]+Table7[[#This Row],[Psw_bottom (mW)]]</f>
        <v>#VALUE!</v>
      </c>
      <c r="BF174" s="145" t="e">
        <f ca="1">Table7[[#This Row],[Pbottom (mW)]]+Table7[[#This Row],[Ptop (mW)]]</f>
        <v>#VALUE!</v>
      </c>
      <c r="BG174" s="142"/>
      <c r="BH174" s="145">
        <f>MAX(0,Table7[[#This Row],[I_L]]-0.5*Table7[[#This Row],[I_L pkpk]])</f>
        <v>6.1434782608695677</v>
      </c>
      <c r="BI174" s="145">
        <f>Table7[[#This Row],[I_L]]+0.5*Table7[[#This Row],[I_L pkpk]]</f>
        <v>6.534782608695652</v>
      </c>
      <c r="BJ174" s="145">
        <f>IF(VACnom&gt;Vbat, (VGS_S-(C_MOSFET_S_VTH_H_BU+Table7[[#This Row],[I_L]]/C_MOSFET_S_gFS_H_BU))/3.4, (VGS_S-(C_MOSFET_S_VTH_L_BO+Table7[[#This Row],[I_L]]/C_MOSFET_S_gFS_L_BO))/3.4 )</f>
        <v>2.9545153893641416</v>
      </c>
      <c r="BK174" s="145">
        <f>IF(VACnom&gt;Vbat, ((C_MOSFET_S_VTH_H_BU+Table7[[#This Row],[I_L]]/C_MOSFET_S_gFS_H_BU))/1, ((C_MOSFET_S_VTH_L_BO+Table7[[#This Row],[I_L]]/C_MOSFET_S_gFS_L_BO))/1 )</f>
        <v>1.9546476761619189</v>
      </c>
      <c r="BL174" s="145">
        <f>IF(VACnom&gt;Vbat, (C_MOSFET_S_QGD_H_BU+C_MOSFET_S_QGS_H_BU)*10^-9/Table7[[#This Row],[Ion (A) C]], (C_MOSFET_S_QGD_L_BO+C_MOSFET_S_QGS_L_BO)*10^-9/Table7[[#This Row],[Ion (A) C]])/10^-9</f>
        <v>5.2462072310734662</v>
      </c>
      <c r="BM174" s="145">
        <f>IF(VACnom&gt;Vbat, (C_MOSFET_S_QGD_H_BU+C_MOSFET_S_QGS_H_BU)*10^-9/Table7[[#This Row],[Ioff (A) C]], (C_MOSFET_S_QGD_L_BO+C_MOSFET_S_QGS_L_BO)*10^-9/Table7[[#This Row],[Ioff (A) C]])/10^-9</f>
        <v>7.9298178331735372</v>
      </c>
      <c r="BN174" s="145">
        <f xml:space="preserve"> 0.5*VACnom*Table7[[#This Row],[Ivalley (A) C]]*Table7[[#This Row],[ton (ns) C]]*10^-9*Fsw*10^3+0.5*VACnom*Table7[[#This Row],[Ipeak (A) C]]*Table7[[#This Row],[toff (ns) C]]*10^-9*Fsw*10^3/10^-3</f>
        <v>190.81486550523735</v>
      </c>
      <c r="BO174" s="145">
        <f t="shared" si="12"/>
        <v>305.44000000000011</v>
      </c>
      <c r="BP174" s="145">
        <f t="shared" si="13"/>
        <v>357.69600000000014</v>
      </c>
      <c r="BQ174" s="145">
        <f t="shared" si="14"/>
        <v>1067.2000000000003</v>
      </c>
      <c r="BR174" s="145">
        <f>IF(VACnom&gt;Vbat, C_MOSFET_S_VSD_L_BU*Table7[[#This Row],[Ivalley (A) C]]*Fsw*10^3*40*10^-9+C_MOSFET_S_VSD_L_BU*Table7[[#This Row],[Ipeak (A) C]]*Fsw*10^3*30*10^-9, C_MOSFET_S_VSD_H_BO*Table7[[#This Row],[Ivalley (A) C]]*Fsw*10^3*40*10^-9+C_MOSFET_S_VSD_H_BO*Table7[[#This Row],[Ipeak (A) C]]*Fsw*10^3*30*10^-9)/10^-3</f>
        <v>70.685217391304406</v>
      </c>
      <c r="BS174" s="145">
        <f t="shared" si="15"/>
        <v>357.69600000000014</v>
      </c>
      <c r="BT174" s="145">
        <f>IF(VACnom&lt;Vbat, Table7[[#This Row],[Duty Cycle]]*Table7[[#This Row],[I_L RMS]]^2*C_MOSFET_S_RDSON_H_BU*10^-3, (1-Table7[[#This Row],[Duty Cycle]])*Table7[[#This Row],[I_L RMS]]^2*C_MOSFET_S_RDSON_H_BO*10^-3)/10^-3</f>
        <v>2.2720232596367103</v>
      </c>
      <c r="BU174" s="145">
        <f>IF(VACnom&gt;Vbat, Table7[[#This Row],[PIV (mW) C]]+Table7[[#This Row],[PQoss (mW) C]]+Table7[[#This Row],[Pgate_top (mW) C]], Table7[[#This Row],[PRR (mW) C]]+Table7[[#This Row],[Pdead (mW) C]]+Table7[[#This Row],[Pgate_top (mW) C]])</f>
        <v>853.95086550523763</v>
      </c>
      <c r="BV174" s="145">
        <f>Table7[[#This Row],[Pcon_top (mW) C]]+Table7[[#This Row],[Psw_top (mW) C]]</f>
        <v>856.22288876487437</v>
      </c>
      <c r="BW174" s="145">
        <f>IF(VACnom&gt;Vbat, (1-Table7[[#This Row],[Duty Cycle]])*Table7[[#This Row],[I_L RMS]]^2*C_MOSFET_S_RDSON_L_BU*10^-3, Table7[[#This Row],[Duty Cycle]]*Table7[[#This Row],[I_L RMS]]^2*C_MOSFET_S_RDSON_L_BO*10^-3)/10^-3</f>
        <v>1.4855536697624645</v>
      </c>
      <c r="BX174" s="145">
        <f>IF(VACnom&gt;Vbat, Table7[[#This Row],[PRR (mW) C]]+Table7[[#This Row],[Pdead (mW) C]]+Table7[[#This Row],[Pgate_bottom (mW) C]], Table7[[#This Row],[PIV (mW) C]]+Table7[[#This Row],[PQoss (mW) C]]+Table7[[#This Row],[Pgate_bottom (mW) C]])</f>
        <v>1495.5812173913048</v>
      </c>
      <c r="BY174" s="145">
        <f>Table7[[#This Row],[Pcon_bottom (mW) C]]+Table7[[#This Row],[Psw_bottom (mV) C]]</f>
        <v>1497.0667710610674</v>
      </c>
      <c r="BZ174" s="145">
        <f>Table7[[#This Row],[Pbottom (mW) C]]+Table7[[#This Row],[Ptop (mW) C]]</f>
        <v>2353.2896598259417</v>
      </c>
      <c r="CA174" s="148"/>
      <c r="CB174" s="144">
        <f>(RAC_SNS*10^-3*(Table7[[#This Row],[IOUT (A)]]*Vbat/VACnom)^2/10^-3)</f>
        <v>80.369149338374314</v>
      </c>
      <c r="CC174" s="144">
        <f>(RBAT_SNS*10^-3*Table7[[#This Row],[IOUT (A)]]^2)/10^-3</f>
        <v>209.95200000000006</v>
      </c>
      <c r="CD174" s="144">
        <f>IF(VACnom&gt;Vbat,(L_DRC*10^-3*(Table7[[#This Row],[IOUT (A)]])^2/10^-3),(L_DRC*10^-3*(Table7[[#This Row],[IOUT (A)]]*Vbat/VACnom)^2/10^-3))</f>
        <v>209.95200000000006</v>
      </c>
      <c r="CE174" s="152"/>
      <c r="CF174" s="145">
        <f>(Table7[[#This Row],[R_AC (mW)]]+Table7[[#This Row],[R_SR (mW)]]+Table7[[#This Row],[Inductor Loss (mW)]])/10^3</f>
        <v>0.50027314933837441</v>
      </c>
      <c r="CG174" s="145" t="e">
        <f ca="1">Table7[[#This Row],[Total TI (mW)]]/10^3</f>
        <v>#VALUE!</v>
      </c>
      <c r="CH174" s="145" t="e">
        <f ca="1">Table7[[#This Row],[Total Sense Loss]]+Table7[[#This Row],[Total MOSFET Loss]]</f>
        <v>#VALUE!</v>
      </c>
      <c r="CI174" s="149" t="e">
        <f ca="1">IF(Table7[[#This Row],[POUT (W)]]=0,0,(Table7[[#This Row],[POUT (W)]])/(Table7[[#This Row],[POUT (W)]]+Table7[[#This Row],[Total Power Loss (W)]]))*100</f>
        <v>#VALUE!</v>
      </c>
      <c r="CJ174" s="153"/>
      <c r="CK174" s="145">
        <f>(Table7[[#This Row],[R_AC (mW)]]+Table7[[#This Row],[R_SR (mW)]]+Table7[[#This Row],[Inductor Loss (mW)]])/10^3</f>
        <v>0.50027314933837441</v>
      </c>
      <c r="CL174" s="145">
        <f>Table7[[#This Row],[Total (mW) C]]/10^3</f>
        <v>2.3532896598259416</v>
      </c>
      <c r="CM174" s="145">
        <f>Table7[[#This Row],[Total Sense Loss C]]+Table7[[#This Row],[Total MOSFET Loss C]]</f>
        <v>2.8535628091643161</v>
      </c>
      <c r="CN174" s="149">
        <f>IF(Table7[[#This Row],[POUT (W)]]=0,0,(Table7[[#This Row],[POUT (W)]])/(Table7[[#This Row],[POUT (W)]]+Table7[[#This Row],[Total Power Loss (W) C]]))*100</f>
        <v>98.817507198420969</v>
      </c>
      <c r="CO174" s="153"/>
      <c r="CP174" s="149">
        <f>IF(MOSFET_S=Custom_MOSFET,Table7[[#This Row],[Total Sense Loss C]],Table7[[#This Row],[Total Sense Loss]])</f>
        <v>0.50027314933837441</v>
      </c>
      <c r="CQ174" s="149">
        <f>IF(MOSFET_S=Custom_MOSFET,Table7[[#This Row],[Total MOSFET Loss C]],Table7[[#This Row],[Total MOSFET Loss]])</f>
        <v>2.3532896598259416</v>
      </c>
      <c r="CR174" s="149">
        <f>IF(MOSFET_S=Custom_MOSFET,Table7[[#This Row],[Efficiency C]],Table7[[#This Row],[Efficiency]])</f>
        <v>98.817507198420969</v>
      </c>
      <c r="CS174" s="153"/>
      <c r="CT174" s="149">
        <f>IF(MOSFET_S=Compare_MOSFET, Table7[[#This Row],[Total Sense Loss C]], -100)</f>
        <v>-100</v>
      </c>
      <c r="CU174" s="149">
        <f>IF(MOSFET_S=Compare_MOSFET, Table7[[#This Row],[Total MOSFET Loss C]], -100)</f>
        <v>-100</v>
      </c>
      <c r="CV174" s="149">
        <f>IF(MOSFET_S=Compare_MOSFET, Table7[[#This Row],[Efficiency C]], -100)</f>
        <v>-100</v>
      </c>
      <c r="CW174" s="153"/>
      <c r="CX174" s="149">
        <f ca="1">IF(Save_Sel=CLR_Save,  Table7[[#This Row],[Total Sense Loss P1]], Table7[[#This Row],[Total Sense Loss P1 Saved]])</f>
        <v>0.50027314933837441</v>
      </c>
      <c r="CY174" s="149">
        <f ca="1">IF(Save_Sel=CLR_Save,  Table7[[#This Row],[Total MOSFET Loss P1]], Table7[[#This Row],[Total MOSFET Loss P1 Saved]] )</f>
        <v>2.3532896598259416</v>
      </c>
      <c r="CZ174" s="149">
        <f ca="1">IF(Save_Sel=CLR_Save, Table7[[#This Row],[Efficiency P1]], Table7[[#This Row],[Efficiency P1 Saved]])</f>
        <v>98.817507198420969</v>
      </c>
      <c r="DA174" s="153"/>
      <c r="DB174" s="149">
        <f ca="1">IF(Save_Sel=CLR_Save,  Table7[[#This Row],[Total Sense Loss P2]], Table7[[#This Row],[Total Sense Loss P2 Saved]])</f>
        <v>-100</v>
      </c>
      <c r="DC174" s="149">
        <f ca="1">IF(Save_Sel=CLR_Save,  Table7[[#This Row],[Total MOSFET Loss P2]], Table7[[#This Row],[Total MOSFET Loss P2 Saved]] )</f>
        <v>-100</v>
      </c>
      <c r="DD174" s="149">
        <f ca="1">IF(Save_Sel=CLR_Save, Table7[[#This Row],[Efficiency P2]], Table7[[#This Row],[Efficiency P2 Saved]])</f>
        <v>-100</v>
      </c>
      <c r="DE174" s="153"/>
      <c r="DF174" s="19"/>
      <c r="DG174" s="19"/>
      <c r="DH174" s="19"/>
      <c r="DI174" s="19"/>
      <c r="DJ174" s="19"/>
      <c r="DK174" s="19"/>
      <c r="DL174" s="19"/>
      <c r="DM174" s="19"/>
      <c r="DN174" s="19"/>
      <c r="DO174" s="19"/>
      <c r="DP174" s="19"/>
      <c r="DQ174" s="19"/>
      <c r="DR174" s="19"/>
      <c r="DS174" s="19"/>
      <c r="DT174" s="19"/>
      <c r="DU174" s="19"/>
      <c r="DV174" s="19"/>
      <c r="DW174" s="19"/>
      <c r="DX174" s="19"/>
      <c r="DY174" s="19"/>
      <c r="DZ174" s="19"/>
      <c r="EA174" s="19"/>
      <c r="EB174" s="19"/>
      <c r="EC174" s="19"/>
      <c r="ED174" s="19"/>
      <c r="EE174" s="19"/>
      <c r="EF174" s="19"/>
      <c r="EG174" s="19"/>
      <c r="EH174" s="19"/>
      <c r="EI174" s="19"/>
      <c r="EJ174" s="19"/>
      <c r="EK174" s="19"/>
      <c r="EL174" s="19"/>
      <c r="EM174" s="19"/>
      <c r="EN174" s="19"/>
      <c r="EO174" s="19"/>
      <c r="EP174" s="19"/>
      <c r="EQ174" s="19"/>
      <c r="ER174" s="19"/>
      <c r="ES174" s="19"/>
      <c r="ET174" s="19"/>
      <c r="EU174" s="19"/>
      <c r="EV174" s="19"/>
      <c r="EW174" s="19"/>
      <c r="EX174" s="19"/>
      <c r="EY174" s="19"/>
      <c r="EZ174" s="19"/>
      <c r="FA174" s="19"/>
      <c r="FB174" s="19"/>
      <c r="FC174" s="19"/>
      <c r="FD174" s="19"/>
      <c r="FE174" s="19"/>
      <c r="FF174" s="19"/>
      <c r="FG174" s="19"/>
      <c r="FH174" s="19"/>
      <c r="FI174" s="19"/>
    </row>
    <row r="175" spans="1:165" ht="15.75" thickBot="1" x14ac:dyDescent="0.3">
      <c r="A175" s="48"/>
      <c r="B175" s="49"/>
      <c r="C175" s="49"/>
      <c r="D175" s="32"/>
      <c r="E175" s="124"/>
      <c r="F175" s="117"/>
      <c r="G175" s="49"/>
      <c r="H175" s="29"/>
      <c r="I175" s="29"/>
      <c r="J175" s="49"/>
      <c r="K175" s="49"/>
      <c r="L175" s="49"/>
      <c r="M175" s="32"/>
      <c r="N175" s="124"/>
      <c r="O175" s="117"/>
      <c r="P175" s="49"/>
      <c r="Q175" s="29"/>
      <c r="R175" s="29"/>
      <c r="S175" s="30"/>
      <c r="T175" s="18"/>
      <c r="U175" s="19"/>
      <c r="V175" s="19"/>
      <c r="W175" s="19"/>
      <c r="X175" s="19"/>
      <c r="Y175" s="19"/>
      <c r="Z175" s="19"/>
      <c r="AA175" s="19"/>
      <c r="AB175" s="19"/>
      <c r="AC175" s="19"/>
      <c r="AD175" s="19"/>
      <c r="AE175" s="19"/>
      <c r="AF175" s="143">
        <f t="shared" si="17"/>
        <v>19</v>
      </c>
      <c r="AG175" s="143">
        <f t="shared" si="16"/>
        <v>6.84</v>
      </c>
      <c r="AH175" s="144">
        <f t="shared" si="3"/>
        <v>251.71199999999999</v>
      </c>
      <c r="AI175" s="145">
        <f t="shared" si="4"/>
        <v>0.97826086956521752</v>
      </c>
      <c r="AJ175" s="145">
        <f t="shared" si="5"/>
        <v>6.6913043478260876</v>
      </c>
      <c r="AK175" s="145">
        <f t="shared" si="6"/>
        <v>0.39130434782608459</v>
      </c>
      <c r="AL175" s="145">
        <f t="shared" si="7"/>
        <v>6.692257750536954</v>
      </c>
      <c r="AM175" s="146"/>
      <c r="AN175" s="145">
        <f>MAX(0,Table7[[#This Row],[I_L]]-0.5*Table7[[#This Row],[I_L pkpk]])</f>
        <v>6.4956521739130455</v>
      </c>
      <c r="AO175" s="145">
        <f>Table7[[#This Row],[I_L]]+0.5*Table7[[#This Row],[I_L pkpk]]</f>
        <v>6.8869565217391298</v>
      </c>
      <c r="AP175" s="145">
        <f ca="1">IF(VACnom&gt;Vbat, (VGS_S-(TI_MOSFET_S_VTH_H_BU+Table7[[#This Row],[I_L]]/TI_MOSFET_S_gFS_H_BU))/3.4, (VGS_S-(TI_MOSFET_S_VTH_L_BO+Table7[[#This Row],[I_L]]/TI_MOSFET_S_gFS_L_BO))/3.4 )</f>
        <v>2.9995671847334253</v>
      </c>
      <c r="AQ175" s="145">
        <f ca="1">IF(VACnom&gt;Vbat, ((TI_MOSFET_S_VTH_H_BU+Table7[[#This Row],[I_L]]/TI_MOSFET_S_gFS_H_BU))/1, ((TI_MOSFET_S_VTH_L_BO+Table7[[#This Row],[I_L]]/TI_MOSFET_S_gFS_L_BO))/1 )</f>
        <v>1.8014715719063545</v>
      </c>
      <c r="AR175" s="145">
        <f ca="1">IF(VACnom&gt;Vbat, (TI_MOSFET_S_QGD_H_BU+TI_MOSFET_S_QGS_H_BU)*10^-9/Table7[[#This Row],[Ion (A)]], (TI_MOSFET_S_QGD_L_BO+TI_MOSFET_S_QGS_L_BO)*10^-9/Table7[[#This Row],[Ion (A)]])/10^-9</f>
        <v>9.601385208699531</v>
      </c>
      <c r="AS175" s="145">
        <f ca="1">IF(VACnom&gt;Vbat, (TI_MOSFET_S_QGD_H_BU+TI_MOSFET_S_QGS_H_BU)*10^-9/Table7[[#This Row],[Ioff (A)]], (TI_MOSFET_S_QGD_L_BO+TI_MOSFET_S_QGS_L_BO)*10^-9/Table7[[#This Row],[Ioff (A)]])/10^-9</f>
        <v>15.986930046041884</v>
      </c>
      <c r="AT175" s="145">
        <f ca="1" xml:space="preserve"> 0.5*VACnom*Table7[[#This Row],[Ivalley (A)]]*Table7[[#This Row],[ton (ns)]]*10^-9*Fsw*10^3+0.5*VACnom*Table7[[#This Row],[Ipeak (A)]]*Table7[[#This Row],[toff (ns)]]*10^-9*Fsw*10^3/10^-3</f>
        <v>405.40226659891437</v>
      </c>
      <c r="AU175" s="145">
        <f t="shared" ca="1" si="8"/>
        <v>268.64000000000004</v>
      </c>
      <c r="AV175" s="145" t="e">
        <f t="shared" si="9"/>
        <v>#VALUE!</v>
      </c>
      <c r="AW175" s="145">
        <f t="shared" ca="1" si="10"/>
        <v>566.72000000000025</v>
      </c>
      <c r="AX175" s="145">
        <f ca="1">IF(VACnom&gt;Vbat, TI_MOSFET_S_VSD_L_BU*Table7[[#This Row],[Ivalley (A)]]*Fsw*10^3*40*10^-9+TI_MOSFET_S_VSD_L_BU*Table7[[#This Row],[Ipeak (A)]]*Fsw*10^3*30*10^-9, TI_MOSFET_S_VSD_H_BO*Table7[[#This Row],[Ivalley (A)]]*Fsw*10^3*40*10^-9+TI_MOSFET_S_VSD_H_BO*Table7[[#This Row],[Ipeak (A)]]*Fsw*10^3*30*10^-9)/10^-3</f>
        <v>67.166608695652201</v>
      </c>
      <c r="AY175" s="145" t="e">
        <f t="shared" si="11"/>
        <v>#VALUE!</v>
      </c>
      <c r="AZ175" s="145" t="e">
        <f>IF(VACnom&lt;Vbat, Table7[[#This Row],[Duty Cycle]]*Table7[[#This Row],[I_L RMS]]^2*TI_MOSFET_S_RDSON_H_BU*10^-3, (1-Table7[[#This Row],[Duty Cycle]])*Table7[[#This Row],[I_L RMS]]^2*TI_MOSFET_S_RDSON_H_BO*10^-3)/10^-3</f>
        <v>#VALUE!</v>
      </c>
      <c r="BA175" s="145" t="e">
        <f ca="1">IF(VACnom&gt;Vbat, Table7[[#This Row],[PIV (mW)]]+Table7[[#This Row],[Pqoss (mW)]]+Table7[[#This Row],[Pgate_top (mW)]], Table7[[#This Row],[PRR (mW)]]+Table7[[#This Row],[Pdead (mW)]]+Table7[[#This Row],[Pgate_top (mW)]])</f>
        <v>#VALUE!</v>
      </c>
      <c r="BB175" s="145" t="e">
        <f ca="1">Table7[[#This Row],[Pcon_top (mW)]]+Table7[[#This Row],[Psw_top (mW)]]</f>
        <v>#VALUE!</v>
      </c>
      <c r="BC175" s="145" t="e">
        <f>IF(VACnom&gt;Vbat, (1-Table7[[#This Row],[Duty Cycle]])*Table7[[#This Row],[I_L RMS]]^2*TI_MOSFET_S_RDSON_L_BU*10^-3, Table7[[#This Row],[Duty Cycle]]*Table7[[#This Row],[I_L RMS]]^2*TI_MOSFET_S_RDSON_L_BO*10^-3)/10^-3</f>
        <v>#VALUE!</v>
      </c>
      <c r="BD175" s="145" t="e">
        <f ca="1">IF(VACnom&gt;Vbat, Table7[[#This Row],[PRR (mW)]]+Table7[[#This Row],[Pdead (mW)]]+Table7[[#This Row],[Pgate_bottom (mW)]], Table7[[#This Row],[PIV (mW)]]+Table7[[#This Row],[Pqoss (mW)]]+Table7[[#This Row],[Pgate_bottom (mW)]])</f>
        <v>#VALUE!</v>
      </c>
      <c r="BE175" s="147" t="e">
        <f ca="1">Table7[[#This Row],[Pcon_bottom (mW)]]+Table7[[#This Row],[Psw_bottom (mW)]]</f>
        <v>#VALUE!</v>
      </c>
      <c r="BF175" s="145" t="e">
        <f ca="1">Table7[[#This Row],[Pbottom (mW)]]+Table7[[#This Row],[Ptop (mW)]]</f>
        <v>#VALUE!</v>
      </c>
      <c r="BG175" s="142"/>
      <c r="BH175" s="145">
        <f>MAX(0,Table7[[#This Row],[I_L]]-0.5*Table7[[#This Row],[I_L pkpk]])</f>
        <v>6.4956521739130455</v>
      </c>
      <c r="BI175" s="145">
        <f>Table7[[#This Row],[I_L]]+0.5*Table7[[#This Row],[I_L pkpk]]</f>
        <v>6.8869565217391298</v>
      </c>
      <c r="BJ175" s="145">
        <f>IF(VACnom&gt;Vbat, (VGS_S-(C_MOSFET_S_VTH_H_BU+Table7[[#This Row],[I_L]]/C_MOSFET_S_gFS_H_BU))/3.4, (VGS_S-(C_MOSFET_S_VTH_L_BO+Table7[[#This Row],[I_L]]/C_MOSFET_S_gFS_L_BO))/3.4 )</f>
        <v>2.9536224534791429</v>
      </c>
      <c r="BK175" s="145">
        <f>IF(VACnom&gt;Vbat, ((C_MOSFET_S_VTH_H_BU+Table7[[#This Row],[I_L]]/C_MOSFET_S_gFS_H_BU))/1, ((C_MOSFET_S_VTH_L_BO+Table7[[#This Row],[I_L]]/C_MOSFET_S_gFS_L_BO))/1 )</f>
        <v>1.9576836581709145</v>
      </c>
      <c r="BL175" s="145">
        <f>IF(VACnom&gt;Vbat, (C_MOSFET_S_QGD_H_BU+C_MOSFET_S_QGS_H_BU)*10^-9/Table7[[#This Row],[Ion (A) C]], (C_MOSFET_S_QGD_L_BO+C_MOSFET_S_QGS_L_BO)*10^-9/Table7[[#This Row],[Ion (A) C]])/10^-9</f>
        <v>5.247793258661809</v>
      </c>
      <c r="BM175" s="145">
        <f>IF(VACnom&gt;Vbat, (C_MOSFET_S_QGD_H_BU+C_MOSFET_S_QGS_H_BU)*10^-9/Table7[[#This Row],[Ioff (A) C]], (C_MOSFET_S_QGD_L_BO+C_MOSFET_S_QGS_L_BO)*10^-9/Table7[[#This Row],[Ioff (A) C]])/10^-9</f>
        <v>7.9175202465968484</v>
      </c>
      <c r="BN175" s="145">
        <f xml:space="preserve"> 0.5*VACnom*Table7[[#This Row],[Ivalley (A) C]]*Table7[[#This Row],[ton (ns) C]]*10^-9*Fsw*10^3+0.5*VACnom*Table7[[#This Row],[Ipeak (A) C]]*Table7[[#This Row],[toff (ns) C]]*10^-9*Fsw*10^3/10^-3</f>
        <v>200.78707637980563</v>
      </c>
      <c r="BO175" s="145">
        <f t="shared" si="12"/>
        <v>305.44000000000011</v>
      </c>
      <c r="BP175" s="145">
        <f t="shared" si="13"/>
        <v>357.69600000000014</v>
      </c>
      <c r="BQ175" s="145">
        <f t="shared" si="14"/>
        <v>1067.2000000000003</v>
      </c>
      <c r="BR175" s="145">
        <f>IF(VACnom&gt;Vbat, C_MOSFET_S_VSD_L_BU*Table7[[#This Row],[Ivalley (A) C]]*Fsw*10^3*40*10^-9+C_MOSFET_S_VSD_L_BU*Table7[[#This Row],[Ipeak (A) C]]*Fsw*10^3*30*10^-9, C_MOSFET_S_VSD_H_BO*Table7[[#This Row],[Ivalley (A) C]]*Fsw*10^3*40*10^-9+C_MOSFET_S_VSD_H_BO*Table7[[#This Row],[Ipeak (A) C]]*Fsw*10^3*30*10^-9)/10^-3</f>
        <v>74.629565217391331</v>
      </c>
      <c r="BS175" s="145">
        <f t="shared" si="15"/>
        <v>357.69600000000014</v>
      </c>
      <c r="BT175" s="145">
        <f>IF(VACnom&lt;Vbat, Table7[[#This Row],[Duty Cycle]]*Table7[[#This Row],[I_L RMS]]^2*C_MOSFET_S_RDSON_H_BU*10^-3, (1-Table7[[#This Row],[Duty Cycle]])*Table7[[#This Row],[I_L RMS]]^2*C_MOSFET_S_RDSON_H_BO*10^-3)/10^-3</f>
        <v>2.5314003451960074</v>
      </c>
      <c r="BU175" s="145">
        <f>IF(VACnom&gt;Vbat, Table7[[#This Row],[PIV (mW) C]]+Table7[[#This Row],[PQoss (mW) C]]+Table7[[#This Row],[Pgate_top (mW) C]], Table7[[#This Row],[PRR (mW) C]]+Table7[[#This Row],[Pdead (mW) C]]+Table7[[#This Row],[Pgate_top (mW) C]])</f>
        <v>863.92307637980593</v>
      </c>
      <c r="BV175" s="145">
        <f>Table7[[#This Row],[Pcon_top (mW) C]]+Table7[[#This Row],[Psw_top (mW) C]]</f>
        <v>866.454476725002</v>
      </c>
      <c r="BW175" s="145">
        <f>IF(VACnom&gt;Vbat, (1-Table7[[#This Row],[Duty Cycle]])*Table7[[#This Row],[I_L RMS]]^2*C_MOSFET_S_RDSON_L_BU*10^-3, Table7[[#This Row],[Duty Cycle]]*Table7[[#This Row],[I_L RMS]]^2*C_MOSFET_S_RDSON_L_BO*10^-3)/10^-3</f>
        <v>1.6551463795512358</v>
      </c>
      <c r="BX175" s="145">
        <f>IF(VACnom&gt;Vbat, Table7[[#This Row],[PRR (mW) C]]+Table7[[#This Row],[Pdead (mW) C]]+Table7[[#This Row],[Pgate_bottom (mW) C]], Table7[[#This Row],[PIV (mW) C]]+Table7[[#This Row],[PQoss (mW) C]]+Table7[[#This Row],[Pgate_bottom (mW) C]])</f>
        <v>1499.5255652173917</v>
      </c>
      <c r="BY175" s="145">
        <f>Table7[[#This Row],[Pcon_bottom (mW) C]]+Table7[[#This Row],[Psw_bottom (mV) C]]</f>
        <v>1501.180711596943</v>
      </c>
      <c r="BZ175" s="145">
        <f>Table7[[#This Row],[Pbottom (mW) C]]+Table7[[#This Row],[Ptop (mW) C]]</f>
        <v>2367.635188321945</v>
      </c>
      <c r="CA175" s="148"/>
      <c r="CB175" s="144">
        <f>(RAC_SNS*10^-3*(Table7[[#This Row],[IOUT (A)]]*Vbat/VACnom)^2/10^-3)</f>
        <v>89.547107750472605</v>
      </c>
      <c r="CC175" s="144">
        <f>(RBAT_SNS*10^-3*Table7[[#This Row],[IOUT (A)]]^2)/10^-3</f>
        <v>233.92799999999997</v>
      </c>
      <c r="CD175" s="144">
        <f>IF(VACnom&gt;Vbat,(L_DRC*10^-3*(Table7[[#This Row],[IOUT (A)]])^2/10^-3),(L_DRC*10^-3*(Table7[[#This Row],[IOUT (A)]]*Vbat/VACnom)^2/10^-3))</f>
        <v>233.92799999999997</v>
      </c>
      <c r="CE175" s="152"/>
      <c r="CF175" s="145">
        <f>(Table7[[#This Row],[R_AC (mW)]]+Table7[[#This Row],[R_SR (mW)]]+Table7[[#This Row],[Inductor Loss (mW)]])/10^3</f>
        <v>0.55740310775047264</v>
      </c>
      <c r="CG175" s="145" t="e">
        <f ca="1">Table7[[#This Row],[Total TI (mW)]]/10^3</f>
        <v>#VALUE!</v>
      </c>
      <c r="CH175" s="145" t="e">
        <f ca="1">Table7[[#This Row],[Total Sense Loss]]+Table7[[#This Row],[Total MOSFET Loss]]</f>
        <v>#VALUE!</v>
      </c>
      <c r="CI175" s="149" t="e">
        <f ca="1">IF(Table7[[#This Row],[POUT (W)]]=0,0,(Table7[[#This Row],[POUT (W)]])/(Table7[[#This Row],[POUT (W)]]+Table7[[#This Row],[Total Power Loss (W)]]))*100</f>
        <v>#VALUE!</v>
      </c>
      <c r="CJ175" s="153"/>
      <c r="CK175" s="145">
        <f>(Table7[[#This Row],[R_AC (mW)]]+Table7[[#This Row],[R_SR (mW)]]+Table7[[#This Row],[Inductor Loss (mW)]])/10^3</f>
        <v>0.55740310775047264</v>
      </c>
      <c r="CL175" s="145">
        <f>Table7[[#This Row],[Total (mW) C]]/10^3</f>
        <v>2.3676351883219451</v>
      </c>
      <c r="CM175" s="145">
        <f>Table7[[#This Row],[Total Sense Loss C]]+Table7[[#This Row],[Total MOSFET Loss C]]</f>
        <v>2.9250382960724179</v>
      </c>
      <c r="CN175" s="149">
        <f>IF(Table7[[#This Row],[POUT (W)]]=0,0,(Table7[[#This Row],[POUT (W)]])/(Table7[[#This Row],[POUT (W)]]+Table7[[#This Row],[Total Power Loss (W) C]]))*100</f>
        <v>98.851291110026423</v>
      </c>
      <c r="CO175" s="153"/>
      <c r="CP175" s="149">
        <f>IF(MOSFET_S=Custom_MOSFET,Table7[[#This Row],[Total Sense Loss C]],Table7[[#This Row],[Total Sense Loss]])</f>
        <v>0.55740310775047264</v>
      </c>
      <c r="CQ175" s="149">
        <f>IF(MOSFET_S=Custom_MOSFET,Table7[[#This Row],[Total MOSFET Loss C]],Table7[[#This Row],[Total MOSFET Loss]])</f>
        <v>2.3676351883219451</v>
      </c>
      <c r="CR175" s="149">
        <f>IF(MOSFET_S=Custom_MOSFET,Table7[[#This Row],[Efficiency C]],Table7[[#This Row],[Efficiency]])</f>
        <v>98.851291110026423</v>
      </c>
      <c r="CS175" s="153"/>
      <c r="CT175" s="149">
        <f>IF(MOSFET_S=Compare_MOSFET, Table7[[#This Row],[Total Sense Loss C]], -100)</f>
        <v>-100</v>
      </c>
      <c r="CU175" s="149">
        <f>IF(MOSFET_S=Compare_MOSFET, Table7[[#This Row],[Total MOSFET Loss C]], -100)</f>
        <v>-100</v>
      </c>
      <c r="CV175" s="149">
        <f>IF(MOSFET_S=Compare_MOSFET, Table7[[#This Row],[Efficiency C]], -100)</f>
        <v>-100</v>
      </c>
      <c r="CW175" s="153"/>
      <c r="CX175" s="149">
        <f ca="1">IF(Save_Sel=CLR_Save,  Table7[[#This Row],[Total Sense Loss P1]], Table7[[#This Row],[Total Sense Loss P1 Saved]])</f>
        <v>0.55740310775047264</v>
      </c>
      <c r="CY175" s="149">
        <f ca="1">IF(Save_Sel=CLR_Save,  Table7[[#This Row],[Total MOSFET Loss P1]], Table7[[#This Row],[Total MOSFET Loss P1 Saved]] )</f>
        <v>2.3676351883219451</v>
      </c>
      <c r="CZ175" s="149">
        <f ca="1">IF(Save_Sel=CLR_Save, Table7[[#This Row],[Efficiency P1]], Table7[[#This Row],[Efficiency P1 Saved]])</f>
        <v>98.851291110026423</v>
      </c>
      <c r="DA175" s="153"/>
      <c r="DB175" s="149">
        <f ca="1">IF(Save_Sel=CLR_Save,  Table7[[#This Row],[Total Sense Loss P2]], Table7[[#This Row],[Total Sense Loss P2 Saved]])</f>
        <v>-100</v>
      </c>
      <c r="DC175" s="149">
        <f ca="1">IF(Save_Sel=CLR_Save,  Table7[[#This Row],[Total MOSFET Loss P2]], Table7[[#This Row],[Total MOSFET Loss P2 Saved]] )</f>
        <v>-100</v>
      </c>
      <c r="DD175" s="149">
        <f ca="1">IF(Save_Sel=CLR_Save, Table7[[#This Row],[Efficiency P2]], Table7[[#This Row],[Efficiency P2 Saved]])</f>
        <v>-100</v>
      </c>
      <c r="DE175" s="153"/>
      <c r="DF175" s="19"/>
      <c r="DG175" s="19"/>
      <c r="DH175" s="19"/>
      <c r="DI175" s="19"/>
      <c r="DJ175" s="19"/>
      <c r="DK175" s="19"/>
      <c r="DL175" s="19"/>
      <c r="DM175" s="19"/>
      <c r="DN175" s="19"/>
      <c r="DO175" s="19"/>
      <c r="DP175" s="19"/>
      <c r="DQ175" s="19"/>
      <c r="DR175" s="19"/>
      <c r="DS175" s="19"/>
      <c r="DT175" s="19"/>
      <c r="DU175" s="19"/>
      <c r="DV175" s="19"/>
      <c r="DW175" s="19"/>
      <c r="DX175" s="19"/>
      <c r="DY175" s="19"/>
      <c r="DZ175" s="19"/>
      <c r="EA175" s="19"/>
      <c r="EB175" s="19"/>
      <c r="EC175" s="19"/>
      <c r="ED175" s="19"/>
      <c r="EE175" s="19"/>
      <c r="EF175" s="19"/>
      <c r="EG175" s="19"/>
      <c r="EH175" s="19"/>
      <c r="EI175" s="19"/>
      <c r="EJ175" s="19"/>
      <c r="EK175" s="19"/>
      <c r="EL175" s="19"/>
      <c r="EM175" s="19"/>
      <c r="EN175" s="19"/>
      <c r="EO175" s="19"/>
      <c r="EP175" s="19"/>
      <c r="EQ175" s="19"/>
      <c r="ER175" s="19"/>
      <c r="ES175" s="19"/>
      <c r="ET175" s="19"/>
      <c r="EU175" s="19"/>
      <c r="EV175" s="19"/>
      <c r="EW175" s="19"/>
      <c r="EX175" s="19"/>
      <c r="EY175" s="19"/>
      <c r="EZ175" s="19"/>
      <c r="FA175" s="19"/>
      <c r="FB175" s="19"/>
      <c r="FC175" s="19"/>
      <c r="FD175" s="19"/>
      <c r="FE175" s="19"/>
      <c r="FF175" s="19"/>
      <c r="FG175" s="19"/>
      <c r="FH175" s="19"/>
      <c r="FI175" s="19"/>
    </row>
    <row r="176" spans="1:165" x14ac:dyDescent="0.25">
      <c r="A176" s="54"/>
      <c r="B176" s="62"/>
      <c r="C176" s="50"/>
      <c r="D176" s="63" t="s">
        <v>156</v>
      </c>
      <c r="E176" s="64"/>
      <c r="F176" s="50"/>
      <c r="G176" s="38"/>
      <c r="H176" s="29"/>
      <c r="I176" s="112"/>
      <c r="J176" s="50"/>
      <c r="K176" s="62"/>
      <c r="L176" s="50"/>
      <c r="M176" s="63" t="s">
        <v>156</v>
      </c>
      <c r="N176" s="64"/>
      <c r="O176" s="50"/>
      <c r="P176" s="38"/>
      <c r="Q176" s="29"/>
      <c r="R176" s="29"/>
      <c r="S176" s="30"/>
      <c r="T176" s="18"/>
      <c r="U176" s="19"/>
      <c r="V176" s="19"/>
      <c r="W176" s="19"/>
      <c r="X176" s="19"/>
      <c r="Y176" s="19"/>
      <c r="Z176" s="19"/>
      <c r="AA176" s="19"/>
      <c r="AB176" s="19"/>
      <c r="AC176" s="19"/>
      <c r="AD176" s="19"/>
      <c r="AE176" s="19"/>
      <c r="AF176" s="143">
        <f>AF175+1</f>
        <v>20</v>
      </c>
      <c r="AG176" s="143">
        <f t="shared" si="16"/>
        <v>7.2</v>
      </c>
      <c r="AH176" s="144">
        <f t="shared" si="3"/>
        <v>264.95999999999998</v>
      </c>
      <c r="AI176" s="145">
        <f t="shared" si="4"/>
        <v>0.97826086956521752</v>
      </c>
      <c r="AJ176" s="145">
        <f t="shared" si="5"/>
        <v>7.0434782608695663</v>
      </c>
      <c r="AK176" s="145">
        <f t="shared" si="6"/>
        <v>0.39130434782608459</v>
      </c>
      <c r="AL176" s="145">
        <f t="shared" si="7"/>
        <v>7.0443839997353779</v>
      </c>
      <c r="AM176" s="146"/>
      <c r="AN176" s="145">
        <f>MAX(0,Table7[[#This Row],[I_L]]-0.5*Table7[[#This Row],[I_L pkpk]])</f>
        <v>6.8478260869565242</v>
      </c>
      <c r="AO176" s="145">
        <f>Table7[[#This Row],[I_L]]+0.5*Table7[[#This Row],[I_L pkpk]]</f>
        <v>7.2391304347826084</v>
      </c>
      <c r="AP176" s="145">
        <f ca="1">IF(VACnom&gt;Vbat, (VGS_S-(TI_MOSFET_S_VTH_H_BU+Table7[[#This Row],[I_L]]/TI_MOSFET_S_gFS_H_BU))/3.4, (VGS_S-(TI_MOSFET_S_VTH_L_BO+Table7[[#This Row],[I_L]]/TI_MOSFET_S_gFS_L_BO))/3.4 )</f>
        <v>2.9987704111745033</v>
      </c>
      <c r="AQ176" s="145">
        <f ca="1">IF(VACnom&gt;Vbat, ((TI_MOSFET_S_VTH_H_BU+Table7[[#This Row],[I_L]]/TI_MOSFET_S_gFS_H_BU))/1, ((TI_MOSFET_S_VTH_L_BO+Table7[[#This Row],[I_L]]/TI_MOSFET_S_gFS_L_BO))/1 )</f>
        <v>1.8041806020066891</v>
      </c>
      <c r="AR176" s="145">
        <f ca="1">IF(VACnom&gt;Vbat, (TI_MOSFET_S_QGD_H_BU+TI_MOSFET_S_QGS_H_BU)*10^-9/Table7[[#This Row],[Ion (A)]], (TI_MOSFET_S_QGD_L_BO+TI_MOSFET_S_QGS_L_BO)*10^-9/Table7[[#This Row],[Ion (A)]])/10^-9</f>
        <v>9.6039362975840987</v>
      </c>
      <c r="AS176" s="145">
        <f ca="1">IF(VACnom&gt;Vbat, (TI_MOSFET_S_QGD_H_BU+TI_MOSFET_S_QGS_H_BU)*10^-9/Table7[[#This Row],[Ioff (A)]], (TI_MOSFET_S_QGD_L_BO+TI_MOSFET_S_QGS_L_BO)*10^-9/Table7[[#This Row],[Ioff (A)]])/10^-9</f>
        <v>15.962925201594215</v>
      </c>
      <c r="AT176" s="145">
        <f ca="1" xml:space="preserve"> 0.5*VACnom*Table7[[#This Row],[Ivalley (A)]]*Table7[[#This Row],[ton (ns)]]*10^-9*Fsw*10^3+0.5*VACnom*Table7[[#This Row],[Ipeak (A)]]*Table7[[#This Row],[toff (ns)]]*10^-9*Fsw*10^3/10^-3</f>
        <v>425.49434656516922</v>
      </c>
      <c r="AU176" s="145">
        <f t="shared" ca="1" si="8"/>
        <v>268.64000000000004</v>
      </c>
      <c r="AV176" s="145" t="e">
        <f t="shared" si="9"/>
        <v>#VALUE!</v>
      </c>
      <c r="AW176" s="145">
        <f t="shared" ca="1" si="10"/>
        <v>566.72000000000025</v>
      </c>
      <c r="AX176" s="145">
        <f ca="1">IF(VACnom&gt;Vbat, TI_MOSFET_S_VSD_L_BU*Table7[[#This Row],[Ivalley (A)]]*Fsw*10^3*40*10^-9+TI_MOSFET_S_VSD_L_BU*Table7[[#This Row],[Ipeak (A)]]*Fsw*10^3*30*10^-9, TI_MOSFET_S_VSD_H_BO*Table7[[#This Row],[Ivalley (A)]]*Fsw*10^3*40*10^-9+TI_MOSFET_S_VSD_H_BO*Table7[[#This Row],[Ipeak (A)]]*Fsw*10^3*30*10^-9)/10^-3</f>
        <v>70.716521739130485</v>
      </c>
      <c r="AY176" s="145" t="e">
        <f t="shared" si="11"/>
        <v>#VALUE!</v>
      </c>
      <c r="AZ176" s="145" t="e">
        <f>IF(VACnom&lt;Vbat, Table7[[#This Row],[Duty Cycle]]*Table7[[#This Row],[I_L RMS]]^2*TI_MOSFET_S_RDSON_H_BU*10^-3, (1-Table7[[#This Row],[Duty Cycle]])*Table7[[#This Row],[I_L RMS]]^2*TI_MOSFET_S_RDSON_H_BO*10^-3)/10^-3</f>
        <v>#VALUE!</v>
      </c>
      <c r="BA176" s="145" t="e">
        <f ca="1">IF(VACnom&gt;Vbat, Table7[[#This Row],[PIV (mW)]]+Table7[[#This Row],[Pqoss (mW)]]+Table7[[#This Row],[Pgate_top (mW)]], Table7[[#This Row],[PRR (mW)]]+Table7[[#This Row],[Pdead (mW)]]+Table7[[#This Row],[Pgate_top (mW)]])</f>
        <v>#VALUE!</v>
      </c>
      <c r="BB176" s="145" t="e">
        <f ca="1">Table7[[#This Row],[Pcon_top (mW)]]+Table7[[#This Row],[Psw_top (mW)]]</f>
        <v>#VALUE!</v>
      </c>
      <c r="BC176" s="145" t="e">
        <f>IF(VACnom&gt;Vbat, (1-Table7[[#This Row],[Duty Cycle]])*Table7[[#This Row],[I_L RMS]]^2*TI_MOSFET_S_RDSON_L_BU*10^-3, Table7[[#This Row],[Duty Cycle]]*Table7[[#This Row],[I_L RMS]]^2*TI_MOSFET_S_RDSON_L_BO*10^-3)/10^-3</f>
        <v>#VALUE!</v>
      </c>
      <c r="BD176" s="145" t="e">
        <f ca="1">IF(VACnom&gt;Vbat, Table7[[#This Row],[PRR (mW)]]+Table7[[#This Row],[Pdead (mW)]]+Table7[[#This Row],[Pgate_bottom (mW)]], Table7[[#This Row],[PIV (mW)]]+Table7[[#This Row],[Pqoss (mW)]]+Table7[[#This Row],[Pgate_bottom (mW)]])</f>
        <v>#VALUE!</v>
      </c>
      <c r="BE176" s="147" t="e">
        <f ca="1">Table7[[#This Row],[Pcon_bottom (mW)]]+Table7[[#This Row],[Psw_bottom (mW)]]</f>
        <v>#VALUE!</v>
      </c>
      <c r="BF176" s="145" t="e">
        <f ca="1">Table7[[#This Row],[Pbottom (mW)]]+Table7[[#This Row],[Ptop (mW)]]</f>
        <v>#VALUE!</v>
      </c>
      <c r="BG176" s="142"/>
      <c r="BH176" s="145">
        <f>MAX(0,Table7[[#This Row],[I_L]]-0.5*Table7[[#This Row],[I_L pkpk]])</f>
        <v>6.8478260869565242</v>
      </c>
      <c r="BI176" s="145">
        <f>Table7[[#This Row],[I_L]]+0.5*Table7[[#This Row],[I_L pkpk]]</f>
        <v>7.2391304347826084</v>
      </c>
      <c r="BJ176" s="145">
        <f>IF(VACnom&gt;Vbat, (VGS_S-(C_MOSFET_S_VTH_H_BU+Table7[[#This Row],[I_L]]/C_MOSFET_S_gFS_H_BU))/3.4, (VGS_S-(C_MOSFET_S_VTH_L_BO+Table7[[#This Row],[I_L]]/C_MOSFET_S_gFS_L_BO))/3.4 )</f>
        <v>2.9527295175941441</v>
      </c>
      <c r="BK176" s="145">
        <f>IF(VACnom&gt;Vbat, ((C_MOSFET_S_VTH_H_BU+Table7[[#This Row],[I_L]]/C_MOSFET_S_gFS_H_BU))/1, ((C_MOSFET_S_VTH_L_BO+Table7[[#This Row],[I_L]]/C_MOSFET_S_gFS_L_BO))/1 )</f>
        <v>1.9607196401799101</v>
      </c>
      <c r="BL176" s="145">
        <f>IF(VACnom&gt;Vbat, (C_MOSFET_S_QGD_H_BU+C_MOSFET_S_QGS_H_BU)*10^-9/Table7[[#This Row],[Ion (A) C]], (C_MOSFET_S_QGD_L_BO+C_MOSFET_S_QGS_L_BO)*10^-9/Table7[[#This Row],[Ion (A) C]])/10^-9</f>
        <v>5.2493802455123797</v>
      </c>
      <c r="BM176" s="145">
        <f>IF(VACnom&gt;Vbat, (C_MOSFET_S_QGD_H_BU+C_MOSFET_S_QGS_H_BU)*10^-9/Table7[[#This Row],[Ioff (A) C]], (C_MOSFET_S_QGD_L_BO+C_MOSFET_S_QGS_L_BO)*10^-9/Table7[[#This Row],[Ioff (A) C]])/10^-9</f>
        <v>7.9052607432329092</v>
      </c>
      <c r="BN176" s="145">
        <f xml:space="preserve"> 0.5*VACnom*Table7[[#This Row],[Ivalley (A) C]]*Table7[[#This Row],[ton (ns) C]]*10^-9*Fsw*10^3+0.5*VACnom*Table7[[#This Row],[Ipeak (A) C]]*Table7[[#This Row],[toff (ns) C]]*10^-9*Fsw*10^3/10^-3</f>
        <v>210.72843058191165</v>
      </c>
      <c r="BO176" s="145">
        <f t="shared" si="12"/>
        <v>305.44000000000011</v>
      </c>
      <c r="BP176" s="145">
        <f t="shared" si="13"/>
        <v>357.69600000000014</v>
      </c>
      <c r="BQ176" s="145">
        <f t="shared" si="14"/>
        <v>1067.2000000000003</v>
      </c>
      <c r="BR176" s="145">
        <f>IF(VACnom&gt;Vbat, C_MOSFET_S_VSD_L_BU*Table7[[#This Row],[Ivalley (A) C]]*Fsw*10^3*40*10^-9+C_MOSFET_S_VSD_L_BU*Table7[[#This Row],[Ipeak (A) C]]*Fsw*10^3*30*10^-9, C_MOSFET_S_VSD_H_BO*Table7[[#This Row],[Ivalley (A) C]]*Fsw*10^3*40*10^-9+C_MOSFET_S_VSD_H_BO*Table7[[#This Row],[Ipeak (A) C]]*Fsw*10^3*30*10^-9)/10^-3</f>
        <v>78.573913043478299</v>
      </c>
      <c r="BS176" s="145">
        <f t="shared" si="15"/>
        <v>357.69600000000014</v>
      </c>
      <c r="BT176" s="145">
        <f>IF(VACnom&lt;Vbat, Table7[[#This Row],[Duty Cycle]]*Table7[[#This Row],[I_L RMS]]^2*C_MOSFET_S_RDSON_H_BU*10^-3, (1-Table7[[#This Row],[Duty Cycle]])*Table7[[#This Row],[I_L RMS]]^2*C_MOSFET_S_RDSON_H_BO*10^-3)/10^-3</f>
        <v>2.8047978137585119</v>
      </c>
      <c r="BU176" s="145">
        <f>IF(VACnom&gt;Vbat, Table7[[#This Row],[PIV (mW) C]]+Table7[[#This Row],[PQoss (mW) C]]+Table7[[#This Row],[Pgate_top (mW) C]], Table7[[#This Row],[PRR (mW) C]]+Table7[[#This Row],[Pdead (mW) C]]+Table7[[#This Row],[Pgate_top (mW) C]])</f>
        <v>873.86443058191185</v>
      </c>
      <c r="BV176" s="145">
        <f>Table7[[#This Row],[Pcon_top (mW) C]]+Table7[[#This Row],[Psw_top (mW) C]]</f>
        <v>876.66922839567042</v>
      </c>
      <c r="BW176" s="145">
        <f>IF(VACnom&gt;Vbat, (1-Table7[[#This Row],[Duty Cycle]])*Table7[[#This Row],[I_L RMS]]^2*C_MOSFET_S_RDSON_L_BU*10^-3, Table7[[#This Row],[Duty Cycle]]*Table7[[#This Row],[I_L RMS]]^2*C_MOSFET_S_RDSON_L_BO*10^-3)/10^-3</f>
        <v>1.8339062628421037</v>
      </c>
      <c r="BX176" s="145">
        <f>IF(VACnom&gt;Vbat, Table7[[#This Row],[PRR (mW) C]]+Table7[[#This Row],[Pdead (mW) C]]+Table7[[#This Row],[Pgate_bottom (mW) C]], Table7[[#This Row],[PIV (mW) C]]+Table7[[#This Row],[PQoss (mW) C]]+Table7[[#This Row],[Pgate_bottom (mW) C]])</f>
        <v>1503.4699130434788</v>
      </c>
      <c r="BY176" s="145">
        <f>Table7[[#This Row],[Pcon_bottom (mW) C]]+Table7[[#This Row],[Psw_bottom (mV) C]]</f>
        <v>1505.3038193063207</v>
      </c>
      <c r="BZ176" s="145">
        <f>Table7[[#This Row],[Pbottom (mW) C]]+Table7[[#This Row],[Ptop (mW) C]]</f>
        <v>2381.9730477019912</v>
      </c>
      <c r="CA176" s="148"/>
      <c r="CB176" s="144">
        <f>(RAC_SNS*10^-3*(Table7[[#This Row],[IOUT (A)]]*Vbat/VACnom)^2/10^-3)</f>
        <v>99.221172022684314</v>
      </c>
      <c r="CC176" s="144">
        <f>(RBAT_SNS*10^-3*Table7[[#This Row],[IOUT (A)]]^2)/10^-3</f>
        <v>259.20000000000005</v>
      </c>
      <c r="CD176" s="144">
        <f>IF(VACnom&gt;Vbat,(L_DRC*10^-3*(Table7[[#This Row],[IOUT (A)]])^2/10^-3),(L_DRC*10^-3*(Table7[[#This Row],[IOUT (A)]]*Vbat/VACnom)^2/10^-3))</f>
        <v>259.20000000000005</v>
      </c>
      <c r="CE176" s="152"/>
      <c r="CF176" s="145">
        <f>(Table7[[#This Row],[R_AC (mW)]]+Table7[[#This Row],[R_SR (mW)]]+Table7[[#This Row],[Inductor Loss (mW)]])/10^3</f>
        <v>0.61762117202268441</v>
      </c>
      <c r="CG176" s="145" t="e">
        <f ca="1">Table7[[#This Row],[Total TI (mW)]]/10^3</f>
        <v>#VALUE!</v>
      </c>
      <c r="CH176" s="145" t="e">
        <f ca="1">Table7[[#This Row],[Total Sense Loss]]+Table7[[#This Row],[Total MOSFET Loss]]</f>
        <v>#VALUE!</v>
      </c>
      <c r="CI176" s="149" t="e">
        <f ca="1">IF(Table7[[#This Row],[POUT (W)]]=0,0,(Table7[[#This Row],[POUT (W)]])/(Table7[[#This Row],[POUT (W)]]+Table7[[#This Row],[Total Power Loss (W)]]))*100</f>
        <v>#VALUE!</v>
      </c>
      <c r="CJ176" s="153"/>
      <c r="CK176" s="145">
        <f>(Table7[[#This Row],[R_AC (mW)]]+Table7[[#This Row],[R_SR (mW)]]+Table7[[#This Row],[Inductor Loss (mW)]])/10^3</f>
        <v>0.61762117202268441</v>
      </c>
      <c r="CL176" s="145">
        <f>Table7[[#This Row],[Total (mW) C]]/10^3</f>
        <v>2.3819730477019911</v>
      </c>
      <c r="CM176" s="145">
        <f>Table7[[#This Row],[Total Sense Loss C]]+Table7[[#This Row],[Total MOSFET Loss C]]</f>
        <v>2.9995942197246754</v>
      </c>
      <c r="CN176" s="149">
        <f>IF(Table7[[#This Row],[POUT (W)]]=0,0,(Table7[[#This Row],[POUT (W)]])/(Table7[[#This Row],[POUT (W)]]+Table7[[#This Row],[Total Power Loss (W) C]]))*100</f>
        <v>98.880579652891626</v>
      </c>
      <c r="CO176" s="153"/>
      <c r="CP176" s="149">
        <f>IF(MOSFET_S=Custom_MOSFET,Table7[[#This Row],[Total Sense Loss C]],Table7[[#This Row],[Total Sense Loss]])</f>
        <v>0.61762117202268441</v>
      </c>
      <c r="CQ176" s="149">
        <f>IF(MOSFET_S=Custom_MOSFET,Table7[[#This Row],[Total MOSFET Loss C]],Table7[[#This Row],[Total MOSFET Loss]])</f>
        <v>2.3819730477019911</v>
      </c>
      <c r="CR176" s="149">
        <f>IF(MOSFET_S=Custom_MOSFET,Table7[[#This Row],[Efficiency C]],Table7[[#This Row],[Efficiency]])</f>
        <v>98.880579652891626</v>
      </c>
      <c r="CS176" s="153"/>
      <c r="CT176" s="149">
        <f>IF(MOSFET_S=Compare_MOSFET, Table7[[#This Row],[Total Sense Loss C]], -100)</f>
        <v>-100</v>
      </c>
      <c r="CU176" s="149">
        <f>IF(MOSFET_S=Compare_MOSFET, Table7[[#This Row],[Total MOSFET Loss C]], -100)</f>
        <v>-100</v>
      </c>
      <c r="CV176" s="149">
        <f>IF(MOSFET_S=Compare_MOSFET, Table7[[#This Row],[Efficiency C]], -100)</f>
        <v>-100</v>
      </c>
      <c r="CW176" s="153"/>
      <c r="CX176" s="149">
        <f ca="1">IF(Save_Sel=CLR_Save,  Table7[[#This Row],[Total Sense Loss P1]], Table7[[#This Row],[Total Sense Loss P1 Saved]])</f>
        <v>0.61762117202268441</v>
      </c>
      <c r="CY176" s="149">
        <f ca="1">IF(Save_Sel=CLR_Save,  Table7[[#This Row],[Total MOSFET Loss P1]], Table7[[#This Row],[Total MOSFET Loss P1 Saved]] )</f>
        <v>2.3819730477019911</v>
      </c>
      <c r="CZ176" s="149">
        <f ca="1">IF(Save_Sel=CLR_Save, Table7[[#This Row],[Efficiency P1]], Table7[[#This Row],[Efficiency P1 Saved]])</f>
        <v>98.880579652891626</v>
      </c>
      <c r="DA176" s="153"/>
      <c r="DB176" s="149">
        <f ca="1">IF(Save_Sel=CLR_Save,  Table7[[#This Row],[Total Sense Loss P2]], Table7[[#This Row],[Total Sense Loss P2 Saved]])</f>
        <v>-100</v>
      </c>
      <c r="DC176" s="149">
        <f ca="1">IF(Save_Sel=CLR_Save,  Table7[[#This Row],[Total MOSFET Loss P2]], Table7[[#This Row],[Total MOSFET Loss P2 Saved]] )</f>
        <v>-100</v>
      </c>
      <c r="DD176" s="149">
        <f ca="1">IF(Save_Sel=CLR_Save, Table7[[#This Row],[Efficiency P2]], Table7[[#This Row],[Efficiency P2 Saved]])</f>
        <v>-100</v>
      </c>
      <c r="DE176" s="153"/>
      <c r="DF176" s="19"/>
      <c r="DG176" s="19"/>
      <c r="DH176" s="19"/>
      <c r="DI176" s="19"/>
      <c r="DJ176" s="19"/>
      <c r="DK176" s="19"/>
      <c r="DL176" s="19"/>
      <c r="DM176" s="19"/>
      <c r="DN176" s="19"/>
      <c r="DO176" s="19"/>
      <c r="DP176" s="19"/>
      <c r="DQ176" s="19"/>
      <c r="DR176" s="19"/>
      <c r="DS176" s="19"/>
      <c r="DT176" s="19"/>
      <c r="DU176" s="19"/>
      <c r="DV176" s="19"/>
      <c r="DW176" s="19"/>
      <c r="DX176" s="19"/>
      <c r="DY176" s="19"/>
      <c r="DZ176" s="19"/>
      <c r="EA176" s="19"/>
      <c r="EB176" s="19"/>
      <c r="EC176" s="19"/>
      <c r="ED176" s="19"/>
      <c r="EE176" s="19"/>
      <c r="EF176" s="19"/>
      <c r="EG176" s="19"/>
      <c r="EH176" s="19"/>
      <c r="EI176" s="19"/>
      <c r="EJ176" s="19"/>
      <c r="EK176" s="19"/>
      <c r="EL176" s="19"/>
      <c r="EM176" s="19"/>
      <c r="EN176" s="19"/>
      <c r="EO176" s="19"/>
      <c r="EP176" s="19"/>
      <c r="EQ176" s="19"/>
      <c r="ER176" s="19"/>
      <c r="ES176" s="19"/>
      <c r="ET176" s="19"/>
      <c r="EU176" s="19"/>
      <c r="EV176" s="19"/>
      <c r="EW176" s="19"/>
      <c r="EX176" s="19"/>
      <c r="EY176" s="19"/>
      <c r="EZ176" s="19"/>
      <c r="FA176" s="19"/>
      <c r="FB176" s="19"/>
      <c r="FC176" s="19"/>
      <c r="FD176" s="19"/>
      <c r="FE176" s="19"/>
      <c r="FF176" s="19"/>
      <c r="FG176" s="19"/>
      <c r="FH176" s="19"/>
      <c r="FI176" s="19"/>
    </row>
    <row r="177" spans="1:165" x14ac:dyDescent="0.25">
      <c r="A177" s="48"/>
      <c r="B177" s="49"/>
      <c r="C177" s="49"/>
      <c r="D177" s="39"/>
      <c r="E177" s="49" t="s">
        <v>125</v>
      </c>
      <c r="F177" s="49" t="s">
        <v>126</v>
      </c>
      <c r="G177" s="42"/>
      <c r="H177" s="29"/>
      <c r="I177" s="113"/>
      <c r="J177" s="49"/>
      <c r="K177" s="49"/>
      <c r="L177" s="49"/>
      <c r="M177" s="39"/>
      <c r="N177" s="49" t="s">
        <v>125</v>
      </c>
      <c r="O177" s="49" t="s">
        <v>126</v>
      </c>
      <c r="P177" s="42"/>
      <c r="Q177" s="29"/>
      <c r="R177" s="29"/>
      <c r="S177" s="30"/>
      <c r="T177" s="18"/>
      <c r="U177" s="19"/>
      <c r="V177" s="19"/>
      <c r="W177" s="19"/>
      <c r="X177" s="19"/>
      <c r="Y177" s="19"/>
      <c r="Z177" s="19"/>
      <c r="AA177" s="19"/>
      <c r="AB177" s="19"/>
      <c r="AC177" s="19"/>
      <c r="AD177" s="19"/>
      <c r="AE177" s="19"/>
      <c r="AF177" s="143">
        <f t="shared" si="17"/>
        <v>21</v>
      </c>
      <c r="AG177" s="143">
        <f t="shared" si="16"/>
        <v>7.56</v>
      </c>
      <c r="AH177" s="144">
        <f t="shared" si="3"/>
        <v>278.20799999999997</v>
      </c>
      <c r="AI177" s="145">
        <f t="shared" si="4"/>
        <v>0.97826086956521752</v>
      </c>
      <c r="AJ177" s="145">
        <f t="shared" si="5"/>
        <v>7.3956521739130441</v>
      </c>
      <c r="AK177" s="145">
        <f t="shared" si="6"/>
        <v>0.39130434782608459</v>
      </c>
      <c r="AL177" s="145">
        <f t="shared" si="7"/>
        <v>7.3965147875124515</v>
      </c>
      <c r="AM177" s="146"/>
      <c r="AN177" s="145">
        <f>MAX(0,Table7[[#This Row],[I_L]]-0.5*Table7[[#This Row],[I_L pkpk]])</f>
        <v>7.200000000000002</v>
      </c>
      <c r="AO177" s="145">
        <f>Table7[[#This Row],[I_L]]+0.5*Table7[[#This Row],[I_L pkpk]]</f>
        <v>7.5913043478260862</v>
      </c>
      <c r="AP177" s="145">
        <f ca="1">IF(VACnom&gt;Vbat, (VGS_S-(TI_MOSFET_S_VTH_H_BU+Table7[[#This Row],[I_L]]/TI_MOSFET_S_gFS_H_BU))/3.4, (VGS_S-(TI_MOSFET_S_VTH_L_BO+Table7[[#This Row],[I_L]]/TI_MOSFET_S_gFS_L_BO))/3.4 )</f>
        <v>2.9979736376155817</v>
      </c>
      <c r="AQ177" s="145">
        <f ca="1">IF(VACnom&gt;Vbat, ((TI_MOSFET_S_VTH_H_BU+Table7[[#This Row],[I_L]]/TI_MOSFET_S_gFS_H_BU))/1, ((TI_MOSFET_S_VTH_L_BO+Table7[[#This Row],[I_L]]/TI_MOSFET_S_gFS_L_BO))/1 )</f>
        <v>1.8068896321070234</v>
      </c>
      <c r="AR177" s="145">
        <f ca="1">IF(VACnom&gt;Vbat, (TI_MOSFET_S_QGD_H_BU+TI_MOSFET_S_QGS_H_BU)*10^-9/Table7[[#This Row],[Ion (A)]], (TI_MOSFET_S_QGD_L_BO+TI_MOSFET_S_QGS_L_BO)*10^-9/Table7[[#This Row],[Ion (A)]])/10^-9</f>
        <v>9.6064887424780316</v>
      </c>
      <c r="AS177" s="145">
        <f ca="1">IF(VACnom&gt;Vbat, (TI_MOSFET_S_QGD_H_BU+TI_MOSFET_S_QGS_H_BU)*10^-9/Table7[[#This Row],[Ioff (A)]], (TI_MOSFET_S_QGD_L_BO+TI_MOSFET_S_QGS_L_BO)*10^-9/Table7[[#This Row],[Ioff (A)]])/10^-9</f>
        <v>15.938992337022917</v>
      </c>
      <c r="AT177" s="145">
        <f ca="1" xml:space="preserve"> 0.5*VACnom*Table7[[#This Row],[Ivalley (A)]]*Table7[[#This Row],[ton (ns)]]*10^-9*Fsw*10^3+0.5*VACnom*Table7[[#This Row],[Ipeak (A)]]*Table7[[#This Row],[toff (ns)]]*10^-9*Fsw*10^3/10^-3</f>
        <v>445.52622345279292</v>
      </c>
      <c r="AU177" s="145">
        <f t="shared" ca="1" si="8"/>
        <v>268.64000000000004</v>
      </c>
      <c r="AV177" s="145" t="e">
        <f t="shared" si="9"/>
        <v>#VALUE!</v>
      </c>
      <c r="AW177" s="145">
        <f t="shared" ca="1" si="10"/>
        <v>566.72000000000025</v>
      </c>
      <c r="AX177" s="145">
        <f ca="1">IF(VACnom&gt;Vbat, TI_MOSFET_S_VSD_L_BU*Table7[[#This Row],[Ivalley (A)]]*Fsw*10^3*40*10^-9+TI_MOSFET_S_VSD_L_BU*Table7[[#This Row],[Ipeak (A)]]*Fsw*10^3*30*10^-9, TI_MOSFET_S_VSD_H_BO*Table7[[#This Row],[Ivalley (A)]]*Fsw*10^3*40*10^-9+TI_MOSFET_S_VSD_H_BO*Table7[[#This Row],[Ipeak (A)]]*Fsw*10^3*30*10^-9)/10^-3</f>
        <v>74.266434782608712</v>
      </c>
      <c r="AY177" s="145" t="e">
        <f t="shared" si="11"/>
        <v>#VALUE!</v>
      </c>
      <c r="AZ177" s="145" t="e">
        <f>IF(VACnom&lt;Vbat, Table7[[#This Row],[Duty Cycle]]*Table7[[#This Row],[I_L RMS]]^2*TI_MOSFET_S_RDSON_H_BU*10^-3, (1-Table7[[#This Row],[Duty Cycle]])*Table7[[#This Row],[I_L RMS]]^2*TI_MOSFET_S_RDSON_H_BO*10^-3)/10^-3</f>
        <v>#VALUE!</v>
      </c>
      <c r="BA177" s="145" t="e">
        <f ca="1">IF(VACnom&gt;Vbat, Table7[[#This Row],[PIV (mW)]]+Table7[[#This Row],[Pqoss (mW)]]+Table7[[#This Row],[Pgate_top (mW)]], Table7[[#This Row],[PRR (mW)]]+Table7[[#This Row],[Pdead (mW)]]+Table7[[#This Row],[Pgate_top (mW)]])</f>
        <v>#VALUE!</v>
      </c>
      <c r="BB177" s="145" t="e">
        <f ca="1">Table7[[#This Row],[Pcon_top (mW)]]+Table7[[#This Row],[Psw_top (mW)]]</f>
        <v>#VALUE!</v>
      </c>
      <c r="BC177" s="145" t="e">
        <f>IF(VACnom&gt;Vbat, (1-Table7[[#This Row],[Duty Cycle]])*Table7[[#This Row],[I_L RMS]]^2*TI_MOSFET_S_RDSON_L_BU*10^-3, Table7[[#This Row],[Duty Cycle]]*Table7[[#This Row],[I_L RMS]]^2*TI_MOSFET_S_RDSON_L_BO*10^-3)/10^-3</f>
        <v>#VALUE!</v>
      </c>
      <c r="BD177" s="145" t="e">
        <f ca="1">IF(VACnom&gt;Vbat, Table7[[#This Row],[PRR (mW)]]+Table7[[#This Row],[Pdead (mW)]]+Table7[[#This Row],[Pgate_bottom (mW)]], Table7[[#This Row],[PIV (mW)]]+Table7[[#This Row],[Pqoss (mW)]]+Table7[[#This Row],[Pgate_bottom (mW)]])</f>
        <v>#VALUE!</v>
      </c>
      <c r="BE177" s="147" t="e">
        <f ca="1">Table7[[#This Row],[Pcon_bottom (mW)]]+Table7[[#This Row],[Psw_bottom (mW)]]</f>
        <v>#VALUE!</v>
      </c>
      <c r="BF177" s="145" t="e">
        <f ca="1">Table7[[#This Row],[Pbottom (mW)]]+Table7[[#This Row],[Ptop (mW)]]</f>
        <v>#VALUE!</v>
      </c>
      <c r="BG177" s="142"/>
      <c r="BH177" s="145">
        <f>MAX(0,Table7[[#This Row],[I_L]]-0.5*Table7[[#This Row],[I_L pkpk]])</f>
        <v>7.200000000000002</v>
      </c>
      <c r="BI177" s="145">
        <f>Table7[[#This Row],[I_L]]+0.5*Table7[[#This Row],[I_L pkpk]]</f>
        <v>7.5913043478260862</v>
      </c>
      <c r="BJ177" s="145">
        <f>IF(VACnom&gt;Vbat, (VGS_S-(C_MOSFET_S_VTH_H_BU+Table7[[#This Row],[I_L]]/C_MOSFET_S_gFS_H_BU))/3.4, (VGS_S-(C_MOSFET_S_VTH_L_BO+Table7[[#This Row],[I_L]]/C_MOSFET_S_gFS_L_BO))/3.4 )</f>
        <v>2.9518365817091454</v>
      </c>
      <c r="BK177" s="145">
        <f>IF(VACnom&gt;Vbat, ((C_MOSFET_S_VTH_H_BU+Table7[[#This Row],[I_L]]/C_MOSFET_S_gFS_H_BU))/1, ((C_MOSFET_S_VTH_L_BO+Table7[[#This Row],[I_L]]/C_MOSFET_S_gFS_L_BO))/1 )</f>
        <v>1.9637556221889054</v>
      </c>
      <c r="BL177" s="145">
        <f>IF(VACnom&gt;Vbat, (C_MOSFET_S_QGD_H_BU+C_MOSFET_S_QGS_H_BU)*10^-9/Table7[[#This Row],[Ion (A) C]], (C_MOSFET_S_QGD_L_BO+C_MOSFET_S_QGS_L_BO)*10^-9/Table7[[#This Row],[Ion (A) C]])/10^-9</f>
        <v>5.2509681924957148</v>
      </c>
      <c r="BM177" s="145">
        <f>IF(VACnom&gt;Vbat, (C_MOSFET_S_QGD_H_BU+C_MOSFET_S_QGS_H_BU)*10^-9/Table7[[#This Row],[Ioff (A) C]], (C_MOSFET_S_QGD_L_BO+C_MOSFET_S_QGS_L_BO)*10^-9/Table7[[#This Row],[Ioff (A) C]])/10^-9</f>
        <v>7.893039146450862</v>
      </c>
      <c r="BN177" s="145">
        <f xml:space="preserve"> 0.5*VACnom*Table7[[#This Row],[Ivalley (A) C]]*Table7[[#This Row],[ton (ns) C]]*10^-9*Fsw*10^3+0.5*VACnom*Table7[[#This Row],[Ipeak (A) C]]*Table7[[#This Row],[toff (ns) C]]*10^-9*Fsw*10^3/10^-3</f>
        <v>220.63907124847972</v>
      </c>
      <c r="BO177" s="145">
        <f t="shared" si="12"/>
        <v>305.44000000000011</v>
      </c>
      <c r="BP177" s="145">
        <f t="shared" si="13"/>
        <v>357.69600000000014</v>
      </c>
      <c r="BQ177" s="145">
        <f t="shared" si="14"/>
        <v>1067.2000000000003</v>
      </c>
      <c r="BR177" s="145">
        <f>IF(VACnom&gt;Vbat, C_MOSFET_S_VSD_L_BU*Table7[[#This Row],[Ivalley (A) C]]*Fsw*10^3*40*10^-9+C_MOSFET_S_VSD_L_BU*Table7[[#This Row],[Ipeak (A) C]]*Fsw*10^3*30*10^-9, C_MOSFET_S_VSD_H_BO*Table7[[#This Row],[Ivalley (A) C]]*Fsw*10^3*40*10^-9+C_MOSFET_S_VSD_H_BO*Table7[[#This Row],[Ipeak (A) C]]*Fsw*10^3*30*10^-9)/10^-3</f>
        <v>82.518260869565268</v>
      </c>
      <c r="BS177" s="145">
        <f t="shared" si="15"/>
        <v>357.69600000000014</v>
      </c>
      <c r="BT177" s="145">
        <f>IF(VACnom&lt;Vbat, Table7[[#This Row],[Duty Cycle]]*Table7[[#This Row],[I_L RMS]]^2*C_MOSFET_S_RDSON_H_BU*10^-3, (1-Table7[[#This Row],[Duty Cycle]])*Table7[[#This Row],[I_L RMS]]^2*C_MOSFET_S_RDSON_H_BO*10^-3)/10^-3</f>
        <v>3.0922156653242205</v>
      </c>
      <c r="BU177" s="145">
        <f>IF(VACnom&gt;Vbat, Table7[[#This Row],[PIV (mW) C]]+Table7[[#This Row],[PQoss (mW) C]]+Table7[[#This Row],[Pgate_top (mW) C]], Table7[[#This Row],[PRR (mW) C]]+Table7[[#This Row],[Pdead (mW) C]]+Table7[[#This Row],[Pgate_top (mW) C]])</f>
        <v>883.77507124848</v>
      </c>
      <c r="BV177" s="145">
        <f>Table7[[#This Row],[Pcon_top (mW) C]]+Table7[[#This Row],[Psw_top (mW) C]]</f>
        <v>886.86728691380426</v>
      </c>
      <c r="BW177" s="145">
        <f>IF(VACnom&gt;Vbat, (1-Table7[[#This Row],[Duty Cycle]])*Table7[[#This Row],[I_L RMS]]^2*C_MOSFET_S_RDSON_L_BU*10^-3, Table7[[#This Row],[Duty Cycle]]*Table7[[#This Row],[I_L RMS]]^2*C_MOSFET_S_RDSON_L_BO*10^-3)/10^-3</f>
        <v>2.0218333196350673</v>
      </c>
      <c r="BX177" s="145">
        <f>IF(VACnom&gt;Vbat, Table7[[#This Row],[PRR (mW) C]]+Table7[[#This Row],[Pdead (mW) C]]+Table7[[#This Row],[Pgate_bottom (mW) C]], Table7[[#This Row],[PIV (mW) C]]+Table7[[#This Row],[PQoss (mW) C]]+Table7[[#This Row],[Pgate_bottom (mW) C]])</f>
        <v>1507.4142608695656</v>
      </c>
      <c r="BY177" s="145">
        <f>Table7[[#This Row],[Pcon_bottom (mW) C]]+Table7[[#This Row],[Psw_bottom (mV) C]]</f>
        <v>1509.4360941892007</v>
      </c>
      <c r="BZ177" s="145">
        <f>Table7[[#This Row],[Pbottom (mW) C]]+Table7[[#This Row],[Ptop (mW) C]]</f>
        <v>2396.303381103005</v>
      </c>
      <c r="CA177" s="148"/>
      <c r="CB177" s="144">
        <f>(RAC_SNS*10^-3*(Table7[[#This Row],[IOUT (A)]]*Vbat/VACnom)^2/10^-3)</f>
        <v>109.39134215500944</v>
      </c>
      <c r="CC177" s="144">
        <f>(RBAT_SNS*10^-3*Table7[[#This Row],[IOUT (A)]]^2)/10^-3</f>
        <v>285.76799999999997</v>
      </c>
      <c r="CD177" s="144">
        <f>IF(VACnom&gt;Vbat,(L_DRC*10^-3*(Table7[[#This Row],[IOUT (A)]])^2/10^-3),(L_DRC*10^-3*(Table7[[#This Row],[IOUT (A)]]*Vbat/VACnom)^2/10^-3))</f>
        <v>285.76799999999997</v>
      </c>
      <c r="CE177" s="152"/>
      <c r="CF177" s="145">
        <f>(Table7[[#This Row],[R_AC (mW)]]+Table7[[#This Row],[R_SR (mW)]]+Table7[[#This Row],[Inductor Loss (mW)]])/10^3</f>
        <v>0.6809273421550095</v>
      </c>
      <c r="CG177" s="145" t="e">
        <f ca="1">Table7[[#This Row],[Total TI (mW)]]/10^3</f>
        <v>#VALUE!</v>
      </c>
      <c r="CH177" s="145" t="e">
        <f ca="1">Table7[[#This Row],[Total Sense Loss]]+Table7[[#This Row],[Total MOSFET Loss]]</f>
        <v>#VALUE!</v>
      </c>
      <c r="CI177" s="149" t="e">
        <f ca="1">IF(Table7[[#This Row],[POUT (W)]]=0,0,(Table7[[#This Row],[POUT (W)]])/(Table7[[#This Row],[POUT (W)]]+Table7[[#This Row],[Total Power Loss (W)]]))*100</f>
        <v>#VALUE!</v>
      </c>
      <c r="CJ177" s="153"/>
      <c r="CK177" s="145">
        <f>(Table7[[#This Row],[R_AC (mW)]]+Table7[[#This Row],[R_SR (mW)]]+Table7[[#This Row],[Inductor Loss (mW)]])/10^3</f>
        <v>0.6809273421550095</v>
      </c>
      <c r="CL177" s="145">
        <f>Table7[[#This Row],[Total (mW) C]]/10^3</f>
        <v>2.3963033811030048</v>
      </c>
      <c r="CM177" s="145">
        <f>Table7[[#This Row],[Total Sense Loss C]]+Table7[[#This Row],[Total MOSFET Loss C]]</f>
        <v>3.0772307232580145</v>
      </c>
      <c r="CN177" s="149">
        <f>IF(Table7[[#This Row],[POUT (W)]]=0,0,(Table7[[#This Row],[POUT (W)]])/(Table7[[#This Row],[POUT (W)]]+Table7[[#This Row],[Total Power Loss (W) C]]))*100</f>
        <v>98.906010558981123</v>
      </c>
      <c r="CO177" s="153"/>
      <c r="CP177" s="149">
        <f>IF(MOSFET_S=Custom_MOSFET,Table7[[#This Row],[Total Sense Loss C]],Table7[[#This Row],[Total Sense Loss]])</f>
        <v>0.6809273421550095</v>
      </c>
      <c r="CQ177" s="149">
        <f>IF(MOSFET_S=Custom_MOSFET,Table7[[#This Row],[Total MOSFET Loss C]],Table7[[#This Row],[Total MOSFET Loss]])</f>
        <v>2.3963033811030048</v>
      </c>
      <c r="CR177" s="149">
        <f>IF(MOSFET_S=Custom_MOSFET,Table7[[#This Row],[Efficiency C]],Table7[[#This Row],[Efficiency]])</f>
        <v>98.906010558981123</v>
      </c>
      <c r="CS177" s="153"/>
      <c r="CT177" s="149">
        <f>IF(MOSFET_S=Compare_MOSFET, Table7[[#This Row],[Total Sense Loss C]], -100)</f>
        <v>-100</v>
      </c>
      <c r="CU177" s="149">
        <f>IF(MOSFET_S=Compare_MOSFET, Table7[[#This Row],[Total MOSFET Loss C]], -100)</f>
        <v>-100</v>
      </c>
      <c r="CV177" s="149">
        <f>IF(MOSFET_S=Compare_MOSFET, Table7[[#This Row],[Efficiency C]], -100)</f>
        <v>-100</v>
      </c>
      <c r="CW177" s="153"/>
      <c r="CX177" s="149">
        <f ca="1">IF(Save_Sel=CLR_Save,  Table7[[#This Row],[Total Sense Loss P1]], Table7[[#This Row],[Total Sense Loss P1 Saved]])</f>
        <v>0.6809273421550095</v>
      </c>
      <c r="CY177" s="149">
        <f ca="1">IF(Save_Sel=CLR_Save,  Table7[[#This Row],[Total MOSFET Loss P1]], Table7[[#This Row],[Total MOSFET Loss P1 Saved]] )</f>
        <v>2.3963033811030048</v>
      </c>
      <c r="CZ177" s="149">
        <f ca="1">IF(Save_Sel=CLR_Save, Table7[[#This Row],[Efficiency P1]], Table7[[#This Row],[Efficiency P1 Saved]])</f>
        <v>98.906010558981123</v>
      </c>
      <c r="DA177" s="153"/>
      <c r="DB177" s="149">
        <f ca="1">IF(Save_Sel=CLR_Save,  Table7[[#This Row],[Total Sense Loss P2]], Table7[[#This Row],[Total Sense Loss P2 Saved]])</f>
        <v>-100</v>
      </c>
      <c r="DC177" s="149">
        <f ca="1">IF(Save_Sel=CLR_Save,  Table7[[#This Row],[Total MOSFET Loss P2]], Table7[[#This Row],[Total MOSFET Loss P2 Saved]] )</f>
        <v>-100</v>
      </c>
      <c r="DD177" s="149">
        <f ca="1">IF(Save_Sel=CLR_Save, Table7[[#This Row],[Efficiency P2]], Table7[[#This Row],[Efficiency P2 Saved]])</f>
        <v>-100</v>
      </c>
      <c r="DE177" s="153"/>
      <c r="DF177" s="19"/>
      <c r="DG177" s="19"/>
      <c r="DH177" s="19"/>
      <c r="DI177" s="19"/>
      <c r="DJ177" s="19"/>
      <c r="DK177" s="19"/>
      <c r="DL177" s="19"/>
      <c r="DM177" s="19"/>
      <c r="DN177" s="19"/>
      <c r="DO177" s="19"/>
      <c r="DP177" s="19"/>
      <c r="DQ177" s="19"/>
      <c r="DR177" s="19"/>
      <c r="DS177" s="19"/>
      <c r="DT177" s="19"/>
      <c r="DU177" s="19"/>
      <c r="DV177" s="19"/>
      <c r="DW177" s="19"/>
      <c r="DX177" s="19"/>
      <c r="DY177" s="19"/>
      <c r="DZ177" s="19"/>
      <c r="EA177" s="19"/>
      <c r="EB177" s="19"/>
      <c r="EC177" s="19"/>
      <c r="ED177" s="19"/>
      <c r="EE177" s="19"/>
      <c r="EF177" s="19"/>
      <c r="EG177" s="19"/>
      <c r="EH177" s="19"/>
      <c r="EI177" s="19"/>
      <c r="EJ177" s="19"/>
      <c r="EK177" s="19"/>
      <c r="EL177" s="19"/>
      <c r="EM177" s="19"/>
      <c r="EN177" s="19"/>
      <c r="EO177" s="19"/>
      <c r="EP177" s="19"/>
      <c r="EQ177" s="19"/>
      <c r="ER177" s="19"/>
      <c r="ES177" s="19"/>
      <c r="ET177" s="19"/>
      <c r="EU177" s="19"/>
      <c r="EV177" s="19"/>
      <c r="EW177" s="19"/>
      <c r="EX177" s="19"/>
      <c r="EY177" s="19"/>
      <c r="EZ177" s="19"/>
      <c r="FA177" s="19"/>
      <c r="FB177" s="19"/>
      <c r="FC177" s="19"/>
      <c r="FD177" s="19"/>
      <c r="FE177" s="19"/>
      <c r="FF177" s="19"/>
      <c r="FG177" s="19"/>
      <c r="FH177" s="19"/>
      <c r="FI177" s="19"/>
    </row>
    <row r="178" spans="1:165" x14ac:dyDescent="0.25">
      <c r="A178" s="48">
        <v>1</v>
      </c>
      <c r="B178" s="49"/>
      <c r="C178" s="49"/>
      <c r="D178" s="32" t="s">
        <v>135</v>
      </c>
      <c r="E178" s="66" t="str">
        <f>IF( VGS_S=Vgs_4P5,TI_RDS_4P5_H_BO, IF(VGS_S=Vgs_10, TI_RDS_10_H_BO, IF( AND(VGS_S=Vgs_C, ISNUMBER(TI_RDS_C_H_BO)), TI_RDS_C_H_BO, "ERROR" )))</f>
        <v>ERROR</v>
      </c>
      <c r="F178" s="66" t="str">
        <f>IF( VGS_S=Vgs_4P5,TI_RDS_4P5_L_BO, IF(VGS_S=Vgs_10, TI_RDS_10_L_BO, IF( AND(VGS_S=Vgs_C, ISNUMBER(TI_RDS_C_L_BO)), TI_RDS_C_L_BO, "ERROR" )))</f>
        <v>ERROR</v>
      </c>
      <c r="G178" s="42" t="s">
        <v>136</v>
      </c>
      <c r="H178" s="29"/>
      <c r="I178" s="48">
        <v>1</v>
      </c>
      <c r="J178" s="29"/>
      <c r="K178" s="49"/>
      <c r="L178" s="49"/>
      <c r="M178" s="32" t="s">
        <v>135</v>
      </c>
      <c r="N178" s="117">
        <f>IF(MOSFET_S=TI_MOSFET, $N135, IF(MOSFET_S=Custom_MOSFET,$E135, IF(MOSFET_S=Compare_MOSFET,$N135, 0) ))</f>
        <v>2.6</v>
      </c>
      <c r="O178" s="117">
        <f>IF(MOSFET_S=TI_MOSFET, $O135, IF(MOSFET_S=Custom_MOSFET,$F135, IF(MOSFET_S=Compare_MOSFET,$O135, 0) ))</f>
        <v>2.6</v>
      </c>
      <c r="P178" s="42" t="s">
        <v>136</v>
      </c>
      <c r="Q178" s="29"/>
      <c r="R178" s="29"/>
      <c r="S178" s="30"/>
      <c r="T178" s="18"/>
      <c r="U178" s="19"/>
      <c r="V178" s="19"/>
      <c r="W178" s="19"/>
      <c r="X178" s="19"/>
      <c r="Y178" s="19"/>
      <c r="Z178" s="19"/>
      <c r="AA178" s="19"/>
      <c r="AB178" s="19"/>
      <c r="AC178" s="19"/>
      <c r="AD178" s="19"/>
      <c r="AE178" s="19"/>
      <c r="AF178" s="143">
        <f t="shared" si="17"/>
        <v>22</v>
      </c>
      <c r="AG178" s="143">
        <f t="shared" si="16"/>
        <v>7.92</v>
      </c>
      <c r="AH178" s="144">
        <f t="shared" si="3"/>
        <v>291.45599999999996</v>
      </c>
      <c r="AI178" s="145">
        <f t="shared" si="4"/>
        <v>0.97826086956521752</v>
      </c>
      <c r="AJ178" s="145">
        <f t="shared" si="5"/>
        <v>7.7478260869565228</v>
      </c>
      <c r="AK178" s="145">
        <f t="shared" si="6"/>
        <v>0.39130434782608459</v>
      </c>
      <c r="AL178" s="145">
        <f t="shared" si="7"/>
        <v>7.7486494951126588</v>
      </c>
      <c r="AM178" s="146"/>
      <c r="AN178" s="145">
        <f>MAX(0,Table7[[#This Row],[I_L]]-0.5*Table7[[#This Row],[I_L pkpk]])</f>
        <v>7.5521739130434806</v>
      </c>
      <c r="AO178" s="145">
        <f>Table7[[#This Row],[I_L]]+0.5*Table7[[#This Row],[I_L pkpk]]</f>
        <v>7.9434782608695649</v>
      </c>
      <c r="AP178" s="145">
        <f ca="1">IF(VACnom&gt;Vbat, (VGS_S-(TI_MOSFET_S_VTH_H_BU+Table7[[#This Row],[I_L]]/TI_MOSFET_S_gFS_H_BU))/3.4, (VGS_S-(TI_MOSFET_S_VTH_L_BO+Table7[[#This Row],[I_L]]/TI_MOSFET_S_gFS_L_BO))/3.4 )</f>
        <v>2.9971768640566592</v>
      </c>
      <c r="AQ178" s="145">
        <f ca="1">IF(VACnom&gt;Vbat, ((TI_MOSFET_S_VTH_H_BU+Table7[[#This Row],[I_L]]/TI_MOSFET_S_gFS_H_BU))/1, ((TI_MOSFET_S_VTH_L_BO+Table7[[#This Row],[I_L]]/TI_MOSFET_S_gFS_L_BO))/1 )</f>
        <v>1.8095986622073579</v>
      </c>
      <c r="AR178" s="145">
        <f ca="1">IF(VACnom&gt;Vbat, (TI_MOSFET_S_QGD_H_BU+TI_MOSFET_S_QGS_H_BU)*10^-9/Table7[[#This Row],[Ion (A)]], (TI_MOSFET_S_QGD_L_BO+TI_MOSFET_S_QGS_L_BO)*10^-9/Table7[[#This Row],[Ion (A)]])/10^-9</f>
        <v>9.60904254446279</v>
      </c>
      <c r="AS178" s="145">
        <f ca="1">IF(VACnom&gt;Vbat, (TI_MOSFET_S_QGD_H_BU+TI_MOSFET_S_QGS_H_BU)*10^-9/Table7[[#This Row],[Ioff (A)]], (TI_MOSFET_S_QGD_L_BO+TI_MOSFET_S_QGS_L_BO)*10^-9/Table7[[#This Row],[Ioff (A)]])/10^-9</f>
        <v>15.915131129059086</v>
      </c>
      <c r="AT178" s="145">
        <f ca="1" xml:space="preserve"> 0.5*VACnom*Table7[[#This Row],[Ivalley (A)]]*Table7[[#This Row],[ton (ns)]]*10^-9*Fsw*10^3+0.5*VACnom*Table7[[#This Row],[Ipeak (A)]]*Table7[[#This Row],[toff (ns)]]*10^-9*Fsw*10^3/10^-3</f>
        <v>465.49816767505109</v>
      </c>
      <c r="AU178" s="145">
        <f t="shared" ca="1" si="8"/>
        <v>268.64000000000004</v>
      </c>
      <c r="AV178" s="145" t="e">
        <f t="shared" si="9"/>
        <v>#VALUE!</v>
      </c>
      <c r="AW178" s="145">
        <f t="shared" ca="1" si="10"/>
        <v>566.72000000000025</v>
      </c>
      <c r="AX178" s="145">
        <f ca="1">IF(VACnom&gt;Vbat, TI_MOSFET_S_VSD_L_BU*Table7[[#This Row],[Ivalley (A)]]*Fsw*10^3*40*10^-9+TI_MOSFET_S_VSD_L_BU*Table7[[#This Row],[Ipeak (A)]]*Fsw*10^3*30*10^-9, TI_MOSFET_S_VSD_H_BO*Table7[[#This Row],[Ivalley (A)]]*Fsw*10^3*40*10^-9+TI_MOSFET_S_VSD_H_BO*Table7[[#This Row],[Ipeak (A)]]*Fsw*10^3*30*10^-9)/10^-3</f>
        <v>77.816347826086997</v>
      </c>
      <c r="AY178" s="145" t="e">
        <f t="shared" si="11"/>
        <v>#VALUE!</v>
      </c>
      <c r="AZ178" s="145" t="e">
        <f>IF(VACnom&lt;Vbat, Table7[[#This Row],[Duty Cycle]]*Table7[[#This Row],[I_L RMS]]^2*TI_MOSFET_S_RDSON_H_BU*10^-3, (1-Table7[[#This Row],[Duty Cycle]])*Table7[[#This Row],[I_L RMS]]^2*TI_MOSFET_S_RDSON_H_BO*10^-3)/10^-3</f>
        <v>#VALUE!</v>
      </c>
      <c r="BA178" s="145" t="e">
        <f ca="1">IF(VACnom&gt;Vbat, Table7[[#This Row],[PIV (mW)]]+Table7[[#This Row],[Pqoss (mW)]]+Table7[[#This Row],[Pgate_top (mW)]], Table7[[#This Row],[PRR (mW)]]+Table7[[#This Row],[Pdead (mW)]]+Table7[[#This Row],[Pgate_top (mW)]])</f>
        <v>#VALUE!</v>
      </c>
      <c r="BB178" s="145" t="e">
        <f ca="1">Table7[[#This Row],[Pcon_top (mW)]]+Table7[[#This Row],[Psw_top (mW)]]</f>
        <v>#VALUE!</v>
      </c>
      <c r="BC178" s="145" t="e">
        <f>IF(VACnom&gt;Vbat, (1-Table7[[#This Row],[Duty Cycle]])*Table7[[#This Row],[I_L RMS]]^2*TI_MOSFET_S_RDSON_L_BU*10^-3, Table7[[#This Row],[Duty Cycle]]*Table7[[#This Row],[I_L RMS]]^2*TI_MOSFET_S_RDSON_L_BO*10^-3)/10^-3</f>
        <v>#VALUE!</v>
      </c>
      <c r="BD178" s="145" t="e">
        <f ca="1">IF(VACnom&gt;Vbat, Table7[[#This Row],[PRR (mW)]]+Table7[[#This Row],[Pdead (mW)]]+Table7[[#This Row],[Pgate_bottom (mW)]], Table7[[#This Row],[PIV (mW)]]+Table7[[#This Row],[Pqoss (mW)]]+Table7[[#This Row],[Pgate_bottom (mW)]])</f>
        <v>#VALUE!</v>
      </c>
      <c r="BE178" s="147" t="e">
        <f ca="1">Table7[[#This Row],[Pcon_bottom (mW)]]+Table7[[#This Row],[Psw_bottom (mW)]]</f>
        <v>#VALUE!</v>
      </c>
      <c r="BF178" s="145" t="e">
        <f ca="1">Table7[[#This Row],[Pbottom (mW)]]+Table7[[#This Row],[Ptop (mW)]]</f>
        <v>#VALUE!</v>
      </c>
      <c r="BG178" s="142"/>
      <c r="BH178" s="145">
        <f>MAX(0,Table7[[#This Row],[I_L]]-0.5*Table7[[#This Row],[I_L pkpk]])</f>
        <v>7.5521739130434806</v>
      </c>
      <c r="BI178" s="145">
        <f>Table7[[#This Row],[I_L]]+0.5*Table7[[#This Row],[I_L pkpk]]</f>
        <v>7.9434782608695649</v>
      </c>
      <c r="BJ178" s="145">
        <f>IF(VACnom&gt;Vbat, (VGS_S-(C_MOSFET_S_VTH_H_BU+Table7[[#This Row],[I_L]]/C_MOSFET_S_gFS_H_BU))/3.4, (VGS_S-(C_MOSFET_S_VTH_L_BO+Table7[[#This Row],[I_L]]/C_MOSFET_S_gFS_L_BO))/3.4 )</f>
        <v>2.9509436458241467</v>
      </c>
      <c r="BK178" s="145">
        <f>IF(VACnom&gt;Vbat, ((C_MOSFET_S_VTH_H_BU+Table7[[#This Row],[I_L]]/C_MOSFET_S_gFS_H_BU))/1, ((C_MOSFET_S_VTH_L_BO+Table7[[#This Row],[I_L]]/C_MOSFET_S_gFS_L_BO))/1 )</f>
        <v>1.966791604197901</v>
      </c>
      <c r="BL178" s="145">
        <f>IF(VACnom&gt;Vbat, (C_MOSFET_S_QGD_H_BU+C_MOSFET_S_QGS_H_BU)*10^-9/Table7[[#This Row],[Ion (A) C]], (C_MOSFET_S_QGD_L_BO+C_MOSFET_S_QGS_L_BO)*10^-9/Table7[[#This Row],[Ion (A) C]])/10^-9</f>
        <v>5.2525571004834015</v>
      </c>
      <c r="BM178" s="145">
        <f>IF(VACnom&gt;Vbat, (C_MOSFET_S_QGD_H_BU+C_MOSFET_S_QGS_H_BU)*10^-9/Table7[[#This Row],[Ioff (A) C]], (C_MOSFET_S_QGD_L_BO+C_MOSFET_S_QGS_L_BO)*10^-9/Table7[[#This Row],[Ioff (A) C]])/10^-9</f>
        <v>7.8808552807104464</v>
      </c>
      <c r="BN178" s="145">
        <f xml:space="preserve"> 0.5*VACnom*Table7[[#This Row],[Ivalley (A) C]]*Table7[[#This Row],[ton (ns) C]]*10^-9*Fsw*10^3+0.5*VACnom*Table7[[#This Row],[Ipeak (A) C]]*Table7[[#This Row],[toff (ns) C]]*10^-9*Fsw*10^3/10^-3</f>
        <v>230.51914063266449</v>
      </c>
      <c r="BO178" s="145">
        <f t="shared" si="12"/>
        <v>305.44000000000011</v>
      </c>
      <c r="BP178" s="145">
        <f t="shared" si="13"/>
        <v>357.69600000000014</v>
      </c>
      <c r="BQ178" s="145">
        <f t="shared" si="14"/>
        <v>1067.2000000000003</v>
      </c>
      <c r="BR178" s="145">
        <f>IF(VACnom&gt;Vbat, C_MOSFET_S_VSD_L_BU*Table7[[#This Row],[Ivalley (A) C]]*Fsw*10^3*40*10^-9+C_MOSFET_S_VSD_L_BU*Table7[[#This Row],[Ipeak (A) C]]*Fsw*10^3*30*10^-9, C_MOSFET_S_VSD_H_BO*Table7[[#This Row],[Ivalley (A) C]]*Fsw*10^3*40*10^-9+C_MOSFET_S_VSD_H_BO*Table7[[#This Row],[Ipeak (A) C]]*Fsw*10^3*30*10^-9)/10^-3</f>
        <v>86.462608695652207</v>
      </c>
      <c r="BS178" s="145">
        <f t="shared" si="15"/>
        <v>357.69600000000014</v>
      </c>
      <c r="BT178" s="145">
        <f>IF(VACnom&lt;Vbat, Table7[[#This Row],[Duty Cycle]]*Table7[[#This Row],[I_L RMS]]^2*C_MOSFET_S_RDSON_H_BU*10^-3, (1-Table7[[#This Row],[Duty Cycle]])*Table7[[#This Row],[I_L RMS]]^2*C_MOSFET_S_RDSON_H_BO*10^-3)/10^-3</f>
        <v>3.3936538998931356</v>
      </c>
      <c r="BU178" s="145">
        <f>IF(VACnom&gt;Vbat, Table7[[#This Row],[PIV (mW) C]]+Table7[[#This Row],[PQoss (mW) C]]+Table7[[#This Row],[Pgate_top (mW) C]], Table7[[#This Row],[PRR (mW) C]]+Table7[[#This Row],[Pdead (mW) C]]+Table7[[#This Row],[Pgate_top (mW) C]])</f>
        <v>893.65514063266471</v>
      </c>
      <c r="BV178" s="145">
        <f>Table7[[#This Row],[Pcon_top (mW) C]]+Table7[[#This Row],[Psw_top (mW) C]]</f>
        <v>897.04879453255785</v>
      </c>
      <c r="BW178" s="145">
        <f>IF(VACnom&gt;Vbat, (1-Table7[[#This Row],[Duty Cycle]])*Table7[[#This Row],[I_L RMS]]^2*C_MOSFET_S_RDSON_L_BU*10^-3, Table7[[#This Row],[Duty Cycle]]*Table7[[#This Row],[I_L RMS]]^2*C_MOSFET_S_RDSON_L_BO*10^-3)/10^-3</f>
        <v>2.2189275499301271</v>
      </c>
      <c r="BX178" s="145">
        <f>IF(VACnom&gt;Vbat, Table7[[#This Row],[PRR (mW) C]]+Table7[[#This Row],[Pdead (mW) C]]+Table7[[#This Row],[Pgate_bottom (mW) C]], Table7[[#This Row],[PIV (mW) C]]+Table7[[#This Row],[PQoss (mW) C]]+Table7[[#This Row],[Pgate_bottom (mW) C]])</f>
        <v>1511.3586086956527</v>
      </c>
      <c r="BY178" s="145">
        <f>Table7[[#This Row],[Pcon_bottom (mW) C]]+Table7[[#This Row],[Psw_bottom (mV) C]]</f>
        <v>1513.5775362455829</v>
      </c>
      <c r="BZ178" s="145">
        <f>Table7[[#This Row],[Pbottom (mW) C]]+Table7[[#This Row],[Ptop (mW) C]]</f>
        <v>2410.626330778141</v>
      </c>
      <c r="CA178" s="148"/>
      <c r="CB178" s="144">
        <f>(RAC_SNS*10^-3*(Table7[[#This Row],[IOUT (A)]]*Vbat/VACnom)^2/10^-3)</f>
        <v>120.05761814744805</v>
      </c>
      <c r="CC178" s="144">
        <f>(RBAT_SNS*10^-3*Table7[[#This Row],[IOUT (A)]]^2)/10^-3</f>
        <v>313.63200000000001</v>
      </c>
      <c r="CD178" s="144">
        <f>IF(VACnom&gt;Vbat,(L_DRC*10^-3*(Table7[[#This Row],[IOUT (A)]])^2/10^-3),(L_DRC*10^-3*(Table7[[#This Row],[IOUT (A)]]*Vbat/VACnom)^2/10^-3))</f>
        <v>313.63200000000001</v>
      </c>
      <c r="CE178" s="152"/>
      <c r="CF178" s="145">
        <f>(Table7[[#This Row],[R_AC (mW)]]+Table7[[#This Row],[R_SR (mW)]]+Table7[[#This Row],[Inductor Loss (mW)]])/10^3</f>
        <v>0.74732161814744813</v>
      </c>
      <c r="CG178" s="145" t="e">
        <f ca="1">Table7[[#This Row],[Total TI (mW)]]/10^3</f>
        <v>#VALUE!</v>
      </c>
      <c r="CH178" s="145" t="e">
        <f ca="1">Table7[[#This Row],[Total Sense Loss]]+Table7[[#This Row],[Total MOSFET Loss]]</f>
        <v>#VALUE!</v>
      </c>
      <c r="CI178" s="149" t="e">
        <f ca="1">IF(Table7[[#This Row],[POUT (W)]]=0,0,(Table7[[#This Row],[POUT (W)]])/(Table7[[#This Row],[POUT (W)]]+Table7[[#This Row],[Total Power Loss (W)]]))*100</f>
        <v>#VALUE!</v>
      </c>
      <c r="CJ178" s="153"/>
      <c r="CK178" s="145">
        <f>(Table7[[#This Row],[R_AC (mW)]]+Table7[[#This Row],[R_SR (mW)]]+Table7[[#This Row],[Inductor Loss (mW)]])/10^3</f>
        <v>0.74732161814744813</v>
      </c>
      <c r="CL178" s="145">
        <f>Table7[[#This Row],[Total (mW) C]]/10^3</f>
        <v>2.410626330778141</v>
      </c>
      <c r="CM178" s="145">
        <f>Table7[[#This Row],[Total Sense Loss C]]+Table7[[#This Row],[Total MOSFET Loss C]]</f>
        <v>3.1579479489255893</v>
      </c>
      <c r="CN178" s="149">
        <f>IF(Table7[[#This Row],[POUT (W)]]=0,0,(Table7[[#This Row],[POUT (W)]])/(Table7[[#This Row],[POUT (W)]]+Table7[[#This Row],[Total Power Loss (W) C]]))*100</f>
        <v>98.928106435248253</v>
      </c>
      <c r="CO178" s="153"/>
      <c r="CP178" s="149">
        <f>IF(MOSFET_S=Custom_MOSFET,Table7[[#This Row],[Total Sense Loss C]],Table7[[#This Row],[Total Sense Loss]])</f>
        <v>0.74732161814744813</v>
      </c>
      <c r="CQ178" s="149">
        <f>IF(MOSFET_S=Custom_MOSFET,Table7[[#This Row],[Total MOSFET Loss C]],Table7[[#This Row],[Total MOSFET Loss]])</f>
        <v>2.410626330778141</v>
      </c>
      <c r="CR178" s="149">
        <f>IF(MOSFET_S=Custom_MOSFET,Table7[[#This Row],[Efficiency C]],Table7[[#This Row],[Efficiency]])</f>
        <v>98.928106435248253</v>
      </c>
      <c r="CS178" s="153"/>
      <c r="CT178" s="149">
        <f>IF(MOSFET_S=Compare_MOSFET, Table7[[#This Row],[Total Sense Loss C]], -100)</f>
        <v>-100</v>
      </c>
      <c r="CU178" s="149">
        <f>IF(MOSFET_S=Compare_MOSFET, Table7[[#This Row],[Total MOSFET Loss C]], -100)</f>
        <v>-100</v>
      </c>
      <c r="CV178" s="149">
        <f>IF(MOSFET_S=Compare_MOSFET, Table7[[#This Row],[Efficiency C]], -100)</f>
        <v>-100</v>
      </c>
      <c r="CW178" s="153"/>
      <c r="CX178" s="149">
        <f ca="1">IF(Save_Sel=CLR_Save,  Table7[[#This Row],[Total Sense Loss P1]], Table7[[#This Row],[Total Sense Loss P1 Saved]])</f>
        <v>0.74732161814744813</v>
      </c>
      <c r="CY178" s="149">
        <f ca="1">IF(Save_Sel=CLR_Save,  Table7[[#This Row],[Total MOSFET Loss P1]], Table7[[#This Row],[Total MOSFET Loss P1 Saved]] )</f>
        <v>2.410626330778141</v>
      </c>
      <c r="CZ178" s="149">
        <f ca="1">IF(Save_Sel=CLR_Save, Table7[[#This Row],[Efficiency P1]], Table7[[#This Row],[Efficiency P1 Saved]])</f>
        <v>98.928106435248253</v>
      </c>
      <c r="DA178" s="153"/>
      <c r="DB178" s="149">
        <f ca="1">IF(Save_Sel=CLR_Save,  Table7[[#This Row],[Total Sense Loss P2]], Table7[[#This Row],[Total Sense Loss P2 Saved]])</f>
        <v>-100</v>
      </c>
      <c r="DC178" s="149">
        <f ca="1">IF(Save_Sel=CLR_Save,  Table7[[#This Row],[Total MOSFET Loss P2]], Table7[[#This Row],[Total MOSFET Loss P2 Saved]] )</f>
        <v>-100</v>
      </c>
      <c r="DD178" s="149">
        <f ca="1">IF(Save_Sel=CLR_Save, Table7[[#This Row],[Efficiency P2]], Table7[[#This Row],[Efficiency P2 Saved]])</f>
        <v>-100</v>
      </c>
      <c r="DE178" s="153"/>
      <c r="DF178" s="19"/>
      <c r="DG178" s="19"/>
      <c r="DH178" s="19"/>
      <c r="DI178" s="19"/>
      <c r="DJ178" s="19"/>
      <c r="DK178" s="19"/>
      <c r="DL178" s="19"/>
      <c r="DM178" s="19"/>
      <c r="DN178" s="19"/>
      <c r="DO178" s="19"/>
      <c r="DP178" s="19"/>
      <c r="DQ178" s="19"/>
      <c r="DR178" s="19"/>
      <c r="DS178" s="19"/>
      <c r="DT178" s="19"/>
      <c r="DU178" s="19"/>
      <c r="DV178" s="19"/>
      <c r="DW178" s="19"/>
      <c r="DX178" s="19"/>
      <c r="DY178" s="19"/>
      <c r="DZ178" s="19"/>
      <c r="EA178" s="19"/>
      <c r="EB178" s="19"/>
      <c r="EC178" s="19"/>
      <c r="ED178" s="19"/>
      <c r="EE178" s="19"/>
      <c r="EF178" s="19"/>
      <c r="EG178" s="19"/>
      <c r="EH178" s="19"/>
      <c r="EI178" s="19"/>
      <c r="EJ178" s="19"/>
      <c r="EK178" s="19"/>
      <c r="EL178" s="19"/>
      <c r="EM178" s="19"/>
      <c r="EN178" s="19"/>
      <c r="EO178" s="19"/>
      <c r="EP178" s="19"/>
      <c r="EQ178" s="19"/>
      <c r="ER178" s="19"/>
      <c r="ES178" s="19"/>
      <c r="ET178" s="19"/>
      <c r="EU178" s="19"/>
      <c r="EV178" s="19"/>
      <c r="EW178" s="19"/>
      <c r="EX178" s="19"/>
      <c r="EY178" s="19"/>
      <c r="EZ178" s="19"/>
      <c r="FA178" s="19"/>
      <c r="FB178" s="19"/>
      <c r="FC178" s="19"/>
      <c r="FD178" s="19"/>
      <c r="FE178" s="19"/>
      <c r="FF178" s="19"/>
      <c r="FG178" s="19"/>
      <c r="FH178" s="19"/>
      <c r="FI178" s="19"/>
    </row>
    <row r="179" spans="1:165" x14ac:dyDescent="0.25">
      <c r="A179" s="48">
        <v>4</v>
      </c>
      <c r="B179" s="49"/>
      <c r="C179" s="49"/>
      <c r="D179" s="32" t="s">
        <v>139</v>
      </c>
      <c r="E179" s="66" t="str">
        <f>IF( VGS_S=Vgs_4P5,TI_QG_4P5_H_BO, IF(VGS_S=Vgs_10, TI_QG_10_H_BO, IF( AND(VGS_S=Vgs_C, ISNUMBER(TI_QG_C_H_BO)), TI_QG_C_H_BO, "ERROR" )))</f>
        <v>ERROR</v>
      </c>
      <c r="F179" s="66" t="str">
        <f>IF( VGS_S=Vgs_4P5,TI_QG_4P5_L_BO, IF(VGS_S=Vgs_10, TI_QG_10_L_BO, IF( AND(VGS_S=Vgs_C, ISNUMBER(TI_QG_C_L_BO)), TI_QG_C_L_BO, "ERROR" )))</f>
        <v>ERROR</v>
      </c>
      <c r="G179" s="42" t="s">
        <v>140</v>
      </c>
      <c r="H179" s="29"/>
      <c r="I179" s="48">
        <v>4</v>
      </c>
      <c r="J179" s="29"/>
      <c r="K179" s="49"/>
      <c r="L179" s="49"/>
      <c r="M179" s="32" t="s">
        <v>139</v>
      </c>
      <c r="N179" s="117">
        <f>IF(MOSFET_S=TI_MOSFET, $N138, IF(MOSFET_S=Custom_MOSFET,$E138, IF(MOSFET_S=Compare_MOSFET,$N138, 0) ))</f>
        <v>20</v>
      </c>
      <c r="O179" s="117">
        <f>IF(MOSFET_S=TI_MOSFET, $O138, IF(MOSFET_S=Custom_MOSFET,$F138, IF(MOSFET_S=Compare_MOSFET,$O138, 0) ))</f>
        <v>20</v>
      </c>
      <c r="P179" s="42" t="s">
        <v>140</v>
      </c>
      <c r="Q179" s="29"/>
      <c r="R179" s="29"/>
      <c r="S179" s="30"/>
      <c r="T179" s="18"/>
      <c r="U179" s="19"/>
      <c r="V179" s="19"/>
      <c r="W179" s="19"/>
      <c r="X179" s="19"/>
      <c r="Y179" s="19"/>
      <c r="Z179" s="19"/>
      <c r="AA179" s="19"/>
      <c r="AB179" s="19"/>
      <c r="AC179" s="19"/>
      <c r="AD179" s="19"/>
      <c r="AE179" s="19"/>
      <c r="AF179" s="143">
        <f t="shared" si="17"/>
        <v>23</v>
      </c>
      <c r="AG179" s="143">
        <f t="shared" si="16"/>
        <v>8.2799999999999994</v>
      </c>
      <c r="AH179" s="144">
        <f t="shared" si="3"/>
        <v>304.70399999999995</v>
      </c>
      <c r="AI179" s="145">
        <f t="shared" si="4"/>
        <v>0.97826086956521752</v>
      </c>
      <c r="AJ179" s="145">
        <f t="shared" si="5"/>
        <v>8.1</v>
      </c>
      <c r="AK179" s="145">
        <f t="shared" si="6"/>
        <v>0.39130434782608459</v>
      </c>
      <c r="AL179" s="145">
        <f t="shared" si="7"/>
        <v>8.1007876113613566</v>
      </c>
      <c r="AM179" s="146"/>
      <c r="AN179" s="145">
        <f>MAX(0,Table7[[#This Row],[I_L]]-0.5*Table7[[#This Row],[I_L pkpk]])</f>
        <v>7.9043478260869575</v>
      </c>
      <c r="AO179" s="145">
        <f>Table7[[#This Row],[I_L]]+0.5*Table7[[#This Row],[I_L pkpk]]</f>
        <v>8.2956521739130427</v>
      </c>
      <c r="AP179" s="145">
        <f ca="1">IF(VACnom&gt;Vbat, (VGS_S-(TI_MOSFET_S_VTH_H_BU+Table7[[#This Row],[I_L]]/TI_MOSFET_S_gFS_H_BU))/3.4, (VGS_S-(TI_MOSFET_S_VTH_L_BO+Table7[[#This Row],[I_L]]/TI_MOSFET_S_gFS_L_BO))/3.4 )</f>
        <v>2.9963800904977376</v>
      </c>
      <c r="AQ179" s="145">
        <f ca="1">IF(VACnom&gt;Vbat, ((TI_MOSFET_S_VTH_H_BU+Table7[[#This Row],[I_L]]/TI_MOSFET_S_gFS_H_BU))/1, ((TI_MOSFET_S_VTH_L_BO+Table7[[#This Row],[I_L]]/TI_MOSFET_S_gFS_L_BO))/1 )</f>
        <v>1.8123076923076924</v>
      </c>
      <c r="AR179" s="145">
        <f ca="1">IF(VACnom&gt;Vbat, (TI_MOSFET_S_QGD_H_BU+TI_MOSFET_S_QGS_H_BU)*10^-9/Table7[[#This Row],[Ion (A)]], (TI_MOSFET_S_QGD_L_BO+TI_MOSFET_S_QGS_L_BO)*10^-9/Table7[[#This Row],[Ion (A)]])/10^-9</f>
        <v>9.6115977046209604</v>
      </c>
      <c r="AS179" s="145">
        <f ca="1">IF(VACnom&gt;Vbat, (TI_MOSFET_S_QGD_H_BU+TI_MOSFET_S_QGS_H_BU)*10^-9/Table7[[#This Row],[Ioff (A)]], (TI_MOSFET_S_QGD_L_BO+TI_MOSFET_S_QGS_L_BO)*10^-9/Table7[[#This Row],[Ioff (A)]])/10^-9</f>
        <v>15.891341256366722</v>
      </c>
      <c r="AT179" s="145">
        <f ca="1" xml:space="preserve"> 0.5*VACnom*Table7[[#This Row],[Ivalley (A)]]*Table7[[#This Row],[ton (ns)]]*10^-9*Fsw*10^3+0.5*VACnom*Table7[[#This Row],[Ipeak (A)]]*Table7[[#This Row],[toff (ns)]]*10^-9*Fsw*10^3/10^-3</f>
        <v>485.41044802839554</v>
      </c>
      <c r="AU179" s="145">
        <f t="shared" ca="1" si="8"/>
        <v>268.64000000000004</v>
      </c>
      <c r="AV179" s="145" t="e">
        <f t="shared" si="9"/>
        <v>#VALUE!</v>
      </c>
      <c r="AW179" s="145">
        <f t="shared" ca="1" si="10"/>
        <v>566.72000000000025</v>
      </c>
      <c r="AX179" s="145">
        <f ca="1">IF(VACnom&gt;Vbat, TI_MOSFET_S_VSD_L_BU*Table7[[#This Row],[Ivalley (A)]]*Fsw*10^3*40*10^-9+TI_MOSFET_S_VSD_L_BU*Table7[[#This Row],[Ipeak (A)]]*Fsw*10^3*30*10^-9, TI_MOSFET_S_VSD_H_BO*Table7[[#This Row],[Ivalley (A)]]*Fsw*10^3*40*10^-9+TI_MOSFET_S_VSD_H_BO*Table7[[#This Row],[Ipeak (A)]]*Fsw*10^3*30*10^-9)/10^-3</f>
        <v>81.366260869565238</v>
      </c>
      <c r="AY179" s="145" t="e">
        <f t="shared" si="11"/>
        <v>#VALUE!</v>
      </c>
      <c r="AZ179" s="145" t="e">
        <f>IF(VACnom&lt;Vbat, Table7[[#This Row],[Duty Cycle]]*Table7[[#This Row],[I_L RMS]]^2*TI_MOSFET_S_RDSON_H_BU*10^-3, (1-Table7[[#This Row],[Duty Cycle]])*Table7[[#This Row],[I_L RMS]]^2*TI_MOSFET_S_RDSON_H_BO*10^-3)/10^-3</f>
        <v>#VALUE!</v>
      </c>
      <c r="BA179" s="145" t="e">
        <f ca="1">IF(VACnom&gt;Vbat, Table7[[#This Row],[PIV (mW)]]+Table7[[#This Row],[Pqoss (mW)]]+Table7[[#This Row],[Pgate_top (mW)]], Table7[[#This Row],[PRR (mW)]]+Table7[[#This Row],[Pdead (mW)]]+Table7[[#This Row],[Pgate_top (mW)]])</f>
        <v>#VALUE!</v>
      </c>
      <c r="BB179" s="145" t="e">
        <f ca="1">Table7[[#This Row],[Pcon_top (mW)]]+Table7[[#This Row],[Psw_top (mW)]]</f>
        <v>#VALUE!</v>
      </c>
      <c r="BC179" s="145" t="e">
        <f>IF(VACnom&gt;Vbat, (1-Table7[[#This Row],[Duty Cycle]])*Table7[[#This Row],[I_L RMS]]^2*TI_MOSFET_S_RDSON_L_BU*10^-3, Table7[[#This Row],[Duty Cycle]]*Table7[[#This Row],[I_L RMS]]^2*TI_MOSFET_S_RDSON_L_BO*10^-3)/10^-3</f>
        <v>#VALUE!</v>
      </c>
      <c r="BD179" s="145" t="e">
        <f ca="1">IF(VACnom&gt;Vbat, Table7[[#This Row],[PRR (mW)]]+Table7[[#This Row],[Pdead (mW)]]+Table7[[#This Row],[Pgate_bottom (mW)]], Table7[[#This Row],[PIV (mW)]]+Table7[[#This Row],[Pqoss (mW)]]+Table7[[#This Row],[Pgate_bottom (mW)]])</f>
        <v>#VALUE!</v>
      </c>
      <c r="BE179" s="147" t="e">
        <f ca="1">Table7[[#This Row],[Pcon_bottom (mW)]]+Table7[[#This Row],[Psw_bottom (mW)]]</f>
        <v>#VALUE!</v>
      </c>
      <c r="BF179" s="145" t="e">
        <f ca="1">Table7[[#This Row],[Pbottom (mW)]]+Table7[[#This Row],[Ptop (mW)]]</f>
        <v>#VALUE!</v>
      </c>
      <c r="BG179" s="142"/>
      <c r="BH179" s="145">
        <f>MAX(0,Table7[[#This Row],[I_L]]-0.5*Table7[[#This Row],[I_L pkpk]])</f>
        <v>7.9043478260869575</v>
      </c>
      <c r="BI179" s="145">
        <f>Table7[[#This Row],[I_L]]+0.5*Table7[[#This Row],[I_L pkpk]]</f>
        <v>8.2956521739130427</v>
      </c>
      <c r="BJ179" s="145">
        <f>IF(VACnom&gt;Vbat, (VGS_S-(C_MOSFET_S_VTH_H_BU+Table7[[#This Row],[I_L]]/C_MOSFET_S_gFS_H_BU))/3.4, (VGS_S-(C_MOSFET_S_VTH_L_BO+Table7[[#This Row],[I_L]]/C_MOSFET_S_gFS_L_BO))/3.4 )</f>
        <v>2.950050709939148</v>
      </c>
      <c r="BK179" s="145">
        <f>IF(VACnom&gt;Vbat, ((C_MOSFET_S_VTH_H_BU+Table7[[#This Row],[I_L]]/C_MOSFET_S_gFS_H_BU))/1, ((C_MOSFET_S_VTH_L_BO+Table7[[#This Row],[I_L]]/C_MOSFET_S_gFS_L_BO))/1 )</f>
        <v>1.9698275862068964</v>
      </c>
      <c r="BL179" s="145">
        <f>IF(VACnom&gt;Vbat, (C_MOSFET_S_QGD_H_BU+C_MOSFET_S_QGS_H_BU)*10^-9/Table7[[#This Row],[Ion (A) C]], (C_MOSFET_S_QGD_L_BO+C_MOSFET_S_QGS_L_BO)*10^-9/Table7[[#This Row],[Ion (A) C]])/10^-9</f>
        <v>5.2541469703480876</v>
      </c>
      <c r="BM179" s="145">
        <f>IF(VACnom&gt;Vbat, (C_MOSFET_S_QGD_H_BU+C_MOSFET_S_QGS_H_BU)*10^-9/Table7[[#This Row],[Ioff (A) C]], (C_MOSFET_S_QGD_L_BO+C_MOSFET_S_QGS_L_BO)*10^-9/Table7[[#This Row],[Ioff (A) C]])/10^-9</f>
        <v>7.8687089715536116</v>
      </c>
      <c r="BN179" s="145">
        <f xml:space="preserve"> 0.5*VACnom*Table7[[#This Row],[Ivalley (A) C]]*Table7[[#This Row],[ton (ns) C]]*10^-9*Fsw*10^3+0.5*VACnom*Table7[[#This Row],[Ipeak (A) C]]*Table7[[#This Row],[toff (ns) C]]*10^-9*Fsw*10^3/10^-3</f>
        <v>240.36878011066216</v>
      </c>
      <c r="BO179" s="145">
        <f t="shared" si="12"/>
        <v>305.44000000000011</v>
      </c>
      <c r="BP179" s="145">
        <f t="shared" si="13"/>
        <v>357.69600000000014</v>
      </c>
      <c r="BQ179" s="145">
        <f t="shared" si="14"/>
        <v>1067.2000000000003</v>
      </c>
      <c r="BR179" s="145">
        <f>IF(VACnom&gt;Vbat, C_MOSFET_S_VSD_L_BU*Table7[[#This Row],[Ivalley (A) C]]*Fsw*10^3*40*10^-9+C_MOSFET_S_VSD_L_BU*Table7[[#This Row],[Ipeak (A) C]]*Fsw*10^3*30*10^-9, C_MOSFET_S_VSD_H_BO*Table7[[#This Row],[Ivalley (A) C]]*Fsw*10^3*40*10^-9+C_MOSFET_S_VSD_H_BO*Table7[[#This Row],[Ipeak (A) C]]*Fsw*10^3*30*10^-9)/10^-3</f>
        <v>90.406956521739176</v>
      </c>
      <c r="BS179" s="145">
        <f t="shared" si="15"/>
        <v>357.69600000000014</v>
      </c>
      <c r="BT179" s="145">
        <f>IF(VACnom&lt;Vbat, Table7[[#This Row],[Duty Cycle]]*Table7[[#This Row],[I_L RMS]]^2*C_MOSFET_S_RDSON_H_BU*10^-3, (1-Table7[[#This Row],[Duty Cycle]])*Table7[[#This Row],[I_L RMS]]^2*C_MOSFET_S_RDSON_H_BO*10^-3)/10^-3</f>
        <v>3.7091125174652535</v>
      </c>
      <c r="BU179" s="145">
        <f>IF(VACnom&gt;Vbat, Table7[[#This Row],[PIV (mW) C]]+Table7[[#This Row],[PQoss (mW) C]]+Table7[[#This Row],[Pgate_top (mW) C]], Table7[[#This Row],[PRR (mW) C]]+Table7[[#This Row],[Pdead (mW) C]]+Table7[[#This Row],[Pgate_top (mW) C]])</f>
        <v>903.50478011066241</v>
      </c>
      <c r="BV179" s="145">
        <f>Table7[[#This Row],[Pcon_top (mW) C]]+Table7[[#This Row],[Psw_top (mW) C]]</f>
        <v>907.21389262812761</v>
      </c>
      <c r="BW179" s="145">
        <f>IF(VACnom&gt;Vbat, (1-Table7[[#This Row],[Duty Cycle]])*Table7[[#This Row],[I_L RMS]]^2*C_MOSFET_S_RDSON_L_BU*10^-3, Table7[[#This Row],[Duty Cycle]]*Table7[[#This Row],[I_L RMS]]^2*C_MOSFET_S_RDSON_L_BO*10^-3)/10^-3</f>
        <v>2.425188953727281</v>
      </c>
      <c r="BX179" s="145">
        <f>IF(VACnom&gt;Vbat, Table7[[#This Row],[PRR (mW) C]]+Table7[[#This Row],[Pdead (mW) C]]+Table7[[#This Row],[Pgate_bottom (mW) C]], Table7[[#This Row],[PIV (mW) C]]+Table7[[#This Row],[PQoss (mW) C]]+Table7[[#This Row],[Pgate_bottom (mW) C]])</f>
        <v>1515.3029565217396</v>
      </c>
      <c r="BY179" s="145">
        <f>Table7[[#This Row],[Pcon_bottom (mW) C]]+Table7[[#This Row],[Psw_bottom (mV) C]]</f>
        <v>1517.7281454754668</v>
      </c>
      <c r="BZ179" s="145">
        <f>Table7[[#This Row],[Pbottom (mW) C]]+Table7[[#This Row],[Ptop (mW) C]]</f>
        <v>2424.9420381035943</v>
      </c>
      <c r="CA179" s="148"/>
      <c r="CB179" s="144">
        <f>(RAC_SNS*10^-3*(Table7[[#This Row],[IOUT (A)]]*Vbat/VACnom)^2/10^-3)</f>
        <v>131.22</v>
      </c>
      <c r="CC179" s="144">
        <f>(RBAT_SNS*10^-3*Table7[[#This Row],[IOUT (A)]]^2)/10^-3</f>
        <v>342.79199999999997</v>
      </c>
      <c r="CD179" s="144">
        <f>IF(VACnom&gt;Vbat,(L_DRC*10^-3*(Table7[[#This Row],[IOUT (A)]])^2/10^-3),(L_DRC*10^-3*(Table7[[#This Row],[IOUT (A)]]*Vbat/VACnom)^2/10^-3))</f>
        <v>342.79199999999997</v>
      </c>
      <c r="CE179" s="152"/>
      <c r="CF179" s="145">
        <f>(Table7[[#This Row],[R_AC (mW)]]+Table7[[#This Row],[R_SR (mW)]]+Table7[[#This Row],[Inductor Loss (mW)]])/10^3</f>
        <v>0.81680399999999986</v>
      </c>
      <c r="CG179" s="145" t="e">
        <f ca="1">Table7[[#This Row],[Total TI (mW)]]/10^3</f>
        <v>#VALUE!</v>
      </c>
      <c r="CH179" s="145" t="e">
        <f ca="1">Table7[[#This Row],[Total Sense Loss]]+Table7[[#This Row],[Total MOSFET Loss]]</f>
        <v>#VALUE!</v>
      </c>
      <c r="CI179" s="149" t="e">
        <f ca="1">IF(Table7[[#This Row],[POUT (W)]]=0,0,(Table7[[#This Row],[POUT (W)]])/(Table7[[#This Row],[POUT (W)]]+Table7[[#This Row],[Total Power Loss (W)]]))*100</f>
        <v>#VALUE!</v>
      </c>
      <c r="CJ179" s="153"/>
      <c r="CK179" s="145">
        <f>(Table7[[#This Row],[R_AC (mW)]]+Table7[[#This Row],[R_SR (mW)]]+Table7[[#This Row],[Inductor Loss (mW)]])/10^3</f>
        <v>0.81680399999999986</v>
      </c>
      <c r="CL179" s="145">
        <f>Table7[[#This Row],[Total (mW) C]]/10^3</f>
        <v>2.4249420381035942</v>
      </c>
      <c r="CM179" s="145">
        <f>Table7[[#This Row],[Total Sense Loss C]]+Table7[[#This Row],[Total MOSFET Loss C]]</f>
        <v>3.2417460381035941</v>
      </c>
      <c r="CN179" s="149">
        <f>IF(Table7[[#This Row],[POUT (W)]]=0,0,(Table7[[#This Row],[POUT (W)]])/(Table7[[#This Row],[POUT (W)]]+Table7[[#This Row],[Total Power Loss (W) C]]))*100</f>
        <v>98.947299620205669</v>
      </c>
      <c r="CO179" s="153"/>
      <c r="CP179" s="149">
        <f>IF(MOSFET_S=Custom_MOSFET,Table7[[#This Row],[Total Sense Loss C]],Table7[[#This Row],[Total Sense Loss]])</f>
        <v>0.81680399999999986</v>
      </c>
      <c r="CQ179" s="149">
        <f>IF(MOSFET_S=Custom_MOSFET,Table7[[#This Row],[Total MOSFET Loss C]],Table7[[#This Row],[Total MOSFET Loss]])</f>
        <v>2.4249420381035942</v>
      </c>
      <c r="CR179" s="149">
        <f>IF(MOSFET_S=Custom_MOSFET,Table7[[#This Row],[Efficiency C]],Table7[[#This Row],[Efficiency]])</f>
        <v>98.947299620205669</v>
      </c>
      <c r="CS179" s="153"/>
      <c r="CT179" s="149">
        <f>IF(MOSFET_S=Compare_MOSFET, Table7[[#This Row],[Total Sense Loss C]], -100)</f>
        <v>-100</v>
      </c>
      <c r="CU179" s="149">
        <f>IF(MOSFET_S=Compare_MOSFET, Table7[[#This Row],[Total MOSFET Loss C]], -100)</f>
        <v>-100</v>
      </c>
      <c r="CV179" s="149">
        <f>IF(MOSFET_S=Compare_MOSFET, Table7[[#This Row],[Efficiency C]], -100)</f>
        <v>-100</v>
      </c>
      <c r="CW179" s="153"/>
      <c r="CX179" s="149">
        <f ca="1">IF(Save_Sel=CLR_Save,  Table7[[#This Row],[Total Sense Loss P1]], Table7[[#This Row],[Total Sense Loss P1 Saved]])</f>
        <v>0.81680399999999986</v>
      </c>
      <c r="CY179" s="149">
        <f ca="1">IF(Save_Sel=CLR_Save,  Table7[[#This Row],[Total MOSFET Loss P1]], Table7[[#This Row],[Total MOSFET Loss P1 Saved]] )</f>
        <v>2.4249420381035942</v>
      </c>
      <c r="CZ179" s="149">
        <f ca="1">IF(Save_Sel=CLR_Save, Table7[[#This Row],[Efficiency P1]], Table7[[#This Row],[Efficiency P1 Saved]])</f>
        <v>98.947299620205669</v>
      </c>
      <c r="DA179" s="153"/>
      <c r="DB179" s="149">
        <f ca="1">IF(Save_Sel=CLR_Save,  Table7[[#This Row],[Total Sense Loss P2]], Table7[[#This Row],[Total Sense Loss P2 Saved]])</f>
        <v>-100</v>
      </c>
      <c r="DC179" s="149">
        <f ca="1">IF(Save_Sel=CLR_Save,  Table7[[#This Row],[Total MOSFET Loss P2]], Table7[[#This Row],[Total MOSFET Loss P2 Saved]] )</f>
        <v>-100</v>
      </c>
      <c r="DD179" s="149">
        <f ca="1">IF(Save_Sel=CLR_Save, Table7[[#This Row],[Efficiency P2]], Table7[[#This Row],[Efficiency P2 Saved]])</f>
        <v>-100</v>
      </c>
      <c r="DE179" s="153"/>
      <c r="DF179" s="19"/>
      <c r="DG179" s="19"/>
      <c r="DH179" s="19"/>
      <c r="DI179" s="19"/>
      <c r="DJ179" s="19"/>
      <c r="DK179" s="19"/>
      <c r="DL179" s="19"/>
      <c r="DM179" s="19"/>
      <c r="DN179" s="19"/>
      <c r="DO179" s="19"/>
      <c r="DP179" s="19"/>
      <c r="DQ179" s="19"/>
      <c r="DR179" s="19"/>
      <c r="DS179" s="19"/>
      <c r="DT179" s="19"/>
      <c r="DU179" s="19"/>
      <c r="DV179" s="19"/>
      <c r="DW179" s="19"/>
      <c r="DX179" s="19"/>
      <c r="DY179" s="19"/>
      <c r="DZ179" s="19"/>
      <c r="EA179" s="19"/>
      <c r="EB179" s="19"/>
      <c r="EC179" s="19"/>
      <c r="ED179" s="19"/>
      <c r="EE179" s="19"/>
      <c r="EF179" s="19"/>
      <c r="EG179" s="19"/>
      <c r="EH179" s="19"/>
      <c r="EI179" s="19"/>
      <c r="EJ179" s="19"/>
      <c r="EK179" s="19"/>
      <c r="EL179" s="19"/>
      <c r="EM179" s="19"/>
      <c r="EN179" s="19"/>
      <c r="EO179" s="19"/>
      <c r="EP179" s="19"/>
      <c r="EQ179" s="19"/>
      <c r="ER179" s="19"/>
      <c r="ES179" s="19"/>
      <c r="ET179" s="19"/>
      <c r="EU179" s="19"/>
      <c r="EV179" s="19"/>
      <c r="EW179" s="19"/>
      <c r="EX179" s="19"/>
      <c r="EY179" s="19"/>
      <c r="EZ179" s="19"/>
      <c r="FA179" s="19"/>
      <c r="FB179" s="19"/>
      <c r="FC179" s="19"/>
      <c r="FD179" s="19"/>
      <c r="FE179" s="19"/>
      <c r="FF179" s="19"/>
      <c r="FG179" s="19"/>
      <c r="FH179" s="19"/>
      <c r="FI179" s="19"/>
    </row>
    <row r="180" spans="1:165" x14ac:dyDescent="0.25">
      <c r="A180" s="48">
        <v>7</v>
      </c>
      <c r="B180" s="49"/>
      <c r="C180" s="49"/>
      <c r="D180" s="32" t="s">
        <v>143</v>
      </c>
      <c r="E180" s="117">
        <f t="shared" ref="E180:E188" ca="1" si="22">$N141</f>
        <v>8.8000000000000007</v>
      </c>
      <c r="F180" s="117">
        <f t="shared" ref="F180:F186" ca="1" si="23">$O141</f>
        <v>8.8000000000000007</v>
      </c>
      <c r="G180" s="42" t="s">
        <v>140</v>
      </c>
      <c r="H180" s="29"/>
      <c r="I180" s="48">
        <v>7</v>
      </c>
      <c r="J180" s="29"/>
      <c r="K180" s="49"/>
      <c r="L180" s="49"/>
      <c r="M180" s="32" t="s">
        <v>143</v>
      </c>
      <c r="N180" s="117">
        <f t="shared" ref="N180:N188" si="24">$E141</f>
        <v>6.7</v>
      </c>
      <c r="O180" s="117">
        <f t="shared" ref="O180:O186" si="25">$F141</f>
        <v>6.7</v>
      </c>
      <c r="P180" s="42" t="s">
        <v>140</v>
      </c>
      <c r="Q180" s="29"/>
      <c r="R180" s="29"/>
      <c r="S180" s="30"/>
      <c r="T180" s="18"/>
      <c r="U180" s="19"/>
      <c r="V180" s="19"/>
      <c r="W180" s="19"/>
      <c r="X180" s="19"/>
      <c r="Y180" s="19"/>
      <c r="Z180" s="19"/>
      <c r="AA180" s="19"/>
      <c r="AB180" s="19"/>
      <c r="AC180" s="19"/>
      <c r="AD180" s="19"/>
      <c r="AE180" s="19"/>
      <c r="AF180" s="143">
        <f t="shared" si="17"/>
        <v>24</v>
      </c>
      <c r="AG180" s="143">
        <f t="shared" si="16"/>
        <v>8.64</v>
      </c>
      <c r="AH180" s="144">
        <f t="shared" si="3"/>
        <v>317.952</v>
      </c>
      <c r="AI180" s="145">
        <f t="shared" si="4"/>
        <v>0.97826086956521752</v>
      </c>
      <c r="AJ180" s="145">
        <f t="shared" si="5"/>
        <v>8.4521739130434792</v>
      </c>
      <c r="AK180" s="145">
        <f t="shared" si="6"/>
        <v>0.39130434782608459</v>
      </c>
      <c r="AL180" s="145">
        <f t="shared" si="7"/>
        <v>8.4529287102588508</v>
      </c>
      <c r="AM180" s="146"/>
      <c r="AN180" s="145">
        <f>MAX(0,Table7[[#This Row],[I_L]]-0.5*Table7[[#This Row],[I_L pkpk]])</f>
        <v>8.2565217391304362</v>
      </c>
      <c r="AO180" s="145">
        <f>Table7[[#This Row],[I_L]]+0.5*Table7[[#This Row],[I_L pkpk]]</f>
        <v>8.6478260869565222</v>
      </c>
      <c r="AP180" s="145">
        <f ca="1">IF(VACnom&gt;Vbat, (VGS_S-(TI_MOSFET_S_VTH_H_BU+Table7[[#This Row],[I_L]]/TI_MOSFET_S_gFS_H_BU))/3.4, (VGS_S-(TI_MOSFET_S_VTH_L_BO+Table7[[#This Row],[I_L]]/TI_MOSFET_S_gFS_L_BO))/3.4 )</f>
        <v>2.995583316938816</v>
      </c>
      <c r="AQ180" s="145">
        <f ca="1">IF(VACnom&gt;Vbat, ((TI_MOSFET_S_VTH_H_BU+Table7[[#This Row],[I_L]]/TI_MOSFET_S_gFS_H_BU))/1, ((TI_MOSFET_S_VTH_L_BO+Table7[[#This Row],[I_L]]/TI_MOSFET_S_gFS_L_BO))/1 )</f>
        <v>1.8150167224080267</v>
      </c>
      <c r="AR180" s="145">
        <f ca="1">IF(VACnom&gt;Vbat, (TI_MOSFET_S_QGD_H_BU+TI_MOSFET_S_QGS_H_BU)*10^-9/Table7[[#This Row],[Ion (A)]], (TI_MOSFET_S_QGD_L_BO+TI_MOSFET_S_QGS_L_BO)*10^-9/Table7[[#This Row],[Ion (A)]])/10^-9</f>
        <v>9.6141542240363052</v>
      </c>
      <c r="AS180" s="145">
        <f ca="1">IF(VACnom&gt;Vbat, (TI_MOSFET_S_QGD_H_BU+TI_MOSFET_S_QGS_H_BU)*10^-9/Table7[[#This Row],[Ioff (A)]], (TI_MOSFET_S_QGD_L_BO+TI_MOSFET_S_QGS_L_BO)*10^-9/Table7[[#This Row],[Ioff (A)]])/10^-9</f>
        <v>15.867622399528276</v>
      </c>
      <c r="AT180" s="145">
        <f ca="1" xml:space="preserve"> 0.5*VACnom*Table7[[#This Row],[Ivalley (A)]]*Table7[[#This Row],[ton (ns)]]*10^-9*Fsw*10^3+0.5*VACnom*Table7[[#This Row],[Ipeak (A)]]*Table7[[#This Row],[toff (ns)]]*10^-9*Fsw*10^3/10^-3</f>
        <v>505.26333170453114</v>
      </c>
      <c r="AU180" s="145">
        <f t="shared" ca="1" si="8"/>
        <v>268.64000000000004</v>
      </c>
      <c r="AV180" s="145" t="e">
        <f t="shared" si="9"/>
        <v>#VALUE!</v>
      </c>
      <c r="AW180" s="145">
        <f t="shared" ca="1" si="10"/>
        <v>566.72000000000025</v>
      </c>
      <c r="AX180" s="145">
        <f ca="1">IF(VACnom&gt;Vbat, TI_MOSFET_S_VSD_L_BU*Table7[[#This Row],[Ivalley (A)]]*Fsw*10^3*40*10^-9+TI_MOSFET_S_VSD_L_BU*Table7[[#This Row],[Ipeak (A)]]*Fsw*10^3*30*10^-9, TI_MOSFET_S_VSD_H_BO*Table7[[#This Row],[Ivalley (A)]]*Fsw*10^3*40*10^-9+TI_MOSFET_S_VSD_H_BO*Table7[[#This Row],[Ipeak (A)]]*Fsw*10^3*30*10^-9)/10^-3</f>
        <v>84.916173913043508</v>
      </c>
      <c r="AY180" s="145" t="e">
        <f t="shared" si="11"/>
        <v>#VALUE!</v>
      </c>
      <c r="AZ180" s="145" t="e">
        <f>IF(VACnom&lt;Vbat, Table7[[#This Row],[Duty Cycle]]*Table7[[#This Row],[I_L RMS]]^2*TI_MOSFET_S_RDSON_H_BU*10^-3, (1-Table7[[#This Row],[Duty Cycle]])*Table7[[#This Row],[I_L RMS]]^2*TI_MOSFET_S_RDSON_H_BO*10^-3)/10^-3</f>
        <v>#VALUE!</v>
      </c>
      <c r="BA180" s="145" t="e">
        <f ca="1">IF(VACnom&gt;Vbat, Table7[[#This Row],[PIV (mW)]]+Table7[[#This Row],[Pqoss (mW)]]+Table7[[#This Row],[Pgate_top (mW)]], Table7[[#This Row],[PRR (mW)]]+Table7[[#This Row],[Pdead (mW)]]+Table7[[#This Row],[Pgate_top (mW)]])</f>
        <v>#VALUE!</v>
      </c>
      <c r="BB180" s="145" t="e">
        <f ca="1">Table7[[#This Row],[Pcon_top (mW)]]+Table7[[#This Row],[Psw_top (mW)]]</f>
        <v>#VALUE!</v>
      </c>
      <c r="BC180" s="145" t="e">
        <f>IF(VACnom&gt;Vbat, (1-Table7[[#This Row],[Duty Cycle]])*Table7[[#This Row],[I_L RMS]]^2*TI_MOSFET_S_RDSON_L_BU*10^-3, Table7[[#This Row],[Duty Cycle]]*Table7[[#This Row],[I_L RMS]]^2*TI_MOSFET_S_RDSON_L_BO*10^-3)/10^-3</f>
        <v>#VALUE!</v>
      </c>
      <c r="BD180" s="145" t="e">
        <f ca="1">IF(VACnom&gt;Vbat, Table7[[#This Row],[PRR (mW)]]+Table7[[#This Row],[Pdead (mW)]]+Table7[[#This Row],[Pgate_bottom (mW)]], Table7[[#This Row],[PIV (mW)]]+Table7[[#This Row],[Pqoss (mW)]]+Table7[[#This Row],[Pgate_bottom (mW)]])</f>
        <v>#VALUE!</v>
      </c>
      <c r="BE180" s="147" t="e">
        <f ca="1">Table7[[#This Row],[Pcon_bottom (mW)]]+Table7[[#This Row],[Psw_bottom (mW)]]</f>
        <v>#VALUE!</v>
      </c>
      <c r="BF180" s="145" t="e">
        <f ca="1">Table7[[#This Row],[Pbottom (mW)]]+Table7[[#This Row],[Ptop (mW)]]</f>
        <v>#VALUE!</v>
      </c>
      <c r="BG180" s="142"/>
      <c r="BH180" s="145">
        <f>MAX(0,Table7[[#This Row],[I_L]]-0.5*Table7[[#This Row],[I_L pkpk]])</f>
        <v>8.2565217391304362</v>
      </c>
      <c r="BI180" s="145">
        <f>Table7[[#This Row],[I_L]]+0.5*Table7[[#This Row],[I_L pkpk]]</f>
        <v>8.6478260869565222</v>
      </c>
      <c r="BJ180" s="145">
        <f>IF(VACnom&gt;Vbat, (VGS_S-(C_MOSFET_S_VTH_H_BU+Table7[[#This Row],[I_L]]/C_MOSFET_S_gFS_H_BU))/3.4, (VGS_S-(C_MOSFET_S_VTH_L_BO+Table7[[#This Row],[I_L]]/C_MOSFET_S_gFS_L_BO))/3.4 )</f>
        <v>2.9491577740541493</v>
      </c>
      <c r="BK180" s="145">
        <f>IF(VACnom&gt;Vbat, ((C_MOSFET_S_VTH_H_BU+Table7[[#This Row],[I_L]]/C_MOSFET_S_gFS_H_BU))/1, ((C_MOSFET_S_VTH_L_BO+Table7[[#This Row],[I_L]]/C_MOSFET_S_gFS_L_BO))/1 )</f>
        <v>1.9728635682158919</v>
      </c>
      <c r="BL180" s="145">
        <f>IF(VACnom&gt;Vbat, (C_MOSFET_S_QGD_H_BU+C_MOSFET_S_QGS_H_BU)*10^-9/Table7[[#This Row],[Ion (A) C]], (C_MOSFET_S_QGD_L_BO+C_MOSFET_S_QGS_L_BO)*10^-9/Table7[[#This Row],[Ion (A) C]])/10^-9</f>
        <v>5.2557378029634725</v>
      </c>
      <c r="BM180" s="145">
        <f>IF(VACnom&gt;Vbat, (C_MOSFET_S_QGD_H_BU+C_MOSFET_S_QGS_H_BU)*10^-9/Table7[[#This Row],[Ioff (A) C]], (C_MOSFET_S_QGD_L_BO+C_MOSFET_S_QGS_L_BO)*10^-9/Table7[[#This Row],[Ioff (A) C]])/10^-9</f>
        <v>7.8566000455961706</v>
      </c>
      <c r="BN180" s="145">
        <f xml:space="preserve"> 0.5*VACnom*Table7[[#This Row],[Ivalley (A) C]]*Table7[[#This Row],[ton (ns) C]]*10^-9*Fsw*10^3+0.5*VACnom*Table7[[#This Row],[Ipeak (A) C]]*Table7[[#This Row],[toff (ns) C]]*10^-9*Fsw*10^3/10^-3</f>
        <v>250.1881301884579</v>
      </c>
      <c r="BO180" s="145">
        <f t="shared" si="12"/>
        <v>305.44000000000011</v>
      </c>
      <c r="BP180" s="145">
        <f t="shared" si="13"/>
        <v>357.69600000000014</v>
      </c>
      <c r="BQ180" s="145">
        <f t="shared" si="14"/>
        <v>1067.2000000000003</v>
      </c>
      <c r="BR180" s="145">
        <f>IF(VACnom&gt;Vbat, C_MOSFET_S_VSD_L_BU*Table7[[#This Row],[Ivalley (A) C]]*Fsw*10^3*40*10^-9+C_MOSFET_S_VSD_L_BU*Table7[[#This Row],[Ipeak (A) C]]*Fsw*10^3*30*10^-9, C_MOSFET_S_VSD_H_BO*Table7[[#This Row],[Ivalley (A) C]]*Fsw*10^3*40*10^-9+C_MOSFET_S_VSD_H_BO*Table7[[#This Row],[Ipeak (A) C]]*Fsw*10^3*30*10^-9)/10^-3</f>
        <v>94.35130434782613</v>
      </c>
      <c r="BS180" s="145">
        <f t="shared" si="15"/>
        <v>357.69600000000014</v>
      </c>
      <c r="BT180" s="145">
        <f>IF(VACnom&lt;Vbat, Table7[[#This Row],[Duty Cycle]]*Table7[[#This Row],[I_L RMS]]^2*C_MOSFET_S_RDSON_H_BU*10^-3, (1-Table7[[#This Row],[Duty Cycle]])*Table7[[#This Row],[I_L RMS]]^2*C_MOSFET_S_RDSON_H_BO*10^-3)/10^-3</f>
        <v>4.0385915180405796</v>
      </c>
      <c r="BU180" s="145">
        <f>IF(VACnom&gt;Vbat, Table7[[#This Row],[PIV (mW) C]]+Table7[[#This Row],[PQoss (mW) C]]+Table7[[#This Row],[Pgate_top (mW) C]], Table7[[#This Row],[PRR (mW) C]]+Table7[[#This Row],[Pdead (mW) C]]+Table7[[#This Row],[Pgate_top (mW) C]])</f>
        <v>913.32413018845818</v>
      </c>
      <c r="BV180" s="145">
        <f>Table7[[#This Row],[Pcon_top (mW) C]]+Table7[[#This Row],[Psw_top (mW) C]]</f>
        <v>917.36272170649875</v>
      </c>
      <c r="BW180" s="145">
        <f>IF(VACnom&gt;Vbat, (1-Table7[[#This Row],[Duty Cycle]])*Table7[[#This Row],[I_L RMS]]^2*C_MOSFET_S_RDSON_L_BU*10^-3, Table7[[#This Row],[Duty Cycle]]*Table7[[#This Row],[I_L RMS]]^2*C_MOSFET_S_RDSON_L_BO*10^-3)/10^-3</f>
        <v>2.6406175310265327</v>
      </c>
      <c r="BX180" s="145">
        <f>IF(VACnom&gt;Vbat, Table7[[#This Row],[PRR (mW) C]]+Table7[[#This Row],[Pdead (mW) C]]+Table7[[#This Row],[Pgate_bottom (mW) C]], Table7[[#This Row],[PIV (mW) C]]+Table7[[#This Row],[PQoss (mW) C]]+Table7[[#This Row],[Pgate_bottom (mW) C]])</f>
        <v>1519.2473043478265</v>
      </c>
      <c r="BY180" s="145">
        <f>Table7[[#This Row],[Pcon_bottom (mW) C]]+Table7[[#This Row],[Psw_bottom (mV) C]]</f>
        <v>1521.8879218788529</v>
      </c>
      <c r="BZ180" s="145">
        <f>Table7[[#This Row],[Pbottom (mW) C]]+Table7[[#This Row],[Ptop (mW) C]]</f>
        <v>2439.2506435853516</v>
      </c>
      <c r="CA180" s="148"/>
      <c r="CB180" s="144">
        <f>(RAC_SNS*10^-3*(Table7[[#This Row],[IOUT (A)]]*Vbat/VACnom)^2/10^-3)</f>
        <v>142.87848771266545</v>
      </c>
      <c r="CC180" s="144">
        <f>(RBAT_SNS*10^-3*Table7[[#This Row],[IOUT (A)]]^2)/10^-3</f>
        <v>373.24799999999999</v>
      </c>
      <c r="CD180" s="144">
        <f>IF(VACnom&gt;Vbat,(L_DRC*10^-3*(Table7[[#This Row],[IOUT (A)]])^2/10^-3),(L_DRC*10^-3*(Table7[[#This Row],[IOUT (A)]]*Vbat/VACnom)^2/10^-3))</f>
        <v>373.24799999999999</v>
      </c>
      <c r="CE180" s="152"/>
      <c r="CF180" s="145">
        <f>(Table7[[#This Row],[R_AC (mW)]]+Table7[[#This Row],[R_SR (mW)]]+Table7[[#This Row],[Inductor Loss (mW)]])/10^3</f>
        <v>0.88937448771266558</v>
      </c>
      <c r="CG180" s="145" t="e">
        <f ca="1">Table7[[#This Row],[Total TI (mW)]]/10^3</f>
        <v>#VALUE!</v>
      </c>
      <c r="CH180" s="145" t="e">
        <f ca="1">Table7[[#This Row],[Total Sense Loss]]+Table7[[#This Row],[Total MOSFET Loss]]</f>
        <v>#VALUE!</v>
      </c>
      <c r="CI180" s="149" t="e">
        <f ca="1">IF(Table7[[#This Row],[POUT (W)]]=0,0,(Table7[[#This Row],[POUT (W)]])/(Table7[[#This Row],[POUT (W)]]+Table7[[#This Row],[Total Power Loss (W)]]))*100</f>
        <v>#VALUE!</v>
      </c>
      <c r="CJ180" s="153"/>
      <c r="CK180" s="145">
        <f>(Table7[[#This Row],[R_AC (mW)]]+Table7[[#This Row],[R_SR (mW)]]+Table7[[#This Row],[Inductor Loss (mW)]])/10^3</f>
        <v>0.88937448771266558</v>
      </c>
      <c r="CL180" s="145">
        <f>Table7[[#This Row],[Total (mW) C]]/10^3</f>
        <v>2.4392506435853516</v>
      </c>
      <c r="CM180" s="145">
        <f>Table7[[#This Row],[Total Sense Loss C]]+Table7[[#This Row],[Total MOSFET Loss C]]</f>
        <v>3.3286251312980171</v>
      </c>
      <c r="CN180" s="149">
        <f>IF(Table7[[#This Row],[POUT (W)]]=0,0,(Table7[[#This Row],[POUT (W)]])/(Table7[[#This Row],[POUT (W)]]+Table7[[#This Row],[Total Power Loss (W) C]]))*100</f>
        <v>98.96395086696009</v>
      </c>
      <c r="CO180" s="153"/>
      <c r="CP180" s="149">
        <f>IF(MOSFET_S=Custom_MOSFET,Table7[[#This Row],[Total Sense Loss C]],Table7[[#This Row],[Total Sense Loss]])</f>
        <v>0.88937448771266558</v>
      </c>
      <c r="CQ180" s="149">
        <f>IF(MOSFET_S=Custom_MOSFET,Table7[[#This Row],[Total MOSFET Loss C]],Table7[[#This Row],[Total MOSFET Loss]])</f>
        <v>2.4392506435853516</v>
      </c>
      <c r="CR180" s="149">
        <f>IF(MOSFET_S=Custom_MOSFET,Table7[[#This Row],[Efficiency C]],Table7[[#This Row],[Efficiency]])</f>
        <v>98.96395086696009</v>
      </c>
      <c r="CS180" s="153"/>
      <c r="CT180" s="149">
        <f>IF(MOSFET_S=Compare_MOSFET, Table7[[#This Row],[Total Sense Loss C]], -100)</f>
        <v>-100</v>
      </c>
      <c r="CU180" s="149">
        <f>IF(MOSFET_S=Compare_MOSFET, Table7[[#This Row],[Total MOSFET Loss C]], -100)</f>
        <v>-100</v>
      </c>
      <c r="CV180" s="149">
        <f>IF(MOSFET_S=Compare_MOSFET, Table7[[#This Row],[Efficiency C]], -100)</f>
        <v>-100</v>
      </c>
      <c r="CW180" s="153"/>
      <c r="CX180" s="149">
        <f ca="1">IF(Save_Sel=CLR_Save,  Table7[[#This Row],[Total Sense Loss P1]], Table7[[#This Row],[Total Sense Loss P1 Saved]])</f>
        <v>0.88937448771266558</v>
      </c>
      <c r="CY180" s="149">
        <f ca="1">IF(Save_Sel=CLR_Save,  Table7[[#This Row],[Total MOSFET Loss P1]], Table7[[#This Row],[Total MOSFET Loss P1 Saved]] )</f>
        <v>2.4392506435853516</v>
      </c>
      <c r="CZ180" s="149">
        <f ca="1">IF(Save_Sel=CLR_Save, Table7[[#This Row],[Efficiency P1]], Table7[[#This Row],[Efficiency P1 Saved]])</f>
        <v>98.96395086696009</v>
      </c>
      <c r="DA180" s="153"/>
      <c r="DB180" s="149">
        <f ca="1">IF(Save_Sel=CLR_Save,  Table7[[#This Row],[Total Sense Loss P2]], Table7[[#This Row],[Total Sense Loss P2 Saved]])</f>
        <v>-100</v>
      </c>
      <c r="DC180" s="149">
        <f ca="1">IF(Save_Sel=CLR_Save,  Table7[[#This Row],[Total MOSFET Loss P2]], Table7[[#This Row],[Total MOSFET Loss P2 Saved]] )</f>
        <v>-100</v>
      </c>
      <c r="DD180" s="149">
        <f ca="1">IF(Save_Sel=CLR_Save, Table7[[#This Row],[Efficiency P2]], Table7[[#This Row],[Efficiency P2 Saved]])</f>
        <v>-100</v>
      </c>
      <c r="DE180" s="153"/>
      <c r="DF180" s="19"/>
      <c r="DG180" s="19"/>
      <c r="DH180" s="19"/>
      <c r="DI180" s="19"/>
      <c r="DJ180" s="19"/>
      <c r="DK180" s="19"/>
      <c r="DL180" s="19"/>
      <c r="DM180" s="19"/>
      <c r="DN180" s="19"/>
      <c r="DO180" s="19"/>
      <c r="DP180" s="19"/>
      <c r="DQ180" s="19"/>
      <c r="DR180" s="19"/>
      <c r="DS180" s="19"/>
      <c r="DT180" s="19"/>
      <c r="DU180" s="19"/>
      <c r="DV180" s="19"/>
      <c r="DW180" s="19"/>
      <c r="DX180" s="19"/>
      <c r="DY180" s="19"/>
      <c r="DZ180" s="19"/>
      <c r="EA180" s="19"/>
      <c r="EB180" s="19"/>
      <c r="EC180" s="19"/>
      <c r="ED180" s="19"/>
      <c r="EE180" s="19"/>
      <c r="EF180" s="19"/>
      <c r="EG180" s="19"/>
      <c r="EH180" s="19"/>
      <c r="EI180" s="19"/>
      <c r="EJ180" s="19"/>
      <c r="EK180" s="19"/>
      <c r="EL180" s="19"/>
      <c r="EM180" s="19"/>
      <c r="EN180" s="19"/>
      <c r="EO180" s="19"/>
      <c r="EP180" s="19"/>
      <c r="EQ180" s="19"/>
      <c r="ER180" s="19"/>
      <c r="ES180" s="19"/>
      <c r="ET180" s="19"/>
      <c r="EU180" s="19"/>
      <c r="EV180" s="19"/>
      <c r="EW180" s="19"/>
      <c r="EX180" s="19"/>
      <c r="EY180" s="19"/>
      <c r="EZ180" s="19"/>
      <c r="FA180" s="19"/>
      <c r="FB180" s="19"/>
      <c r="FC180" s="19"/>
      <c r="FD180" s="19"/>
      <c r="FE180" s="19"/>
      <c r="FF180" s="19"/>
      <c r="FG180" s="19"/>
      <c r="FH180" s="19"/>
      <c r="FI180" s="19"/>
    </row>
    <row r="181" spans="1:165" x14ac:dyDescent="0.25">
      <c r="A181" s="48">
        <v>8</v>
      </c>
      <c r="B181" s="49"/>
      <c r="C181" s="49"/>
      <c r="D181" s="32" t="s">
        <v>144</v>
      </c>
      <c r="E181" s="117">
        <f t="shared" ca="1" si="22"/>
        <v>20</v>
      </c>
      <c r="F181" s="117">
        <f t="shared" ca="1" si="23"/>
        <v>20</v>
      </c>
      <c r="G181" s="42" t="s">
        <v>140</v>
      </c>
      <c r="H181" s="29"/>
      <c r="I181" s="48">
        <v>8</v>
      </c>
      <c r="J181" s="29"/>
      <c r="K181" s="49"/>
      <c r="L181" s="49"/>
      <c r="M181" s="32" t="s">
        <v>144</v>
      </c>
      <c r="N181" s="117">
        <f t="shared" si="24"/>
        <v>8.8000000000000007</v>
      </c>
      <c r="O181" s="117">
        <f t="shared" si="25"/>
        <v>8.8000000000000007</v>
      </c>
      <c r="P181" s="42" t="s">
        <v>140</v>
      </c>
      <c r="Q181" s="29"/>
      <c r="R181" s="29"/>
      <c r="S181" s="30"/>
      <c r="T181" s="18"/>
      <c r="U181" s="19"/>
      <c r="V181" s="19"/>
      <c r="W181" s="19"/>
      <c r="X181" s="19"/>
      <c r="Y181" s="19"/>
      <c r="Z181" s="19"/>
      <c r="AA181" s="19"/>
      <c r="AB181" s="19"/>
      <c r="AC181" s="19"/>
      <c r="AD181" s="19"/>
      <c r="AE181" s="19"/>
      <c r="AF181" s="143">
        <f t="shared" si="17"/>
        <v>25</v>
      </c>
      <c r="AG181" s="143">
        <f t="shared" si="16"/>
        <v>9</v>
      </c>
      <c r="AH181" s="144">
        <f t="shared" si="3"/>
        <v>331.2</v>
      </c>
      <c r="AI181" s="145">
        <f t="shared" si="4"/>
        <v>0.97826086956521752</v>
      </c>
      <c r="AJ181" s="145">
        <f t="shared" si="5"/>
        <v>8.804347826086957</v>
      </c>
      <c r="AK181" s="145">
        <f t="shared" si="6"/>
        <v>0.39130434782608459</v>
      </c>
      <c r="AL181" s="145">
        <f t="shared" si="7"/>
        <v>8.8050724339500892</v>
      </c>
      <c r="AM181" s="146"/>
      <c r="AN181" s="145">
        <f>MAX(0,Table7[[#This Row],[I_L]]-0.5*Table7[[#This Row],[I_L pkpk]])</f>
        <v>8.608695652173914</v>
      </c>
      <c r="AO181" s="145">
        <f>Table7[[#This Row],[I_L]]+0.5*Table7[[#This Row],[I_L pkpk]]</f>
        <v>9</v>
      </c>
      <c r="AP181" s="145">
        <f ca="1">IF(VACnom&gt;Vbat, (VGS_S-(TI_MOSFET_S_VTH_H_BU+Table7[[#This Row],[I_L]]/TI_MOSFET_S_gFS_H_BU))/3.4, (VGS_S-(TI_MOSFET_S_VTH_L_BO+Table7[[#This Row],[I_L]]/TI_MOSFET_S_gFS_L_BO))/3.4 )</f>
        <v>2.9947865433798939</v>
      </c>
      <c r="AQ181" s="145">
        <f ca="1">IF(VACnom&gt;Vbat, ((TI_MOSFET_S_VTH_H_BU+Table7[[#This Row],[I_L]]/TI_MOSFET_S_gFS_H_BU))/1, ((TI_MOSFET_S_VTH_L_BO+Table7[[#This Row],[I_L]]/TI_MOSFET_S_gFS_L_BO))/1 )</f>
        <v>1.8177257525083612</v>
      </c>
      <c r="AR181" s="145">
        <f ca="1">IF(VACnom&gt;Vbat, (TI_MOSFET_S_QGD_H_BU+TI_MOSFET_S_QGS_H_BU)*10^-9/Table7[[#This Row],[Ion (A)]], (TI_MOSFET_S_QGD_L_BO+TI_MOSFET_S_QGS_L_BO)*10^-9/Table7[[#This Row],[Ion (A)]])/10^-9</f>
        <v>9.6167121037937253</v>
      </c>
      <c r="AS181" s="145">
        <f ca="1">IF(VACnom&gt;Vbat, (TI_MOSFET_S_QGD_H_BU+TI_MOSFET_S_QGS_H_BU)*10^-9/Table7[[#This Row],[Ioff (A)]], (TI_MOSFET_S_QGD_L_BO+TI_MOSFET_S_QGS_L_BO)*10^-9/Table7[[#This Row],[Ioff (A)]])/10^-9</f>
        <v>15.843974241030359</v>
      </c>
      <c r="AT181" s="145">
        <f ca="1" xml:space="preserve"> 0.5*VACnom*Table7[[#This Row],[Ivalley (A)]]*Table7[[#This Row],[ton (ns)]]*10^-9*Fsw*10^3+0.5*VACnom*Table7[[#This Row],[Ipeak (A)]]*Table7[[#This Row],[toff (ns)]]*10^-9*Fsw*10^3/10^-3</f>
        <v>525.05708430237382</v>
      </c>
      <c r="AU181" s="145">
        <f t="shared" ca="1" si="8"/>
        <v>268.64000000000004</v>
      </c>
      <c r="AV181" s="145" t="e">
        <f t="shared" si="9"/>
        <v>#VALUE!</v>
      </c>
      <c r="AW181" s="145">
        <f t="shared" ca="1" si="10"/>
        <v>566.72000000000025</v>
      </c>
      <c r="AX181" s="145">
        <f ca="1">IF(VACnom&gt;Vbat, TI_MOSFET_S_VSD_L_BU*Table7[[#This Row],[Ivalley (A)]]*Fsw*10^3*40*10^-9+TI_MOSFET_S_VSD_L_BU*Table7[[#This Row],[Ipeak (A)]]*Fsw*10^3*30*10^-9, TI_MOSFET_S_VSD_H_BO*Table7[[#This Row],[Ivalley (A)]]*Fsw*10^3*40*10^-9+TI_MOSFET_S_VSD_H_BO*Table7[[#This Row],[Ipeak (A)]]*Fsw*10^3*30*10^-9)/10^-3</f>
        <v>88.466086956521778</v>
      </c>
      <c r="AY181" s="145" t="e">
        <f t="shared" si="11"/>
        <v>#VALUE!</v>
      </c>
      <c r="AZ181" s="145" t="e">
        <f>IF(VACnom&lt;Vbat, Table7[[#This Row],[Duty Cycle]]*Table7[[#This Row],[I_L RMS]]^2*TI_MOSFET_S_RDSON_H_BU*10^-3, (1-Table7[[#This Row],[Duty Cycle]])*Table7[[#This Row],[I_L RMS]]^2*TI_MOSFET_S_RDSON_H_BO*10^-3)/10^-3</f>
        <v>#VALUE!</v>
      </c>
      <c r="BA181" s="145" t="e">
        <f ca="1">IF(VACnom&gt;Vbat, Table7[[#This Row],[PIV (mW)]]+Table7[[#This Row],[Pqoss (mW)]]+Table7[[#This Row],[Pgate_top (mW)]], Table7[[#This Row],[PRR (mW)]]+Table7[[#This Row],[Pdead (mW)]]+Table7[[#This Row],[Pgate_top (mW)]])</f>
        <v>#VALUE!</v>
      </c>
      <c r="BB181" s="145" t="e">
        <f ca="1">Table7[[#This Row],[Pcon_top (mW)]]+Table7[[#This Row],[Psw_top (mW)]]</f>
        <v>#VALUE!</v>
      </c>
      <c r="BC181" s="145" t="e">
        <f>IF(VACnom&gt;Vbat, (1-Table7[[#This Row],[Duty Cycle]])*Table7[[#This Row],[I_L RMS]]^2*TI_MOSFET_S_RDSON_L_BU*10^-3, Table7[[#This Row],[Duty Cycle]]*Table7[[#This Row],[I_L RMS]]^2*TI_MOSFET_S_RDSON_L_BO*10^-3)/10^-3</f>
        <v>#VALUE!</v>
      </c>
      <c r="BD181" s="145" t="e">
        <f ca="1">IF(VACnom&gt;Vbat, Table7[[#This Row],[PRR (mW)]]+Table7[[#This Row],[Pdead (mW)]]+Table7[[#This Row],[Pgate_bottom (mW)]], Table7[[#This Row],[PIV (mW)]]+Table7[[#This Row],[Pqoss (mW)]]+Table7[[#This Row],[Pgate_bottom (mW)]])</f>
        <v>#VALUE!</v>
      </c>
      <c r="BE181" s="147" t="e">
        <f ca="1">Table7[[#This Row],[Pcon_bottom (mW)]]+Table7[[#This Row],[Psw_bottom (mW)]]</f>
        <v>#VALUE!</v>
      </c>
      <c r="BF181" s="145" t="e">
        <f ca="1">Table7[[#This Row],[Pbottom (mW)]]+Table7[[#This Row],[Ptop (mW)]]</f>
        <v>#VALUE!</v>
      </c>
      <c r="BG181" s="142"/>
      <c r="BH181" s="145">
        <f>MAX(0,Table7[[#This Row],[I_L]]-0.5*Table7[[#This Row],[I_L pkpk]])</f>
        <v>8.608695652173914</v>
      </c>
      <c r="BI181" s="145">
        <f>Table7[[#This Row],[I_L]]+0.5*Table7[[#This Row],[I_L pkpk]]</f>
        <v>9</v>
      </c>
      <c r="BJ181" s="145">
        <f>IF(VACnom&gt;Vbat, (VGS_S-(C_MOSFET_S_VTH_H_BU+Table7[[#This Row],[I_L]]/C_MOSFET_S_gFS_H_BU))/3.4, (VGS_S-(C_MOSFET_S_VTH_L_BO+Table7[[#This Row],[I_L]]/C_MOSFET_S_gFS_L_BO))/3.4 )</f>
        <v>2.9482648381691505</v>
      </c>
      <c r="BK181" s="145">
        <f>IF(VACnom&gt;Vbat, ((C_MOSFET_S_VTH_H_BU+Table7[[#This Row],[I_L]]/C_MOSFET_S_gFS_H_BU))/1, ((C_MOSFET_S_VTH_L_BO+Table7[[#This Row],[I_L]]/C_MOSFET_S_gFS_L_BO))/1 )</f>
        <v>1.9758995502248875</v>
      </c>
      <c r="BL181" s="145">
        <f>IF(VACnom&gt;Vbat, (C_MOSFET_S_QGD_H_BU+C_MOSFET_S_QGS_H_BU)*10^-9/Table7[[#This Row],[Ion (A) C]], (C_MOSFET_S_QGD_L_BO+C_MOSFET_S_QGS_L_BO)*10^-9/Table7[[#This Row],[Ion (A) C]])/10^-9</f>
        <v>5.2573295992043159</v>
      </c>
      <c r="BM181" s="145">
        <f>IF(VACnom&gt;Vbat, (C_MOSFET_S_QGD_H_BU+C_MOSFET_S_QGS_H_BU)*10^-9/Table7[[#This Row],[Ioff (A) C]], (C_MOSFET_S_QGD_L_BO+C_MOSFET_S_QGS_L_BO)*10^-9/Table7[[#This Row],[Ioff (A) C]])/10^-9</f>
        <v>7.8445283305195668</v>
      </c>
      <c r="BN181" s="145">
        <f xml:space="preserve"> 0.5*VACnom*Table7[[#This Row],[Ivalley (A) C]]*Table7[[#This Row],[ton (ns) C]]*10^-9*Fsw*10^3+0.5*VACnom*Table7[[#This Row],[Ipeak (A) C]]*Table7[[#This Row],[toff (ns) C]]*10^-9*Fsw*10^3/10^-3</f>
        <v>259.97733050851099</v>
      </c>
      <c r="BO181" s="145">
        <f t="shared" si="12"/>
        <v>305.44000000000011</v>
      </c>
      <c r="BP181" s="145">
        <f t="shared" si="13"/>
        <v>357.69600000000014</v>
      </c>
      <c r="BQ181" s="145">
        <f t="shared" si="14"/>
        <v>1067.2000000000003</v>
      </c>
      <c r="BR181" s="145">
        <f>IF(VACnom&gt;Vbat, C_MOSFET_S_VSD_L_BU*Table7[[#This Row],[Ivalley (A) C]]*Fsw*10^3*40*10^-9+C_MOSFET_S_VSD_L_BU*Table7[[#This Row],[Ipeak (A) C]]*Fsw*10^3*30*10^-9, C_MOSFET_S_VSD_H_BO*Table7[[#This Row],[Ivalley (A) C]]*Fsw*10^3*40*10^-9+C_MOSFET_S_VSD_H_BO*Table7[[#This Row],[Ipeak (A) C]]*Fsw*10^3*30*10^-9)/10^-3</f>
        <v>98.295652173913084</v>
      </c>
      <c r="BS181" s="145">
        <f t="shared" si="15"/>
        <v>357.69600000000014</v>
      </c>
      <c r="BT181" s="145">
        <f>IF(VACnom&lt;Vbat, Table7[[#This Row],[Duty Cycle]]*Table7[[#This Row],[I_L RMS]]^2*C_MOSFET_S_RDSON_H_BU*10^-3, (1-Table7[[#This Row],[Duty Cycle]])*Table7[[#This Row],[I_L RMS]]^2*C_MOSFET_S_RDSON_H_BO*10^-3)/10^-3</f>
        <v>4.382090901619109</v>
      </c>
      <c r="BU181" s="145">
        <f>IF(VACnom&gt;Vbat, Table7[[#This Row],[PIV (mW) C]]+Table7[[#This Row],[PQoss (mW) C]]+Table7[[#This Row],[Pgate_top (mW) C]], Table7[[#This Row],[PRR (mW) C]]+Table7[[#This Row],[Pdead (mW) C]]+Table7[[#This Row],[Pgate_top (mW) C]])</f>
        <v>923.11333050851124</v>
      </c>
      <c r="BV181" s="145">
        <f>Table7[[#This Row],[Pcon_top (mW) C]]+Table7[[#This Row],[Psw_top (mW) C]]</f>
        <v>927.49542141013035</v>
      </c>
      <c r="BW181" s="145">
        <f>IF(VACnom&gt;Vbat, (1-Table7[[#This Row],[Duty Cycle]])*Table7[[#This Row],[I_L RMS]]^2*C_MOSFET_S_RDSON_L_BU*10^-3, Table7[[#This Row],[Duty Cycle]]*Table7[[#This Row],[I_L RMS]]^2*C_MOSFET_S_RDSON_L_BO*10^-3)/10^-3</f>
        <v>2.8652132818278786</v>
      </c>
      <c r="BX181" s="145">
        <f>IF(VACnom&gt;Vbat, Table7[[#This Row],[PRR (mW) C]]+Table7[[#This Row],[Pdead (mW) C]]+Table7[[#This Row],[Pgate_bottom (mW) C]], Table7[[#This Row],[PIV (mW) C]]+Table7[[#This Row],[PQoss (mW) C]]+Table7[[#This Row],[Pgate_bottom (mW) C]])</f>
        <v>1523.1916521739136</v>
      </c>
      <c r="BY181" s="145">
        <f>Table7[[#This Row],[Pcon_bottom (mW) C]]+Table7[[#This Row],[Psw_bottom (mV) C]]</f>
        <v>1526.0568654557414</v>
      </c>
      <c r="BZ181" s="145">
        <f>Table7[[#This Row],[Pbottom (mW) C]]+Table7[[#This Row],[Ptop (mW) C]]</f>
        <v>2453.5522868658718</v>
      </c>
      <c r="CA181" s="148"/>
      <c r="CB181" s="144">
        <f>(RAC_SNS*10^-3*(Table7[[#This Row],[IOUT (A)]]*Vbat/VACnom)^2/10^-3)</f>
        <v>155.03308128544424</v>
      </c>
      <c r="CC181" s="144">
        <f>(RBAT_SNS*10^-3*Table7[[#This Row],[IOUT (A)]]^2)/10^-3</f>
        <v>405</v>
      </c>
      <c r="CD181" s="144">
        <f>IF(VACnom&gt;Vbat,(L_DRC*10^-3*(Table7[[#This Row],[IOUT (A)]])^2/10^-3),(L_DRC*10^-3*(Table7[[#This Row],[IOUT (A)]]*Vbat/VACnom)^2/10^-3))</f>
        <v>405</v>
      </c>
      <c r="CE181" s="152"/>
      <c r="CF181" s="145">
        <f>(Table7[[#This Row],[R_AC (mW)]]+Table7[[#This Row],[R_SR (mW)]]+Table7[[#This Row],[Inductor Loss (mW)]])/10^3</f>
        <v>0.96503308128544429</v>
      </c>
      <c r="CG181" s="145" t="e">
        <f ca="1">Table7[[#This Row],[Total TI (mW)]]/10^3</f>
        <v>#VALUE!</v>
      </c>
      <c r="CH181" s="145" t="e">
        <f ca="1">Table7[[#This Row],[Total Sense Loss]]+Table7[[#This Row],[Total MOSFET Loss]]</f>
        <v>#VALUE!</v>
      </c>
      <c r="CI181" s="149" t="e">
        <f ca="1">IF(Table7[[#This Row],[POUT (W)]]=0,0,(Table7[[#This Row],[POUT (W)]])/(Table7[[#This Row],[POUT (W)]]+Table7[[#This Row],[Total Power Loss (W)]]))*100</f>
        <v>#VALUE!</v>
      </c>
      <c r="CJ181" s="153"/>
      <c r="CK181" s="145">
        <f>(Table7[[#This Row],[R_AC (mW)]]+Table7[[#This Row],[R_SR (mW)]]+Table7[[#This Row],[Inductor Loss (mW)]])/10^3</f>
        <v>0.96503308128544429</v>
      </c>
      <c r="CL181" s="145">
        <f>Table7[[#This Row],[Total (mW) C]]/10^3</f>
        <v>2.4535522868658717</v>
      </c>
      <c r="CM181" s="145">
        <f>Table7[[#This Row],[Total Sense Loss C]]+Table7[[#This Row],[Total MOSFET Loss C]]</f>
        <v>3.4185853681513159</v>
      </c>
      <c r="CN181" s="149">
        <f>IF(Table7[[#This Row],[POUT (W)]]=0,0,(Table7[[#This Row],[POUT (W)]])/(Table7[[#This Row],[POUT (W)]]+Table7[[#This Row],[Total Power Loss (W) C]]))*100</f>
        <v>98.978363570454363</v>
      </c>
      <c r="CO181" s="153"/>
      <c r="CP181" s="149">
        <f>IF(MOSFET_S=Custom_MOSFET,Table7[[#This Row],[Total Sense Loss C]],Table7[[#This Row],[Total Sense Loss]])</f>
        <v>0.96503308128544429</v>
      </c>
      <c r="CQ181" s="149">
        <f>IF(MOSFET_S=Custom_MOSFET,Table7[[#This Row],[Total MOSFET Loss C]],Table7[[#This Row],[Total MOSFET Loss]])</f>
        <v>2.4535522868658717</v>
      </c>
      <c r="CR181" s="149">
        <f>IF(MOSFET_S=Custom_MOSFET,Table7[[#This Row],[Efficiency C]],Table7[[#This Row],[Efficiency]])</f>
        <v>98.978363570454363</v>
      </c>
      <c r="CS181" s="153"/>
      <c r="CT181" s="149">
        <f>IF(MOSFET_S=Compare_MOSFET, Table7[[#This Row],[Total Sense Loss C]], -100)</f>
        <v>-100</v>
      </c>
      <c r="CU181" s="149">
        <f>IF(MOSFET_S=Compare_MOSFET, Table7[[#This Row],[Total MOSFET Loss C]], -100)</f>
        <v>-100</v>
      </c>
      <c r="CV181" s="149">
        <f>IF(MOSFET_S=Compare_MOSFET, Table7[[#This Row],[Efficiency C]], -100)</f>
        <v>-100</v>
      </c>
      <c r="CW181" s="153"/>
      <c r="CX181" s="149">
        <f ca="1">IF(Save_Sel=CLR_Save,  Table7[[#This Row],[Total Sense Loss P1]], Table7[[#This Row],[Total Sense Loss P1 Saved]])</f>
        <v>0.96503308128544429</v>
      </c>
      <c r="CY181" s="149">
        <f ca="1">IF(Save_Sel=CLR_Save,  Table7[[#This Row],[Total MOSFET Loss P1]], Table7[[#This Row],[Total MOSFET Loss P1 Saved]] )</f>
        <v>2.4535522868658717</v>
      </c>
      <c r="CZ181" s="149">
        <f ca="1">IF(Save_Sel=CLR_Save, Table7[[#This Row],[Efficiency P1]], Table7[[#This Row],[Efficiency P1 Saved]])</f>
        <v>98.978363570454363</v>
      </c>
      <c r="DA181" s="153"/>
      <c r="DB181" s="149">
        <f ca="1">IF(Save_Sel=CLR_Save,  Table7[[#This Row],[Total Sense Loss P2]], Table7[[#This Row],[Total Sense Loss P2 Saved]])</f>
        <v>-100</v>
      </c>
      <c r="DC181" s="149">
        <f ca="1">IF(Save_Sel=CLR_Save,  Table7[[#This Row],[Total MOSFET Loss P2]], Table7[[#This Row],[Total MOSFET Loss P2 Saved]] )</f>
        <v>-100</v>
      </c>
      <c r="DD181" s="149">
        <f ca="1">IF(Save_Sel=CLR_Save, Table7[[#This Row],[Efficiency P2]], Table7[[#This Row],[Efficiency P2 Saved]])</f>
        <v>-100</v>
      </c>
      <c r="DE181" s="153"/>
      <c r="DF181" s="19"/>
      <c r="DG181" s="19"/>
      <c r="DH181" s="19"/>
      <c r="DI181" s="19"/>
      <c r="DJ181" s="19"/>
      <c r="DK181" s="19"/>
      <c r="DL181" s="19"/>
      <c r="DM181" s="19"/>
      <c r="DN181" s="19"/>
      <c r="DO181" s="19"/>
      <c r="DP181" s="19"/>
      <c r="DQ181" s="19"/>
      <c r="DR181" s="19"/>
      <c r="DS181" s="19"/>
      <c r="DT181" s="19"/>
      <c r="DU181" s="19"/>
      <c r="DV181" s="19"/>
      <c r="DW181" s="19"/>
      <c r="DX181" s="19"/>
      <c r="DY181" s="19"/>
      <c r="DZ181" s="19"/>
      <c r="EA181" s="19"/>
      <c r="EB181" s="19"/>
      <c r="EC181" s="19"/>
      <c r="ED181" s="19"/>
      <c r="EE181" s="19"/>
      <c r="EF181" s="19"/>
      <c r="EG181" s="19"/>
      <c r="EH181" s="19"/>
      <c r="EI181" s="19"/>
      <c r="EJ181" s="19"/>
      <c r="EK181" s="19"/>
      <c r="EL181" s="19"/>
      <c r="EM181" s="19"/>
      <c r="EN181" s="19"/>
      <c r="EO181" s="19"/>
      <c r="EP181" s="19"/>
      <c r="EQ181" s="19"/>
      <c r="ER181" s="19"/>
      <c r="ES181" s="19"/>
      <c r="ET181" s="19"/>
      <c r="EU181" s="19"/>
      <c r="EV181" s="19"/>
      <c r="EW181" s="19"/>
      <c r="EX181" s="19"/>
      <c r="EY181" s="19"/>
      <c r="EZ181" s="19"/>
      <c r="FA181" s="19"/>
      <c r="FB181" s="19"/>
      <c r="FC181" s="19"/>
      <c r="FD181" s="19"/>
      <c r="FE181" s="19"/>
      <c r="FF181" s="19"/>
      <c r="FG181" s="19"/>
      <c r="FH181" s="19"/>
      <c r="FI181" s="19"/>
    </row>
    <row r="182" spans="1:165" x14ac:dyDescent="0.25">
      <c r="A182" s="48">
        <v>9</v>
      </c>
      <c r="B182" s="49"/>
      <c r="C182" s="49"/>
      <c r="D182" s="32" t="s">
        <v>146</v>
      </c>
      <c r="E182" s="117">
        <f t="shared" ca="1" si="22"/>
        <v>73</v>
      </c>
      <c r="F182" s="117">
        <f t="shared" ca="1" si="23"/>
        <v>73</v>
      </c>
      <c r="G182" s="42" t="s">
        <v>140</v>
      </c>
      <c r="H182" s="29"/>
      <c r="I182" s="48">
        <v>9</v>
      </c>
      <c r="J182" s="29"/>
      <c r="K182" s="49"/>
      <c r="L182" s="49"/>
      <c r="M182" s="32" t="s">
        <v>146</v>
      </c>
      <c r="N182" s="117">
        <f t="shared" si="24"/>
        <v>83</v>
      </c>
      <c r="O182" s="117">
        <f t="shared" si="25"/>
        <v>83</v>
      </c>
      <c r="P182" s="42" t="s">
        <v>140</v>
      </c>
      <c r="Q182" s="29"/>
      <c r="R182" s="29"/>
      <c r="S182" s="30"/>
      <c r="T182" s="18"/>
      <c r="U182" s="19"/>
      <c r="V182" s="19"/>
      <c r="W182" s="19"/>
      <c r="X182" s="19"/>
      <c r="Y182" s="19"/>
      <c r="Z182" s="19"/>
      <c r="AA182" s="19"/>
      <c r="AB182" s="19"/>
      <c r="AC182" s="19"/>
      <c r="AD182" s="19"/>
      <c r="AE182" s="19"/>
      <c r="AF182" s="143">
        <f t="shared" si="17"/>
        <v>26</v>
      </c>
      <c r="AG182" s="143">
        <f t="shared" si="16"/>
        <v>9.36</v>
      </c>
      <c r="AH182" s="144">
        <f t="shared" si="3"/>
        <v>344.44799999999998</v>
      </c>
      <c r="AI182" s="145">
        <f t="shared" si="4"/>
        <v>0.97826086956521752</v>
      </c>
      <c r="AJ182" s="145">
        <f t="shared" si="5"/>
        <v>9.1565217391304348</v>
      </c>
      <c r="AK182" s="145">
        <f t="shared" si="6"/>
        <v>0.39130434782608459</v>
      </c>
      <c r="AL182" s="145">
        <f t="shared" si="7"/>
        <v>9.1572184796232676</v>
      </c>
      <c r="AM182" s="146"/>
      <c r="AN182" s="145">
        <f>MAX(0,Table7[[#This Row],[I_L]]-0.5*Table7[[#This Row],[I_L pkpk]])</f>
        <v>8.9608695652173918</v>
      </c>
      <c r="AO182" s="145">
        <f>Table7[[#This Row],[I_L]]+0.5*Table7[[#This Row],[I_L pkpk]]</f>
        <v>9.3521739130434778</v>
      </c>
      <c r="AP182" s="145">
        <f ca="1">IF(VACnom&gt;Vbat, (VGS_S-(TI_MOSFET_S_VTH_H_BU+Table7[[#This Row],[I_L]]/TI_MOSFET_S_gFS_H_BU))/3.4, (VGS_S-(TI_MOSFET_S_VTH_L_BO+Table7[[#This Row],[I_L]]/TI_MOSFET_S_gFS_L_BO))/3.4 )</f>
        <v>2.9939897698209719</v>
      </c>
      <c r="AQ182" s="145">
        <f ca="1">IF(VACnom&gt;Vbat, ((TI_MOSFET_S_VTH_H_BU+Table7[[#This Row],[I_L]]/TI_MOSFET_S_gFS_H_BU))/1, ((TI_MOSFET_S_VTH_L_BO+Table7[[#This Row],[I_L]]/TI_MOSFET_S_gFS_L_BO))/1 )</f>
        <v>1.8204347826086957</v>
      </c>
      <c r="AR182" s="145">
        <f ca="1">IF(VACnom&gt;Vbat, (TI_MOSFET_S_QGD_H_BU+TI_MOSFET_S_QGS_H_BU)*10^-9/Table7[[#This Row],[Ion (A)]], (TI_MOSFET_S_QGD_L_BO+TI_MOSFET_S_QGS_L_BO)*10^-9/Table7[[#This Row],[Ion (A)]])/10^-9</f>
        <v>9.6192713449792855</v>
      </c>
      <c r="AS182" s="145">
        <f ca="1">IF(VACnom&gt;Vbat, (TI_MOSFET_S_QGD_H_BU+TI_MOSFET_S_QGS_H_BU)*10^-9/Table7[[#This Row],[Ioff (A)]], (TI_MOSFET_S_QGD_L_BO+TI_MOSFET_S_QGS_L_BO)*10^-9/Table7[[#This Row],[Ioff (A)]])/10^-9</f>
        <v>15.820396465249583</v>
      </c>
      <c r="AT182" s="145">
        <f ca="1" xml:space="preserve"> 0.5*VACnom*Table7[[#This Row],[Ivalley (A)]]*Table7[[#This Row],[ton (ns)]]*10^-9*Fsw*10^3+0.5*VACnom*Table7[[#This Row],[Ipeak (A)]]*Table7[[#This Row],[toff (ns)]]*10^-9*Fsw*10^3/10^-3</f>
        <v>544.79196983990175</v>
      </c>
      <c r="AU182" s="145">
        <f t="shared" ca="1" si="8"/>
        <v>268.64000000000004</v>
      </c>
      <c r="AV182" s="145" t="e">
        <f t="shared" si="9"/>
        <v>#VALUE!</v>
      </c>
      <c r="AW182" s="145">
        <f t="shared" ca="1" si="10"/>
        <v>566.72000000000025</v>
      </c>
      <c r="AX182" s="145">
        <f ca="1">IF(VACnom&gt;Vbat, TI_MOSFET_S_VSD_L_BU*Table7[[#This Row],[Ivalley (A)]]*Fsw*10^3*40*10^-9+TI_MOSFET_S_VSD_L_BU*Table7[[#This Row],[Ipeak (A)]]*Fsw*10^3*30*10^-9, TI_MOSFET_S_VSD_H_BO*Table7[[#This Row],[Ivalley (A)]]*Fsw*10^3*40*10^-9+TI_MOSFET_S_VSD_H_BO*Table7[[#This Row],[Ipeak (A)]]*Fsw*10^3*30*10^-9)/10^-3</f>
        <v>92.01600000000002</v>
      </c>
      <c r="AY182" s="145" t="e">
        <f t="shared" si="11"/>
        <v>#VALUE!</v>
      </c>
      <c r="AZ182" s="145" t="e">
        <f>IF(VACnom&lt;Vbat, Table7[[#This Row],[Duty Cycle]]*Table7[[#This Row],[I_L RMS]]^2*TI_MOSFET_S_RDSON_H_BU*10^-3, (1-Table7[[#This Row],[Duty Cycle]])*Table7[[#This Row],[I_L RMS]]^2*TI_MOSFET_S_RDSON_H_BO*10^-3)/10^-3</f>
        <v>#VALUE!</v>
      </c>
      <c r="BA182" s="145" t="e">
        <f ca="1">IF(VACnom&gt;Vbat, Table7[[#This Row],[PIV (mW)]]+Table7[[#This Row],[Pqoss (mW)]]+Table7[[#This Row],[Pgate_top (mW)]], Table7[[#This Row],[PRR (mW)]]+Table7[[#This Row],[Pdead (mW)]]+Table7[[#This Row],[Pgate_top (mW)]])</f>
        <v>#VALUE!</v>
      </c>
      <c r="BB182" s="145" t="e">
        <f ca="1">Table7[[#This Row],[Pcon_top (mW)]]+Table7[[#This Row],[Psw_top (mW)]]</f>
        <v>#VALUE!</v>
      </c>
      <c r="BC182" s="145" t="e">
        <f>IF(VACnom&gt;Vbat, (1-Table7[[#This Row],[Duty Cycle]])*Table7[[#This Row],[I_L RMS]]^2*TI_MOSFET_S_RDSON_L_BU*10^-3, Table7[[#This Row],[Duty Cycle]]*Table7[[#This Row],[I_L RMS]]^2*TI_MOSFET_S_RDSON_L_BO*10^-3)/10^-3</f>
        <v>#VALUE!</v>
      </c>
      <c r="BD182" s="145" t="e">
        <f ca="1">IF(VACnom&gt;Vbat, Table7[[#This Row],[PRR (mW)]]+Table7[[#This Row],[Pdead (mW)]]+Table7[[#This Row],[Pgate_bottom (mW)]], Table7[[#This Row],[PIV (mW)]]+Table7[[#This Row],[Pqoss (mW)]]+Table7[[#This Row],[Pgate_bottom (mW)]])</f>
        <v>#VALUE!</v>
      </c>
      <c r="BE182" s="147" t="e">
        <f ca="1">Table7[[#This Row],[Pcon_bottom (mW)]]+Table7[[#This Row],[Psw_bottom (mW)]]</f>
        <v>#VALUE!</v>
      </c>
      <c r="BF182" s="145" t="e">
        <f ca="1">Table7[[#This Row],[Pbottom (mW)]]+Table7[[#This Row],[Ptop (mW)]]</f>
        <v>#VALUE!</v>
      </c>
      <c r="BG182" s="142"/>
      <c r="BH182" s="145">
        <f>MAX(0,Table7[[#This Row],[I_L]]-0.5*Table7[[#This Row],[I_L pkpk]])</f>
        <v>8.9608695652173918</v>
      </c>
      <c r="BI182" s="145">
        <f>Table7[[#This Row],[I_L]]+0.5*Table7[[#This Row],[I_L pkpk]]</f>
        <v>9.3521739130434778</v>
      </c>
      <c r="BJ182" s="145">
        <f>IF(VACnom&gt;Vbat, (VGS_S-(C_MOSFET_S_VTH_H_BU+Table7[[#This Row],[I_L]]/C_MOSFET_S_gFS_H_BU))/3.4, (VGS_S-(C_MOSFET_S_VTH_L_BO+Table7[[#This Row],[I_L]]/C_MOSFET_S_gFS_L_BO))/3.4 )</f>
        <v>2.9473719022841518</v>
      </c>
      <c r="BK182" s="145">
        <f>IF(VACnom&gt;Vbat, ((C_MOSFET_S_VTH_H_BU+Table7[[#This Row],[I_L]]/C_MOSFET_S_gFS_H_BU))/1, ((C_MOSFET_S_VTH_L_BO+Table7[[#This Row],[I_L]]/C_MOSFET_S_gFS_L_BO))/1 )</f>
        <v>1.9789355322338831</v>
      </c>
      <c r="BL182" s="145">
        <f>IF(VACnom&gt;Vbat, (C_MOSFET_S_QGD_H_BU+C_MOSFET_S_QGS_H_BU)*10^-9/Table7[[#This Row],[Ion (A) C]], (C_MOSFET_S_QGD_L_BO+C_MOSFET_S_QGS_L_BO)*10^-9/Table7[[#This Row],[Ion (A) C]])/10^-9</f>
        <v>5.2589223599464399</v>
      </c>
      <c r="BM182" s="145">
        <f>IF(VACnom&gt;Vbat, (C_MOSFET_S_QGD_H_BU+C_MOSFET_S_QGS_H_BU)*10^-9/Table7[[#This Row],[Ioff (A) C]], (C_MOSFET_S_QGD_L_BO+C_MOSFET_S_QGS_L_BO)*10^-9/Table7[[#This Row],[Ioff (A) C]])/10^-9</f>
        <v>7.8324936550626916</v>
      </c>
      <c r="BN182" s="145">
        <f xml:space="preserve"> 0.5*VACnom*Table7[[#This Row],[Ivalley (A) C]]*Table7[[#This Row],[ton (ns) C]]*10^-9*Fsw*10^3+0.5*VACnom*Table7[[#This Row],[Ipeak (A) C]]*Table7[[#This Row],[toff (ns) C]]*10^-9*Fsw*10^3/10^-3</f>
        <v>269.73651985637923</v>
      </c>
      <c r="BO182" s="145">
        <f t="shared" si="12"/>
        <v>305.44000000000011</v>
      </c>
      <c r="BP182" s="145">
        <f t="shared" si="13"/>
        <v>357.69600000000014</v>
      </c>
      <c r="BQ182" s="145">
        <f t="shared" si="14"/>
        <v>1067.2000000000003</v>
      </c>
      <c r="BR182" s="145">
        <f>IF(VACnom&gt;Vbat, C_MOSFET_S_VSD_L_BU*Table7[[#This Row],[Ivalley (A) C]]*Fsw*10^3*40*10^-9+C_MOSFET_S_VSD_L_BU*Table7[[#This Row],[Ipeak (A) C]]*Fsw*10^3*30*10^-9, C_MOSFET_S_VSD_H_BO*Table7[[#This Row],[Ivalley (A) C]]*Fsw*10^3*40*10^-9+C_MOSFET_S_VSD_H_BO*Table7[[#This Row],[Ipeak (A) C]]*Fsw*10^3*30*10^-9)/10^-3</f>
        <v>102.24000000000005</v>
      </c>
      <c r="BS182" s="145">
        <f t="shared" si="15"/>
        <v>357.69600000000014</v>
      </c>
      <c r="BT182" s="145">
        <f>IF(VACnom&lt;Vbat, Table7[[#This Row],[Duty Cycle]]*Table7[[#This Row],[I_L RMS]]^2*C_MOSFET_S_RDSON_H_BU*10^-3, (1-Table7[[#This Row],[Duty Cycle]])*Table7[[#This Row],[I_L RMS]]^2*C_MOSFET_S_RDSON_H_BO*10^-3)/10^-3</f>
        <v>4.7396106682008439</v>
      </c>
      <c r="BU182" s="145">
        <f>IF(VACnom&gt;Vbat, Table7[[#This Row],[PIV (mW) C]]+Table7[[#This Row],[PQoss (mW) C]]+Table7[[#This Row],[Pgate_top (mW) C]], Table7[[#This Row],[PRR (mW) C]]+Table7[[#This Row],[Pdead (mW) C]]+Table7[[#This Row],[Pgate_top (mW) C]])</f>
        <v>932.87251985637954</v>
      </c>
      <c r="BV182" s="145">
        <f>Table7[[#This Row],[Pcon_top (mW) C]]+Table7[[#This Row],[Psw_top (mW) C]]</f>
        <v>937.61213052458038</v>
      </c>
      <c r="BW182" s="145">
        <f>IF(VACnom&gt;Vbat, (1-Table7[[#This Row],[Duty Cycle]])*Table7[[#This Row],[I_L RMS]]^2*C_MOSFET_S_RDSON_L_BU*10^-3, Table7[[#This Row],[Duty Cycle]]*Table7[[#This Row],[I_L RMS]]^2*C_MOSFET_S_RDSON_L_BO*10^-3)/10^-3</f>
        <v>3.0989762061313209</v>
      </c>
      <c r="BX182" s="145">
        <f>IF(VACnom&gt;Vbat, Table7[[#This Row],[PRR (mW) C]]+Table7[[#This Row],[Pdead (mW) C]]+Table7[[#This Row],[Pgate_bottom (mW) C]], Table7[[#This Row],[PIV (mW) C]]+Table7[[#This Row],[PQoss (mW) C]]+Table7[[#This Row],[Pgate_bottom (mW) C]])</f>
        <v>1527.1360000000004</v>
      </c>
      <c r="BY182" s="145">
        <f>Table7[[#This Row],[Pcon_bottom (mW) C]]+Table7[[#This Row],[Psw_bottom (mV) C]]</f>
        <v>1530.2349762061317</v>
      </c>
      <c r="BZ182" s="145">
        <f>Table7[[#This Row],[Pbottom (mW) C]]+Table7[[#This Row],[Ptop (mW) C]]</f>
        <v>2467.8471067307119</v>
      </c>
      <c r="CA182" s="148"/>
      <c r="CB182" s="144">
        <f>(RAC_SNS*10^-3*(Table7[[#This Row],[IOUT (A)]]*Vbat/VACnom)^2/10^-3)</f>
        <v>167.68378071833649</v>
      </c>
      <c r="CC182" s="144">
        <f>(RBAT_SNS*10^-3*Table7[[#This Row],[IOUT (A)]]^2)/10^-3</f>
        <v>438.04799999999994</v>
      </c>
      <c r="CD182" s="144">
        <f>IF(VACnom&gt;Vbat,(L_DRC*10^-3*(Table7[[#This Row],[IOUT (A)]])^2/10^-3),(L_DRC*10^-3*(Table7[[#This Row],[IOUT (A)]]*Vbat/VACnom)^2/10^-3))</f>
        <v>438.04799999999994</v>
      </c>
      <c r="CE182" s="152"/>
      <c r="CF182" s="145">
        <f>(Table7[[#This Row],[R_AC (mW)]]+Table7[[#This Row],[R_SR (mW)]]+Table7[[#This Row],[Inductor Loss (mW)]])/10^3</f>
        <v>1.0437797807183364</v>
      </c>
      <c r="CG182" s="145" t="e">
        <f ca="1">Table7[[#This Row],[Total TI (mW)]]/10^3</f>
        <v>#VALUE!</v>
      </c>
      <c r="CH182" s="145" t="e">
        <f ca="1">Table7[[#This Row],[Total Sense Loss]]+Table7[[#This Row],[Total MOSFET Loss]]</f>
        <v>#VALUE!</v>
      </c>
      <c r="CI182" s="149" t="e">
        <f ca="1">IF(Table7[[#This Row],[POUT (W)]]=0,0,(Table7[[#This Row],[POUT (W)]])/(Table7[[#This Row],[POUT (W)]]+Table7[[#This Row],[Total Power Loss (W)]]))*100</f>
        <v>#VALUE!</v>
      </c>
      <c r="CJ182" s="153"/>
      <c r="CK182" s="145">
        <f>(Table7[[#This Row],[R_AC (mW)]]+Table7[[#This Row],[R_SR (mW)]]+Table7[[#This Row],[Inductor Loss (mW)]])/10^3</f>
        <v>1.0437797807183364</v>
      </c>
      <c r="CL182" s="145">
        <f>Table7[[#This Row],[Total (mW) C]]/10^3</f>
        <v>2.4678471067307117</v>
      </c>
      <c r="CM182" s="145">
        <f>Table7[[#This Row],[Total Sense Loss C]]+Table7[[#This Row],[Total MOSFET Loss C]]</f>
        <v>3.5116268874490482</v>
      </c>
      <c r="CN182" s="149">
        <f>IF(Table7[[#This Row],[POUT (W)]]=0,0,(Table7[[#This Row],[POUT (W)]])/(Table7[[#This Row],[POUT (W)]]+Table7[[#This Row],[Total Power Loss (W) C]]))*100</f>
        <v>98.990794731313784</v>
      </c>
      <c r="CO182" s="153"/>
      <c r="CP182" s="149">
        <f>IF(MOSFET_S=Custom_MOSFET,Table7[[#This Row],[Total Sense Loss C]],Table7[[#This Row],[Total Sense Loss]])</f>
        <v>1.0437797807183364</v>
      </c>
      <c r="CQ182" s="149">
        <f>IF(MOSFET_S=Custom_MOSFET,Table7[[#This Row],[Total MOSFET Loss C]],Table7[[#This Row],[Total MOSFET Loss]])</f>
        <v>2.4678471067307117</v>
      </c>
      <c r="CR182" s="149">
        <f>IF(MOSFET_S=Custom_MOSFET,Table7[[#This Row],[Efficiency C]],Table7[[#This Row],[Efficiency]])</f>
        <v>98.990794731313784</v>
      </c>
      <c r="CS182" s="153"/>
      <c r="CT182" s="149">
        <f>IF(MOSFET_S=Compare_MOSFET, Table7[[#This Row],[Total Sense Loss C]], -100)</f>
        <v>-100</v>
      </c>
      <c r="CU182" s="149">
        <f>IF(MOSFET_S=Compare_MOSFET, Table7[[#This Row],[Total MOSFET Loss C]], -100)</f>
        <v>-100</v>
      </c>
      <c r="CV182" s="149">
        <f>IF(MOSFET_S=Compare_MOSFET, Table7[[#This Row],[Efficiency C]], -100)</f>
        <v>-100</v>
      </c>
      <c r="CW182" s="153"/>
      <c r="CX182" s="149">
        <f ca="1">IF(Save_Sel=CLR_Save,  Table7[[#This Row],[Total Sense Loss P1]], Table7[[#This Row],[Total Sense Loss P1 Saved]])</f>
        <v>1.0437797807183364</v>
      </c>
      <c r="CY182" s="149">
        <f ca="1">IF(Save_Sel=CLR_Save,  Table7[[#This Row],[Total MOSFET Loss P1]], Table7[[#This Row],[Total MOSFET Loss P1 Saved]] )</f>
        <v>2.4678471067307117</v>
      </c>
      <c r="CZ182" s="149">
        <f ca="1">IF(Save_Sel=CLR_Save, Table7[[#This Row],[Efficiency P1]], Table7[[#This Row],[Efficiency P1 Saved]])</f>
        <v>98.990794731313784</v>
      </c>
      <c r="DA182" s="153"/>
      <c r="DB182" s="149">
        <f ca="1">IF(Save_Sel=CLR_Save,  Table7[[#This Row],[Total Sense Loss P2]], Table7[[#This Row],[Total Sense Loss P2 Saved]])</f>
        <v>-100</v>
      </c>
      <c r="DC182" s="149">
        <f ca="1">IF(Save_Sel=CLR_Save,  Table7[[#This Row],[Total MOSFET Loss P2]], Table7[[#This Row],[Total MOSFET Loss P2 Saved]] )</f>
        <v>-100</v>
      </c>
      <c r="DD182" s="149">
        <f ca="1">IF(Save_Sel=CLR_Save, Table7[[#This Row],[Efficiency P2]], Table7[[#This Row],[Efficiency P2 Saved]])</f>
        <v>-100</v>
      </c>
      <c r="DE182" s="153"/>
      <c r="DF182" s="19"/>
      <c r="DG182" s="19"/>
      <c r="DH182" s="19"/>
      <c r="DI182" s="19"/>
      <c r="DJ182" s="19"/>
      <c r="DK182" s="19"/>
      <c r="DL182" s="19"/>
      <c r="DM182" s="19"/>
      <c r="DN182" s="19"/>
      <c r="DO182" s="19"/>
      <c r="DP182" s="19"/>
      <c r="DQ182" s="19"/>
      <c r="DR182" s="19"/>
      <c r="DS182" s="19"/>
      <c r="DT182" s="19"/>
      <c r="DU182" s="19"/>
      <c r="DV182" s="19"/>
      <c r="DW182" s="19"/>
      <c r="DX182" s="19"/>
      <c r="DY182" s="19"/>
      <c r="DZ182" s="19"/>
      <c r="EA182" s="19"/>
      <c r="EB182" s="19"/>
      <c r="EC182" s="19"/>
      <c r="ED182" s="19"/>
      <c r="EE182" s="19"/>
      <c r="EF182" s="19"/>
      <c r="EG182" s="19"/>
      <c r="EH182" s="19"/>
      <c r="EI182" s="19"/>
      <c r="EJ182" s="19"/>
      <c r="EK182" s="19"/>
      <c r="EL182" s="19"/>
      <c r="EM182" s="19"/>
      <c r="EN182" s="19"/>
      <c r="EO182" s="19"/>
      <c r="EP182" s="19"/>
      <c r="EQ182" s="19"/>
      <c r="ER182" s="19"/>
      <c r="ES182" s="19"/>
      <c r="ET182" s="19"/>
      <c r="EU182" s="19"/>
      <c r="EV182" s="19"/>
      <c r="EW182" s="19"/>
      <c r="EX182" s="19"/>
      <c r="EY182" s="19"/>
      <c r="EZ182" s="19"/>
      <c r="FA182" s="19"/>
      <c r="FB182" s="19"/>
      <c r="FC182" s="19"/>
      <c r="FD182" s="19"/>
      <c r="FE182" s="19"/>
      <c r="FF182" s="19"/>
      <c r="FG182" s="19"/>
      <c r="FH182" s="19"/>
      <c r="FI182" s="19"/>
    </row>
    <row r="183" spans="1:165" x14ac:dyDescent="0.25">
      <c r="A183" s="48">
        <v>10</v>
      </c>
      <c r="B183" s="49"/>
      <c r="C183" s="49"/>
      <c r="D183" s="32" t="s">
        <v>147</v>
      </c>
      <c r="E183" s="117">
        <f t="shared" ca="1" si="22"/>
        <v>0.95</v>
      </c>
      <c r="F183" s="117">
        <f t="shared" ca="1" si="23"/>
        <v>0.95</v>
      </c>
      <c r="G183" s="120" t="s">
        <v>148</v>
      </c>
      <c r="H183" s="29"/>
      <c r="I183" s="48">
        <v>10</v>
      </c>
      <c r="J183" s="29"/>
      <c r="K183" s="49"/>
      <c r="L183" s="49"/>
      <c r="M183" s="32" t="s">
        <v>147</v>
      </c>
      <c r="N183" s="117">
        <f t="shared" si="24"/>
        <v>0.8</v>
      </c>
      <c r="O183" s="117">
        <f t="shared" si="25"/>
        <v>0.8</v>
      </c>
      <c r="P183" s="120" t="s">
        <v>148</v>
      </c>
      <c r="Q183" s="29"/>
      <c r="R183" s="29"/>
      <c r="S183" s="30"/>
      <c r="T183" s="18"/>
      <c r="U183" s="19"/>
      <c r="V183" s="19"/>
      <c r="W183" s="19"/>
      <c r="X183" s="19"/>
      <c r="Y183" s="19"/>
      <c r="Z183" s="19"/>
      <c r="AA183" s="19"/>
      <c r="AB183" s="19"/>
      <c r="AC183" s="19"/>
      <c r="AD183" s="19"/>
      <c r="AE183" s="19"/>
      <c r="AF183" s="143">
        <f t="shared" si="17"/>
        <v>27</v>
      </c>
      <c r="AG183" s="143">
        <f t="shared" si="16"/>
        <v>9.7200000000000006</v>
      </c>
      <c r="AH183" s="144">
        <f t="shared" si="3"/>
        <v>357.69599999999997</v>
      </c>
      <c r="AI183" s="145">
        <f t="shared" si="4"/>
        <v>0.97826086956521752</v>
      </c>
      <c r="AJ183" s="145">
        <f t="shared" si="5"/>
        <v>9.5086956521739143</v>
      </c>
      <c r="AK183" s="145">
        <f t="shared" si="6"/>
        <v>0.39130434782608459</v>
      </c>
      <c r="AL183" s="145">
        <f t="shared" si="7"/>
        <v>9.5093665893190131</v>
      </c>
      <c r="AM183" s="146"/>
      <c r="AN183" s="145">
        <f>MAX(0,Table7[[#This Row],[I_L]]-0.5*Table7[[#This Row],[I_L pkpk]])</f>
        <v>9.3130434782608713</v>
      </c>
      <c r="AO183" s="145">
        <f>Table7[[#This Row],[I_L]]+0.5*Table7[[#This Row],[I_L pkpk]]</f>
        <v>9.7043478260869573</v>
      </c>
      <c r="AP183" s="145">
        <f ca="1">IF(VACnom&gt;Vbat, (VGS_S-(TI_MOSFET_S_VTH_H_BU+Table7[[#This Row],[I_L]]/TI_MOSFET_S_gFS_H_BU))/3.4, (VGS_S-(TI_MOSFET_S_VTH_L_BO+Table7[[#This Row],[I_L]]/TI_MOSFET_S_gFS_L_BO))/3.4 )</f>
        <v>2.9931929962620498</v>
      </c>
      <c r="AQ183" s="145">
        <f ca="1">IF(VACnom&gt;Vbat, ((TI_MOSFET_S_VTH_H_BU+Table7[[#This Row],[I_L]]/TI_MOSFET_S_gFS_H_BU))/1, ((TI_MOSFET_S_VTH_L_BO+Table7[[#This Row],[I_L]]/TI_MOSFET_S_gFS_L_BO))/1 )</f>
        <v>1.82314381270903</v>
      </c>
      <c r="AR183" s="145">
        <f ca="1">IF(VACnom&gt;Vbat, (TI_MOSFET_S_QGD_H_BU+TI_MOSFET_S_QGS_H_BU)*10^-9/Table7[[#This Row],[Ion (A)]], (TI_MOSFET_S_QGD_L_BO+TI_MOSFET_S_QGS_L_BO)*10^-9/Table7[[#This Row],[Ion (A)]])/10^-9</f>
        <v>9.6218319486801978</v>
      </c>
      <c r="AS183" s="145">
        <f ca="1">IF(VACnom&gt;Vbat, (TI_MOSFET_S_QGD_H_BU+TI_MOSFET_S_QGS_H_BU)*10^-9/Table7[[#This Row],[Ioff (A)]], (TI_MOSFET_S_QGD_L_BO+TI_MOSFET_S_QGS_L_BO)*10^-9/Table7[[#This Row],[Ioff (A)]])/10^-9</f>
        <v>15.796888758438511</v>
      </c>
      <c r="AT183" s="145">
        <f ca="1" xml:space="preserve"> 0.5*VACnom*Table7[[#This Row],[Ivalley (A)]]*Table7[[#This Row],[ton (ns)]]*10^-9*Fsw*10^3+0.5*VACnom*Table7[[#This Row],[Ipeak (A)]]*Table7[[#This Row],[toff (ns)]]*10^-9*Fsw*10^3/10^-3</f>
        <v>564.4682507659013</v>
      </c>
      <c r="AU183" s="145">
        <f t="shared" ca="1" si="8"/>
        <v>268.64000000000004</v>
      </c>
      <c r="AV183" s="145" t="e">
        <f t="shared" si="9"/>
        <v>#VALUE!</v>
      </c>
      <c r="AW183" s="145">
        <f t="shared" ca="1" si="10"/>
        <v>566.72000000000025</v>
      </c>
      <c r="AX183" s="145">
        <f ca="1">IF(VACnom&gt;Vbat, TI_MOSFET_S_VSD_L_BU*Table7[[#This Row],[Ivalley (A)]]*Fsw*10^3*40*10^-9+TI_MOSFET_S_VSD_L_BU*Table7[[#This Row],[Ipeak (A)]]*Fsw*10^3*30*10^-9, TI_MOSFET_S_VSD_H_BO*Table7[[#This Row],[Ivalley (A)]]*Fsw*10^3*40*10^-9+TI_MOSFET_S_VSD_H_BO*Table7[[#This Row],[Ipeak (A)]]*Fsw*10^3*30*10^-9)/10^-3</f>
        <v>95.565913043478304</v>
      </c>
      <c r="AY183" s="145" t="e">
        <f t="shared" si="11"/>
        <v>#VALUE!</v>
      </c>
      <c r="AZ183" s="145" t="e">
        <f>IF(VACnom&lt;Vbat, Table7[[#This Row],[Duty Cycle]]*Table7[[#This Row],[I_L RMS]]^2*TI_MOSFET_S_RDSON_H_BU*10^-3, (1-Table7[[#This Row],[Duty Cycle]])*Table7[[#This Row],[I_L RMS]]^2*TI_MOSFET_S_RDSON_H_BO*10^-3)/10^-3</f>
        <v>#VALUE!</v>
      </c>
      <c r="BA183" s="145" t="e">
        <f ca="1">IF(VACnom&gt;Vbat, Table7[[#This Row],[PIV (mW)]]+Table7[[#This Row],[Pqoss (mW)]]+Table7[[#This Row],[Pgate_top (mW)]], Table7[[#This Row],[PRR (mW)]]+Table7[[#This Row],[Pdead (mW)]]+Table7[[#This Row],[Pgate_top (mW)]])</f>
        <v>#VALUE!</v>
      </c>
      <c r="BB183" s="145" t="e">
        <f ca="1">Table7[[#This Row],[Pcon_top (mW)]]+Table7[[#This Row],[Psw_top (mW)]]</f>
        <v>#VALUE!</v>
      </c>
      <c r="BC183" s="145" t="e">
        <f>IF(VACnom&gt;Vbat, (1-Table7[[#This Row],[Duty Cycle]])*Table7[[#This Row],[I_L RMS]]^2*TI_MOSFET_S_RDSON_L_BU*10^-3, Table7[[#This Row],[Duty Cycle]]*Table7[[#This Row],[I_L RMS]]^2*TI_MOSFET_S_RDSON_L_BO*10^-3)/10^-3</f>
        <v>#VALUE!</v>
      </c>
      <c r="BD183" s="145" t="e">
        <f ca="1">IF(VACnom&gt;Vbat, Table7[[#This Row],[PRR (mW)]]+Table7[[#This Row],[Pdead (mW)]]+Table7[[#This Row],[Pgate_bottom (mW)]], Table7[[#This Row],[PIV (mW)]]+Table7[[#This Row],[Pqoss (mW)]]+Table7[[#This Row],[Pgate_bottom (mW)]])</f>
        <v>#VALUE!</v>
      </c>
      <c r="BE183" s="147" t="e">
        <f ca="1">Table7[[#This Row],[Pcon_bottom (mW)]]+Table7[[#This Row],[Psw_bottom (mW)]]</f>
        <v>#VALUE!</v>
      </c>
      <c r="BF183" s="145" t="e">
        <f ca="1">Table7[[#This Row],[Pbottom (mW)]]+Table7[[#This Row],[Ptop (mW)]]</f>
        <v>#VALUE!</v>
      </c>
      <c r="BG183" s="142"/>
      <c r="BH183" s="145">
        <f>MAX(0,Table7[[#This Row],[I_L]]-0.5*Table7[[#This Row],[I_L pkpk]])</f>
        <v>9.3130434782608713</v>
      </c>
      <c r="BI183" s="145">
        <f>Table7[[#This Row],[I_L]]+0.5*Table7[[#This Row],[I_L pkpk]]</f>
        <v>9.7043478260869573</v>
      </c>
      <c r="BJ183" s="145">
        <f>IF(VACnom&gt;Vbat, (VGS_S-(C_MOSFET_S_VTH_H_BU+Table7[[#This Row],[I_L]]/C_MOSFET_S_gFS_H_BU))/3.4, (VGS_S-(C_MOSFET_S_VTH_L_BO+Table7[[#This Row],[I_L]]/C_MOSFET_S_gFS_L_BO))/3.4 )</f>
        <v>2.9464789663991531</v>
      </c>
      <c r="BK183" s="145">
        <f>IF(VACnom&gt;Vbat, ((C_MOSFET_S_VTH_H_BU+Table7[[#This Row],[I_L]]/C_MOSFET_S_gFS_H_BU))/1, ((C_MOSFET_S_VTH_L_BO+Table7[[#This Row],[I_L]]/C_MOSFET_S_gFS_L_BO))/1 )</f>
        <v>1.9819715142428784</v>
      </c>
      <c r="BL183" s="145">
        <f>IF(VACnom&gt;Vbat, (C_MOSFET_S_QGD_H_BU+C_MOSFET_S_QGS_H_BU)*10^-9/Table7[[#This Row],[Ion (A) C]], (C_MOSFET_S_QGD_L_BO+C_MOSFET_S_QGS_L_BO)*10^-9/Table7[[#This Row],[Ion (A) C]])/10^-9</f>
        <v>5.2605160860667244</v>
      </c>
      <c r="BM183" s="145">
        <f>IF(VACnom&gt;Vbat, (C_MOSFET_S_QGD_H_BU+C_MOSFET_S_QGS_H_BU)*10^-9/Table7[[#This Row],[Ioff (A) C]], (C_MOSFET_S_QGD_L_BO+C_MOSFET_S_QGS_L_BO)*10^-9/Table7[[#This Row],[Ioff (A) C]])/10^-9</f>
        <v>7.8204958490137866</v>
      </c>
      <c r="BN183" s="145">
        <f xml:space="preserve"> 0.5*VACnom*Table7[[#This Row],[Ivalley (A) C]]*Table7[[#This Row],[ton (ns) C]]*10^-9*Fsw*10^3+0.5*VACnom*Table7[[#This Row],[Ipeak (A) C]]*Table7[[#This Row],[toff (ns) C]]*10^-9*Fsw*10^3/10^-3</f>
        <v>279.46583616728213</v>
      </c>
      <c r="BO183" s="145">
        <f t="shared" si="12"/>
        <v>305.44000000000011</v>
      </c>
      <c r="BP183" s="145">
        <f t="shared" si="13"/>
        <v>357.69600000000014</v>
      </c>
      <c r="BQ183" s="145">
        <f t="shared" si="14"/>
        <v>1067.2000000000003</v>
      </c>
      <c r="BR183" s="145">
        <f>IF(VACnom&gt;Vbat, C_MOSFET_S_VSD_L_BU*Table7[[#This Row],[Ivalley (A) C]]*Fsw*10^3*40*10^-9+C_MOSFET_S_VSD_L_BU*Table7[[#This Row],[Ipeak (A) C]]*Fsw*10^3*30*10^-9, C_MOSFET_S_VSD_H_BO*Table7[[#This Row],[Ivalley (A) C]]*Fsw*10^3*40*10^-9+C_MOSFET_S_VSD_H_BO*Table7[[#This Row],[Ipeak (A) C]]*Fsw*10^3*30*10^-9)/10^-3</f>
        <v>106.18434782608702</v>
      </c>
      <c r="BS183" s="145">
        <f t="shared" si="15"/>
        <v>357.69600000000014</v>
      </c>
      <c r="BT183" s="145">
        <f>IF(VACnom&lt;Vbat, Table7[[#This Row],[Duty Cycle]]*Table7[[#This Row],[I_L RMS]]^2*C_MOSFET_S_RDSON_H_BU*10^-3, (1-Table7[[#This Row],[Duty Cycle]])*Table7[[#This Row],[I_L RMS]]^2*C_MOSFET_S_RDSON_H_BO*10^-3)/10^-3</f>
        <v>5.1111508177857852</v>
      </c>
      <c r="BU183" s="145">
        <f>IF(VACnom&gt;Vbat, Table7[[#This Row],[PIV (mW) C]]+Table7[[#This Row],[PQoss (mW) C]]+Table7[[#This Row],[Pgate_top (mW) C]], Table7[[#This Row],[PRR (mW) C]]+Table7[[#This Row],[Pdead (mW) C]]+Table7[[#This Row],[Pgate_top (mW) C]])</f>
        <v>942.60183616728239</v>
      </c>
      <c r="BV183" s="145">
        <f>Table7[[#This Row],[Pcon_top (mW) C]]+Table7[[#This Row],[Psw_top (mW) C]]</f>
        <v>947.71298698506814</v>
      </c>
      <c r="BW183" s="145">
        <f>IF(VACnom&gt;Vbat, (1-Table7[[#This Row],[Duty Cycle]])*Table7[[#This Row],[I_L RMS]]^2*C_MOSFET_S_RDSON_L_BU*10^-3, Table7[[#This Row],[Duty Cycle]]*Table7[[#This Row],[I_L RMS]]^2*C_MOSFET_S_RDSON_L_BO*10^-3)/10^-3</f>
        <v>3.3419063039368595</v>
      </c>
      <c r="BX183" s="145">
        <f>IF(VACnom&gt;Vbat, Table7[[#This Row],[PRR (mW) C]]+Table7[[#This Row],[Pdead (mW) C]]+Table7[[#This Row],[Pgate_bottom (mW) C]], Table7[[#This Row],[PIV (mW) C]]+Table7[[#This Row],[PQoss (mW) C]]+Table7[[#This Row],[Pgate_bottom (mW) C]])</f>
        <v>1531.0803478260875</v>
      </c>
      <c r="BY183" s="145">
        <f>Table7[[#This Row],[Pcon_bottom (mW) C]]+Table7[[#This Row],[Psw_bottom (mV) C]]</f>
        <v>1534.4222541300244</v>
      </c>
      <c r="BZ183" s="145">
        <f>Table7[[#This Row],[Pbottom (mW) C]]+Table7[[#This Row],[Ptop (mW) C]]</f>
        <v>2482.1352411150924</v>
      </c>
      <c r="CA183" s="148"/>
      <c r="CB183" s="144">
        <f>(RAC_SNS*10^-3*(Table7[[#This Row],[IOUT (A)]]*Vbat/VACnom)^2/10^-3)</f>
        <v>180.83058601134221</v>
      </c>
      <c r="CC183" s="144">
        <f>(RBAT_SNS*10^-3*Table7[[#This Row],[IOUT (A)]]^2)/10^-3</f>
        <v>472.392</v>
      </c>
      <c r="CD183" s="144">
        <f>IF(VACnom&gt;Vbat,(L_DRC*10^-3*(Table7[[#This Row],[IOUT (A)]])^2/10^-3),(L_DRC*10^-3*(Table7[[#This Row],[IOUT (A)]]*Vbat/VACnom)^2/10^-3))</f>
        <v>472.392</v>
      </c>
      <c r="CE183" s="152"/>
      <c r="CF183" s="145">
        <f>(Table7[[#This Row],[R_AC (mW)]]+Table7[[#This Row],[R_SR (mW)]]+Table7[[#This Row],[Inductor Loss (mW)]])/10^3</f>
        <v>1.1256145860113422</v>
      </c>
      <c r="CG183" s="145" t="e">
        <f ca="1">Table7[[#This Row],[Total TI (mW)]]/10^3</f>
        <v>#VALUE!</v>
      </c>
      <c r="CH183" s="145" t="e">
        <f ca="1">Table7[[#This Row],[Total Sense Loss]]+Table7[[#This Row],[Total MOSFET Loss]]</f>
        <v>#VALUE!</v>
      </c>
      <c r="CI183" s="149" t="e">
        <f ca="1">IF(Table7[[#This Row],[POUT (W)]]=0,0,(Table7[[#This Row],[POUT (W)]])/(Table7[[#This Row],[POUT (W)]]+Table7[[#This Row],[Total Power Loss (W)]]))*100</f>
        <v>#VALUE!</v>
      </c>
      <c r="CJ183" s="153"/>
      <c r="CK183" s="145">
        <f>(Table7[[#This Row],[R_AC (mW)]]+Table7[[#This Row],[R_SR (mW)]]+Table7[[#This Row],[Inductor Loss (mW)]])/10^3</f>
        <v>1.1256145860113422</v>
      </c>
      <c r="CL183" s="145">
        <f>Table7[[#This Row],[Total (mW) C]]/10^3</f>
        <v>2.4821352411150923</v>
      </c>
      <c r="CM183" s="145">
        <f>Table7[[#This Row],[Total Sense Loss C]]+Table7[[#This Row],[Total MOSFET Loss C]]</f>
        <v>3.6077498271264345</v>
      </c>
      <c r="CN183" s="149">
        <f>IF(Table7[[#This Row],[POUT (W)]]=0,0,(Table7[[#This Row],[POUT (W)]])/(Table7[[#This Row],[POUT (W)]]+Table7[[#This Row],[Total Power Loss (W) C]]))*100</f>
        <v>99.001463497444291</v>
      </c>
      <c r="CO183" s="153"/>
      <c r="CP183" s="149">
        <f>IF(MOSFET_S=Custom_MOSFET,Table7[[#This Row],[Total Sense Loss C]],Table7[[#This Row],[Total Sense Loss]])</f>
        <v>1.1256145860113422</v>
      </c>
      <c r="CQ183" s="149">
        <f>IF(MOSFET_S=Custom_MOSFET,Table7[[#This Row],[Total MOSFET Loss C]],Table7[[#This Row],[Total MOSFET Loss]])</f>
        <v>2.4821352411150923</v>
      </c>
      <c r="CR183" s="149">
        <f>IF(MOSFET_S=Custom_MOSFET,Table7[[#This Row],[Efficiency C]],Table7[[#This Row],[Efficiency]])</f>
        <v>99.001463497444291</v>
      </c>
      <c r="CS183" s="153"/>
      <c r="CT183" s="149">
        <f>IF(MOSFET_S=Compare_MOSFET, Table7[[#This Row],[Total Sense Loss C]], -100)</f>
        <v>-100</v>
      </c>
      <c r="CU183" s="149">
        <f>IF(MOSFET_S=Compare_MOSFET, Table7[[#This Row],[Total MOSFET Loss C]], -100)</f>
        <v>-100</v>
      </c>
      <c r="CV183" s="149">
        <f>IF(MOSFET_S=Compare_MOSFET, Table7[[#This Row],[Efficiency C]], -100)</f>
        <v>-100</v>
      </c>
      <c r="CW183" s="153"/>
      <c r="CX183" s="149">
        <f ca="1">IF(Save_Sel=CLR_Save,  Table7[[#This Row],[Total Sense Loss P1]], Table7[[#This Row],[Total Sense Loss P1 Saved]])</f>
        <v>1.1256145860113422</v>
      </c>
      <c r="CY183" s="149">
        <f ca="1">IF(Save_Sel=CLR_Save,  Table7[[#This Row],[Total MOSFET Loss P1]], Table7[[#This Row],[Total MOSFET Loss P1 Saved]] )</f>
        <v>2.4821352411150923</v>
      </c>
      <c r="CZ183" s="149">
        <f ca="1">IF(Save_Sel=CLR_Save, Table7[[#This Row],[Efficiency P1]], Table7[[#This Row],[Efficiency P1 Saved]])</f>
        <v>99.001463497444291</v>
      </c>
      <c r="DA183" s="153"/>
      <c r="DB183" s="149">
        <f ca="1">IF(Save_Sel=CLR_Save,  Table7[[#This Row],[Total Sense Loss P2]], Table7[[#This Row],[Total Sense Loss P2 Saved]])</f>
        <v>-100</v>
      </c>
      <c r="DC183" s="149">
        <f ca="1">IF(Save_Sel=CLR_Save,  Table7[[#This Row],[Total MOSFET Loss P2]], Table7[[#This Row],[Total MOSFET Loss P2 Saved]] )</f>
        <v>-100</v>
      </c>
      <c r="DD183" s="149">
        <f ca="1">IF(Save_Sel=CLR_Save, Table7[[#This Row],[Efficiency P2]], Table7[[#This Row],[Efficiency P2 Saved]])</f>
        <v>-100</v>
      </c>
      <c r="DE183" s="153"/>
      <c r="DF183" s="19"/>
      <c r="DG183" s="19"/>
      <c r="DH183" s="19"/>
      <c r="DI183" s="19"/>
      <c r="DJ183" s="19"/>
      <c r="DK183" s="19"/>
      <c r="DL183" s="19"/>
      <c r="DM183" s="19"/>
      <c r="DN183" s="19"/>
      <c r="DO183" s="19"/>
      <c r="DP183" s="19"/>
      <c r="DQ183" s="19"/>
      <c r="DR183" s="19"/>
      <c r="DS183" s="19"/>
      <c r="DT183" s="19"/>
      <c r="DU183" s="19"/>
      <c r="DV183" s="19"/>
      <c r="DW183" s="19"/>
      <c r="DX183" s="19"/>
      <c r="DY183" s="19"/>
      <c r="DZ183" s="19"/>
      <c r="EA183" s="19"/>
      <c r="EB183" s="19"/>
      <c r="EC183" s="19"/>
      <c r="ED183" s="19"/>
      <c r="EE183" s="19"/>
      <c r="EF183" s="19"/>
      <c r="EG183" s="19"/>
      <c r="EH183" s="19"/>
      <c r="EI183" s="19"/>
      <c r="EJ183" s="19"/>
      <c r="EK183" s="19"/>
      <c r="EL183" s="19"/>
      <c r="EM183" s="19"/>
      <c r="EN183" s="19"/>
      <c r="EO183" s="19"/>
      <c r="EP183" s="19"/>
      <c r="EQ183" s="19"/>
      <c r="ER183" s="19"/>
      <c r="ES183" s="19"/>
      <c r="ET183" s="19"/>
      <c r="EU183" s="19"/>
      <c r="EV183" s="19"/>
      <c r="EW183" s="19"/>
      <c r="EX183" s="19"/>
      <c r="EY183" s="19"/>
      <c r="EZ183" s="19"/>
      <c r="FA183" s="19"/>
      <c r="FB183" s="19"/>
      <c r="FC183" s="19"/>
      <c r="FD183" s="19"/>
      <c r="FE183" s="19"/>
      <c r="FF183" s="19"/>
      <c r="FG183" s="19"/>
      <c r="FH183" s="19"/>
      <c r="FI183" s="19"/>
    </row>
    <row r="184" spans="1:165" x14ac:dyDescent="0.25">
      <c r="A184" s="48">
        <v>11</v>
      </c>
      <c r="B184" s="49"/>
      <c r="C184" s="49"/>
      <c r="D184" s="32" t="s">
        <v>149</v>
      </c>
      <c r="E184" s="117">
        <f t="shared" ca="1" si="22"/>
        <v>130</v>
      </c>
      <c r="F184" s="117">
        <f t="shared" ca="1" si="23"/>
        <v>130</v>
      </c>
      <c r="G184" s="42" t="s">
        <v>150</v>
      </c>
      <c r="H184" s="29"/>
      <c r="I184" s="48">
        <v>11</v>
      </c>
      <c r="J184" s="29"/>
      <c r="K184" s="49"/>
      <c r="L184" s="49"/>
      <c r="M184" s="32" t="s">
        <v>149</v>
      </c>
      <c r="N184" s="117">
        <f t="shared" si="24"/>
        <v>116</v>
      </c>
      <c r="O184" s="117">
        <f t="shared" si="25"/>
        <v>116</v>
      </c>
      <c r="P184" s="42" t="s">
        <v>150</v>
      </c>
      <c r="Q184" s="29"/>
      <c r="R184" s="29"/>
      <c r="S184" s="30"/>
      <c r="T184" s="18"/>
      <c r="U184" s="19"/>
      <c r="V184" s="19"/>
      <c r="W184" s="19"/>
      <c r="X184" s="19"/>
      <c r="Y184" s="19"/>
      <c r="Z184" s="19"/>
      <c r="AA184" s="19"/>
      <c r="AB184" s="19"/>
      <c r="AC184" s="19"/>
      <c r="AD184" s="19"/>
      <c r="AE184" s="19"/>
      <c r="AF184" s="143">
        <f t="shared" si="17"/>
        <v>28</v>
      </c>
      <c r="AG184" s="143">
        <f t="shared" si="16"/>
        <v>10.08</v>
      </c>
      <c r="AH184" s="144">
        <f t="shared" si="3"/>
        <v>370.94399999999996</v>
      </c>
      <c r="AI184" s="145">
        <f t="shared" si="4"/>
        <v>0.97826086956521752</v>
      </c>
      <c r="AJ184" s="145">
        <f t="shared" si="5"/>
        <v>9.8608695652173921</v>
      </c>
      <c r="AK184" s="145">
        <f t="shared" si="6"/>
        <v>0.39130434782608459</v>
      </c>
      <c r="AL184" s="145">
        <f t="shared" si="7"/>
        <v>9.8615165419227626</v>
      </c>
      <c r="AM184" s="146"/>
      <c r="AN184" s="145">
        <f>MAX(0,Table7[[#This Row],[I_L]]-0.5*Table7[[#This Row],[I_L pkpk]])</f>
        <v>9.6652173913043491</v>
      </c>
      <c r="AO184" s="145">
        <f>Table7[[#This Row],[I_L]]+0.5*Table7[[#This Row],[I_L pkpk]]</f>
        <v>10.056521739130435</v>
      </c>
      <c r="AP184" s="145">
        <f ca="1">IF(VACnom&gt;Vbat, (VGS_S-(TI_MOSFET_S_VTH_H_BU+Table7[[#This Row],[I_L]]/TI_MOSFET_S_gFS_H_BU))/3.4, (VGS_S-(TI_MOSFET_S_VTH_L_BO+Table7[[#This Row],[I_L]]/TI_MOSFET_S_gFS_L_BO))/3.4 )</f>
        <v>2.9923962227031282</v>
      </c>
      <c r="AQ184" s="145">
        <f ca="1">IF(VACnom&gt;Vbat, ((TI_MOSFET_S_VTH_H_BU+Table7[[#This Row],[I_L]]/TI_MOSFET_S_gFS_H_BU))/1, ((TI_MOSFET_S_VTH_L_BO+Table7[[#This Row],[I_L]]/TI_MOSFET_S_gFS_L_BO))/1 )</f>
        <v>1.8258528428093646</v>
      </c>
      <c r="AR184" s="145">
        <f ca="1">IF(VACnom&gt;Vbat, (TI_MOSFET_S_QGD_H_BU+TI_MOSFET_S_QGS_H_BU)*10^-9/Table7[[#This Row],[Ion (A)]], (TI_MOSFET_S_QGD_L_BO+TI_MOSFET_S_QGS_L_BO)*10^-9/Table7[[#This Row],[Ion (A)]])/10^-9</f>
        <v>9.6243939159848395</v>
      </c>
      <c r="AS184" s="145">
        <f ca="1">IF(VACnom&gt;Vbat, (TI_MOSFET_S_QGD_H_BU+TI_MOSFET_S_QGS_H_BU)*10^-9/Table7[[#This Row],[Ioff (A)]], (TI_MOSFET_S_QGD_L_BO+TI_MOSFET_S_QGS_L_BO)*10^-9/Table7[[#This Row],[Ioff (A)]])/10^-9</f>
        <v>15.77345080871174</v>
      </c>
      <c r="AT184" s="145">
        <f ca="1" xml:space="preserve"> 0.5*VACnom*Table7[[#This Row],[Ivalley (A)]]*Table7[[#This Row],[ton (ns)]]*10^-9*Fsw*10^3+0.5*VACnom*Table7[[#This Row],[Ipeak (A)]]*Table7[[#This Row],[toff (ns)]]*10^-9*Fsw*10^3/10^-3</f>
        <v>584.08618797160784</v>
      </c>
      <c r="AU184" s="145">
        <f t="shared" ca="1" si="8"/>
        <v>268.64000000000004</v>
      </c>
      <c r="AV184" s="145" t="e">
        <f t="shared" si="9"/>
        <v>#VALUE!</v>
      </c>
      <c r="AW184" s="145">
        <f t="shared" ca="1" si="10"/>
        <v>566.72000000000025</v>
      </c>
      <c r="AX184" s="145">
        <f ca="1">IF(VACnom&gt;Vbat, TI_MOSFET_S_VSD_L_BU*Table7[[#This Row],[Ivalley (A)]]*Fsw*10^3*40*10^-9+TI_MOSFET_S_VSD_L_BU*Table7[[#This Row],[Ipeak (A)]]*Fsw*10^3*30*10^-9, TI_MOSFET_S_VSD_H_BO*Table7[[#This Row],[Ivalley (A)]]*Fsw*10^3*40*10^-9+TI_MOSFET_S_VSD_H_BO*Table7[[#This Row],[Ipeak (A)]]*Fsw*10^3*30*10^-9)/10^-3</f>
        <v>99.115826086956574</v>
      </c>
      <c r="AY184" s="145" t="e">
        <f t="shared" si="11"/>
        <v>#VALUE!</v>
      </c>
      <c r="AZ184" s="145" t="e">
        <f>IF(VACnom&lt;Vbat, Table7[[#This Row],[Duty Cycle]]*Table7[[#This Row],[I_L RMS]]^2*TI_MOSFET_S_RDSON_H_BU*10^-3, (1-Table7[[#This Row],[Duty Cycle]])*Table7[[#This Row],[I_L RMS]]^2*TI_MOSFET_S_RDSON_H_BO*10^-3)/10^-3</f>
        <v>#VALUE!</v>
      </c>
      <c r="BA184" s="145" t="e">
        <f ca="1">IF(VACnom&gt;Vbat, Table7[[#This Row],[PIV (mW)]]+Table7[[#This Row],[Pqoss (mW)]]+Table7[[#This Row],[Pgate_top (mW)]], Table7[[#This Row],[PRR (mW)]]+Table7[[#This Row],[Pdead (mW)]]+Table7[[#This Row],[Pgate_top (mW)]])</f>
        <v>#VALUE!</v>
      </c>
      <c r="BB184" s="145" t="e">
        <f ca="1">Table7[[#This Row],[Pcon_top (mW)]]+Table7[[#This Row],[Psw_top (mW)]]</f>
        <v>#VALUE!</v>
      </c>
      <c r="BC184" s="145" t="e">
        <f>IF(VACnom&gt;Vbat, (1-Table7[[#This Row],[Duty Cycle]])*Table7[[#This Row],[I_L RMS]]^2*TI_MOSFET_S_RDSON_L_BU*10^-3, Table7[[#This Row],[Duty Cycle]]*Table7[[#This Row],[I_L RMS]]^2*TI_MOSFET_S_RDSON_L_BO*10^-3)/10^-3</f>
        <v>#VALUE!</v>
      </c>
      <c r="BD184" s="145" t="e">
        <f ca="1">IF(VACnom&gt;Vbat, Table7[[#This Row],[PRR (mW)]]+Table7[[#This Row],[Pdead (mW)]]+Table7[[#This Row],[Pgate_bottom (mW)]], Table7[[#This Row],[PIV (mW)]]+Table7[[#This Row],[Pqoss (mW)]]+Table7[[#This Row],[Pgate_bottom (mW)]])</f>
        <v>#VALUE!</v>
      </c>
      <c r="BE184" s="147" t="e">
        <f ca="1">Table7[[#This Row],[Pcon_bottom (mW)]]+Table7[[#This Row],[Psw_bottom (mW)]]</f>
        <v>#VALUE!</v>
      </c>
      <c r="BF184" s="145" t="e">
        <f ca="1">Table7[[#This Row],[Pbottom (mW)]]+Table7[[#This Row],[Ptop (mW)]]</f>
        <v>#VALUE!</v>
      </c>
      <c r="BG184" s="142"/>
      <c r="BH184" s="145">
        <f>MAX(0,Table7[[#This Row],[I_L]]-0.5*Table7[[#This Row],[I_L pkpk]])</f>
        <v>9.6652173913043491</v>
      </c>
      <c r="BI184" s="145">
        <f>Table7[[#This Row],[I_L]]+0.5*Table7[[#This Row],[I_L pkpk]]</f>
        <v>10.056521739130435</v>
      </c>
      <c r="BJ184" s="145">
        <f>IF(VACnom&gt;Vbat, (VGS_S-(C_MOSFET_S_VTH_H_BU+Table7[[#This Row],[I_L]]/C_MOSFET_S_gFS_H_BU))/3.4, (VGS_S-(C_MOSFET_S_VTH_L_BO+Table7[[#This Row],[I_L]]/C_MOSFET_S_gFS_L_BO))/3.4 )</f>
        <v>2.9455860305141548</v>
      </c>
      <c r="BK184" s="145">
        <f>IF(VACnom&gt;Vbat, ((C_MOSFET_S_VTH_H_BU+Table7[[#This Row],[I_L]]/C_MOSFET_S_gFS_H_BU))/1, ((C_MOSFET_S_VTH_L_BO+Table7[[#This Row],[I_L]]/C_MOSFET_S_gFS_L_BO))/1 )</f>
        <v>1.985007496251874</v>
      </c>
      <c r="BL184" s="145">
        <f>IF(VACnom&gt;Vbat, (C_MOSFET_S_QGD_H_BU+C_MOSFET_S_QGS_H_BU)*10^-9/Table7[[#This Row],[Ion (A) C]], (C_MOSFET_S_QGD_L_BO+C_MOSFET_S_QGS_L_BO)*10^-9/Table7[[#This Row],[Ion (A) C]])/10^-9</f>
        <v>5.2621107784431125</v>
      </c>
      <c r="BM184" s="145">
        <f>IF(VACnom&gt;Vbat, (C_MOSFET_S_QGD_H_BU+C_MOSFET_S_QGS_H_BU)*10^-9/Table7[[#This Row],[Ioff (A) C]], (C_MOSFET_S_QGD_L_BO+C_MOSFET_S_QGS_L_BO)*10^-9/Table7[[#This Row],[Ioff (A) C]])/10^-9</f>
        <v>7.8085347432024168</v>
      </c>
      <c r="BN184" s="145">
        <f xml:space="preserve"> 0.5*VACnom*Table7[[#This Row],[Ivalley (A) C]]*Table7[[#This Row],[ton (ns) C]]*10^-9*Fsw*10^3+0.5*VACnom*Table7[[#This Row],[Ipeak (A) C]]*Table7[[#This Row],[toff (ns) C]]*10^-9*Fsw*10^3/10^-3</f>
        <v>289.16541653260282</v>
      </c>
      <c r="BO184" s="145">
        <f t="shared" si="12"/>
        <v>305.44000000000011</v>
      </c>
      <c r="BP184" s="145">
        <f t="shared" si="13"/>
        <v>357.69600000000014</v>
      </c>
      <c r="BQ184" s="145">
        <f t="shared" si="14"/>
        <v>1067.2000000000003</v>
      </c>
      <c r="BR184" s="145">
        <f>IF(VACnom&gt;Vbat, C_MOSFET_S_VSD_L_BU*Table7[[#This Row],[Ivalley (A) C]]*Fsw*10^3*40*10^-9+C_MOSFET_S_VSD_L_BU*Table7[[#This Row],[Ipeak (A) C]]*Fsw*10^3*30*10^-9, C_MOSFET_S_VSD_H_BO*Table7[[#This Row],[Ivalley (A) C]]*Fsw*10^3*40*10^-9+C_MOSFET_S_VSD_H_BO*Table7[[#This Row],[Ipeak (A) C]]*Fsw*10^3*30*10^-9)/10^-3</f>
        <v>110.12869565217396</v>
      </c>
      <c r="BS184" s="145">
        <f t="shared" si="15"/>
        <v>357.69600000000014</v>
      </c>
      <c r="BT184" s="145">
        <f>IF(VACnom&lt;Vbat, Table7[[#This Row],[Duty Cycle]]*Table7[[#This Row],[I_L RMS]]^2*C_MOSFET_S_RDSON_H_BU*10^-3, (1-Table7[[#This Row],[Duty Cycle]])*Table7[[#This Row],[I_L RMS]]^2*C_MOSFET_S_RDSON_H_BO*10^-3)/10^-3</f>
        <v>5.496711350373932</v>
      </c>
      <c r="BU184" s="145">
        <f>IF(VACnom&gt;Vbat, Table7[[#This Row],[PIV (mW) C]]+Table7[[#This Row],[PQoss (mW) C]]+Table7[[#This Row],[Pgate_top (mW) C]], Table7[[#This Row],[PRR (mW) C]]+Table7[[#This Row],[Pdead (mW) C]]+Table7[[#This Row],[Pgate_top (mW) C]])</f>
        <v>952.30141653260307</v>
      </c>
      <c r="BV184" s="145">
        <f>Table7[[#This Row],[Pcon_top (mW) C]]+Table7[[#This Row],[Psw_top (mW) C]]</f>
        <v>957.79812788297704</v>
      </c>
      <c r="BW184" s="145">
        <f>IF(VACnom&gt;Vbat, (1-Table7[[#This Row],[Duty Cycle]])*Table7[[#This Row],[I_L RMS]]^2*C_MOSFET_S_RDSON_L_BU*10^-3, Table7[[#This Row],[Duty Cycle]]*Table7[[#This Row],[I_L RMS]]^2*C_MOSFET_S_RDSON_L_BO*10^-3)/10^-3</f>
        <v>3.5940035752444941</v>
      </c>
      <c r="BX184" s="145">
        <f>IF(VACnom&gt;Vbat, Table7[[#This Row],[PRR (mW) C]]+Table7[[#This Row],[Pdead (mW) C]]+Table7[[#This Row],[Pgate_bottom (mW) C]], Table7[[#This Row],[PIV (mW) C]]+Table7[[#This Row],[PQoss (mW) C]]+Table7[[#This Row],[Pgate_bottom (mW) C]])</f>
        <v>1535.0246956521744</v>
      </c>
      <c r="BY184" s="145">
        <f>Table7[[#This Row],[Pcon_bottom (mW) C]]+Table7[[#This Row],[Psw_bottom (mV) C]]</f>
        <v>1538.6186992274188</v>
      </c>
      <c r="BZ184" s="145">
        <f>Table7[[#This Row],[Pbottom (mW) C]]+Table7[[#This Row],[Ptop (mW) C]]</f>
        <v>2496.4168271103958</v>
      </c>
      <c r="CA184" s="148"/>
      <c r="CB184" s="144">
        <f>(RAC_SNS*10^-3*(Table7[[#This Row],[IOUT (A)]]*Vbat/VACnom)^2/10^-3)</f>
        <v>194.47349716446129</v>
      </c>
      <c r="CC184" s="144">
        <f>(RBAT_SNS*10^-3*Table7[[#This Row],[IOUT (A)]]^2)/10^-3</f>
        <v>508.03200000000004</v>
      </c>
      <c r="CD184" s="144">
        <f>IF(VACnom&gt;Vbat,(L_DRC*10^-3*(Table7[[#This Row],[IOUT (A)]])^2/10^-3),(L_DRC*10^-3*(Table7[[#This Row],[IOUT (A)]]*Vbat/VACnom)^2/10^-3))</f>
        <v>508.03200000000004</v>
      </c>
      <c r="CE184" s="152"/>
      <c r="CF184" s="145">
        <f>(Table7[[#This Row],[R_AC (mW)]]+Table7[[#This Row],[R_SR (mW)]]+Table7[[#This Row],[Inductor Loss (mW)]])/10^3</f>
        <v>1.2105374971644614</v>
      </c>
      <c r="CG184" s="145" t="e">
        <f ca="1">Table7[[#This Row],[Total TI (mW)]]/10^3</f>
        <v>#VALUE!</v>
      </c>
      <c r="CH184" s="145" t="e">
        <f ca="1">Table7[[#This Row],[Total Sense Loss]]+Table7[[#This Row],[Total MOSFET Loss]]</f>
        <v>#VALUE!</v>
      </c>
      <c r="CI184" s="149" t="e">
        <f ca="1">IF(Table7[[#This Row],[POUT (W)]]=0,0,(Table7[[#This Row],[POUT (W)]])/(Table7[[#This Row],[POUT (W)]]+Table7[[#This Row],[Total Power Loss (W)]]))*100</f>
        <v>#VALUE!</v>
      </c>
      <c r="CJ184" s="153"/>
      <c r="CK184" s="145">
        <f>(Table7[[#This Row],[R_AC (mW)]]+Table7[[#This Row],[R_SR (mW)]]+Table7[[#This Row],[Inductor Loss (mW)]])/10^3</f>
        <v>1.2105374971644614</v>
      </c>
      <c r="CL184" s="145">
        <f>Table7[[#This Row],[Total (mW) C]]/10^3</f>
        <v>2.4964168271103957</v>
      </c>
      <c r="CM184" s="145">
        <f>Table7[[#This Row],[Total Sense Loss C]]+Table7[[#This Row],[Total MOSFET Loss C]]</f>
        <v>3.7069543242748573</v>
      </c>
      <c r="CN184" s="149">
        <f>IF(Table7[[#This Row],[POUT (W)]]=0,0,(Table7[[#This Row],[POUT (W)]])/(Table7[[#This Row],[POUT (W)]]+Table7[[#This Row],[Total Power Loss (W) C]]))*100</f>
        <v>99.010557885549559</v>
      </c>
      <c r="CO184" s="153"/>
      <c r="CP184" s="149">
        <f>IF(MOSFET_S=Custom_MOSFET,Table7[[#This Row],[Total Sense Loss C]],Table7[[#This Row],[Total Sense Loss]])</f>
        <v>1.2105374971644614</v>
      </c>
      <c r="CQ184" s="149">
        <f>IF(MOSFET_S=Custom_MOSFET,Table7[[#This Row],[Total MOSFET Loss C]],Table7[[#This Row],[Total MOSFET Loss]])</f>
        <v>2.4964168271103957</v>
      </c>
      <c r="CR184" s="149">
        <f>IF(MOSFET_S=Custom_MOSFET,Table7[[#This Row],[Efficiency C]],Table7[[#This Row],[Efficiency]])</f>
        <v>99.010557885549559</v>
      </c>
      <c r="CS184" s="153"/>
      <c r="CT184" s="149">
        <f>IF(MOSFET_S=Compare_MOSFET, Table7[[#This Row],[Total Sense Loss C]], -100)</f>
        <v>-100</v>
      </c>
      <c r="CU184" s="149">
        <f>IF(MOSFET_S=Compare_MOSFET, Table7[[#This Row],[Total MOSFET Loss C]], -100)</f>
        <v>-100</v>
      </c>
      <c r="CV184" s="149">
        <f>IF(MOSFET_S=Compare_MOSFET, Table7[[#This Row],[Efficiency C]], -100)</f>
        <v>-100</v>
      </c>
      <c r="CW184" s="153"/>
      <c r="CX184" s="149">
        <f ca="1">IF(Save_Sel=CLR_Save,  Table7[[#This Row],[Total Sense Loss P1]], Table7[[#This Row],[Total Sense Loss P1 Saved]])</f>
        <v>1.2105374971644614</v>
      </c>
      <c r="CY184" s="149">
        <f ca="1">IF(Save_Sel=CLR_Save,  Table7[[#This Row],[Total MOSFET Loss P1]], Table7[[#This Row],[Total MOSFET Loss P1 Saved]] )</f>
        <v>2.4964168271103957</v>
      </c>
      <c r="CZ184" s="149">
        <f ca="1">IF(Save_Sel=CLR_Save, Table7[[#This Row],[Efficiency P1]], Table7[[#This Row],[Efficiency P1 Saved]])</f>
        <v>99.010557885549559</v>
      </c>
      <c r="DA184" s="153"/>
      <c r="DB184" s="149">
        <f ca="1">IF(Save_Sel=CLR_Save,  Table7[[#This Row],[Total Sense Loss P2]], Table7[[#This Row],[Total Sense Loss P2 Saved]])</f>
        <v>-100</v>
      </c>
      <c r="DC184" s="149">
        <f ca="1">IF(Save_Sel=CLR_Save,  Table7[[#This Row],[Total MOSFET Loss P2]], Table7[[#This Row],[Total MOSFET Loss P2 Saved]] )</f>
        <v>-100</v>
      </c>
      <c r="DD184" s="149">
        <f ca="1">IF(Save_Sel=CLR_Save, Table7[[#This Row],[Efficiency P2]], Table7[[#This Row],[Efficiency P2 Saved]])</f>
        <v>-100</v>
      </c>
      <c r="DE184" s="153"/>
      <c r="DF184" s="19"/>
      <c r="DG184" s="19"/>
      <c r="DH184" s="19"/>
      <c r="DI184" s="19"/>
      <c r="DJ184" s="19"/>
      <c r="DK184" s="19"/>
      <c r="DL184" s="19"/>
      <c r="DM184" s="19"/>
      <c r="DN184" s="19"/>
      <c r="DO184" s="19"/>
      <c r="DP184" s="19"/>
      <c r="DQ184" s="19"/>
      <c r="DR184" s="19"/>
      <c r="DS184" s="19"/>
      <c r="DT184" s="19"/>
      <c r="DU184" s="19"/>
      <c r="DV184" s="19"/>
      <c r="DW184" s="19"/>
      <c r="DX184" s="19"/>
      <c r="DY184" s="19"/>
      <c r="DZ184" s="19"/>
      <c r="EA184" s="19"/>
      <c r="EB184" s="19"/>
      <c r="EC184" s="19"/>
      <c r="ED184" s="19"/>
      <c r="EE184" s="19"/>
      <c r="EF184" s="19"/>
      <c r="EG184" s="19"/>
      <c r="EH184" s="19"/>
      <c r="EI184" s="19"/>
      <c r="EJ184" s="19"/>
      <c r="EK184" s="19"/>
      <c r="EL184" s="19"/>
      <c r="EM184" s="19"/>
      <c r="EN184" s="19"/>
      <c r="EO184" s="19"/>
      <c r="EP184" s="19"/>
      <c r="EQ184" s="19"/>
      <c r="ER184" s="19"/>
      <c r="ES184" s="19"/>
      <c r="ET184" s="19"/>
      <c r="EU184" s="19"/>
      <c r="EV184" s="19"/>
      <c r="EW184" s="19"/>
      <c r="EX184" s="19"/>
      <c r="EY184" s="19"/>
      <c r="EZ184" s="19"/>
      <c r="FA184" s="19"/>
      <c r="FB184" s="19"/>
      <c r="FC184" s="19"/>
      <c r="FD184" s="19"/>
      <c r="FE184" s="19"/>
      <c r="FF184" s="19"/>
      <c r="FG184" s="19"/>
      <c r="FH184" s="19"/>
      <c r="FI184" s="19"/>
    </row>
    <row r="185" spans="1:165" x14ac:dyDescent="0.25">
      <c r="A185" s="48">
        <v>12</v>
      </c>
      <c r="B185" s="49"/>
      <c r="C185" s="49"/>
      <c r="D185" s="32" t="s">
        <v>151</v>
      </c>
      <c r="E185" s="117">
        <f t="shared" ca="1" si="22"/>
        <v>1.75</v>
      </c>
      <c r="F185" s="117">
        <f t="shared" ca="1" si="23"/>
        <v>1.75</v>
      </c>
      <c r="G185" s="42" t="s">
        <v>7</v>
      </c>
      <c r="H185" s="29"/>
      <c r="I185" s="48">
        <v>12</v>
      </c>
      <c r="J185" s="29"/>
      <c r="K185" s="49"/>
      <c r="L185" s="49"/>
      <c r="M185" s="32" t="s">
        <v>151</v>
      </c>
      <c r="N185" s="117">
        <f t="shared" si="24"/>
        <v>1.9</v>
      </c>
      <c r="O185" s="117">
        <f t="shared" si="25"/>
        <v>1.9</v>
      </c>
      <c r="P185" s="42" t="s">
        <v>7</v>
      </c>
      <c r="Q185" s="29"/>
      <c r="R185" s="29"/>
      <c r="S185" s="30"/>
      <c r="T185" s="18"/>
      <c r="U185" s="19"/>
      <c r="V185" s="19"/>
      <c r="W185" s="19"/>
      <c r="X185" s="19"/>
      <c r="Y185" s="19"/>
      <c r="Z185" s="19"/>
      <c r="AA185" s="19"/>
      <c r="AB185" s="19"/>
      <c r="AC185" s="19"/>
      <c r="AD185" s="19"/>
      <c r="AE185" s="19"/>
      <c r="AF185" s="143">
        <f t="shared" si="17"/>
        <v>29</v>
      </c>
      <c r="AG185" s="143">
        <f t="shared" si="16"/>
        <v>10.44</v>
      </c>
      <c r="AH185" s="144">
        <f t="shared" si="3"/>
        <v>384.19199999999995</v>
      </c>
      <c r="AI185" s="145">
        <f t="shared" si="4"/>
        <v>0.97826086956521752</v>
      </c>
      <c r="AJ185" s="145">
        <f t="shared" si="5"/>
        <v>10.21304347826087</v>
      </c>
      <c r="AK185" s="145">
        <f t="shared" ref="AK185:AK216" si="26">Ipkpk_VACnom</f>
        <v>0.39130434782608459</v>
      </c>
      <c r="AL185" s="145">
        <f t="shared" ref="AL185:AL216" si="27">SQRT(AJ185^2+AK185^2/12)</f>
        <v>10.213668146813491</v>
      </c>
      <c r="AM185" s="146"/>
      <c r="AN185" s="145">
        <f>MAX(0,Table7[[#This Row],[I_L]]-0.5*Table7[[#This Row],[I_L pkpk]])</f>
        <v>10.017391304347827</v>
      </c>
      <c r="AO185" s="145">
        <f>Table7[[#This Row],[I_L]]+0.5*Table7[[#This Row],[I_L pkpk]]</f>
        <v>10.408695652173913</v>
      </c>
      <c r="AP185" s="145">
        <f ca="1">IF(VACnom&gt;Vbat, (VGS_S-(TI_MOSFET_S_VTH_H_BU+Table7[[#This Row],[I_L]]/TI_MOSFET_S_gFS_H_BU))/3.4, (VGS_S-(TI_MOSFET_S_VTH_L_BO+Table7[[#This Row],[I_L]]/TI_MOSFET_S_gFS_L_BO))/3.4 )</f>
        <v>2.9915994491442062</v>
      </c>
      <c r="AQ185" s="145">
        <f ca="1">IF(VACnom&gt;Vbat, ((TI_MOSFET_S_VTH_H_BU+Table7[[#This Row],[I_L]]/TI_MOSFET_S_gFS_H_BU))/1, ((TI_MOSFET_S_VTH_L_BO+Table7[[#This Row],[I_L]]/TI_MOSFET_S_gFS_L_BO))/1 )</f>
        <v>1.8285618729096991</v>
      </c>
      <c r="AR185" s="145">
        <f ca="1">IF(VACnom&gt;Vbat, (TI_MOSFET_S_QGD_H_BU+TI_MOSFET_S_QGS_H_BU)*10^-9/Table7[[#This Row],[Ion (A)]], (TI_MOSFET_S_QGD_L_BO+TI_MOSFET_S_QGS_L_BO)*10^-9/Table7[[#This Row],[Ion (A)]])/10^-9</f>
        <v>9.6269572479827445</v>
      </c>
      <c r="AS185" s="145">
        <f ca="1">IF(VACnom&gt;Vbat, (TI_MOSFET_S_QGD_H_BU+TI_MOSFET_S_QGS_H_BU)*10^-9/Table7[[#This Row],[Ioff (A)]], (TI_MOSFET_S_QGD_L_BO+TI_MOSFET_S_QGS_L_BO)*10^-9/Table7[[#This Row],[Ioff (A)]])/10^-9</f>
        <v>15.750082306032118</v>
      </c>
      <c r="AT185" s="145">
        <f ca="1" xml:space="preserve"> 0.5*VACnom*Table7[[#This Row],[Ivalley (A)]]*Table7[[#This Row],[ton (ns)]]*10^-9*Fsw*10^3+0.5*VACnom*Table7[[#This Row],[Ipeak (A)]]*Table7[[#This Row],[toff (ns)]]*10^-9*Fsw*10^3/10^-3</f>
        <v>603.64604080224399</v>
      </c>
      <c r="AU185" s="145">
        <f t="shared" ca="1" si="8"/>
        <v>268.64000000000004</v>
      </c>
      <c r="AV185" s="145" t="e">
        <f t="shared" si="9"/>
        <v>#VALUE!</v>
      </c>
      <c r="AW185" s="145">
        <f t="shared" ca="1" si="10"/>
        <v>566.72000000000025</v>
      </c>
      <c r="AX185" s="145">
        <f ca="1">IF(VACnom&gt;Vbat, TI_MOSFET_S_VSD_L_BU*Table7[[#This Row],[Ivalley (A)]]*Fsw*10^3*40*10^-9+TI_MOSFET_S_VSD_L_BU*Table7[[#This Row],[Ipeak (A)]]*Fsw*10^3*30*10^-9, TI_MOSFET_S_VSD_H_BO*Table7[[#This Row],[Ivalley (A)]]*Fsw*10^3*40*10^-9+TI_MOSFET_S_VSD_H_BO*Table7[[#This Row],[Ipeak (A)]]*Fsw*10^3*30*10^-9)/10^-3</f>
        <v>102.6657391304348</v>
      </c>
      <c r="AY185" s="145" t="e">
        <f t="shared" si="11"/>
        <v>#VALUE!</v>
      </c>
      <c r="AZ185" s="145" t="e">
        <f>IF(VACnom&lt;Vbat, Table7[[#This Row],[Duty Cycle]]*Table7[[#This Row],[I_L RMS]]^2*TI_MOSFET_S_RDSON_H_BU*10^-3, (1-Table7[[#This Row],[Duty Cycle]])*Table7[[#This Row],[I_L RMS]]^2*TI_MOSFET_S_RDSON_H_BO*10^-3)/10^-3</f>
        <v>#VALUE!</v>
      </c>
      <c r="BA185" s="145" t="e">
        <f ca="1">IF(VACnom&gt;Vbat, Table7[[#This Row],[PIV (mW)]]+Table7[[#This Row],[Pqoss (mW)]]+Table7[[#This Row],[Pgate_top (mW)]], Table7[[#This Row],[PRR (mW)]]+Table7[[#This Row],[Pdead (mW)]]+Table7[[#This Row],[Pgate_top (mW)]])</f>
        <v>#VALUE!</v>
      </c>
      <c r="BB185" s="145" t="e">
        <f ca="1">Table7[[#This Row],[Pcon_top (mW)]]+Table7[[#This Row],[Psw_top (mW)]]</f>
        <v>#VALUE!</v>
      </c>
      <c r="BC185" s="145" t="e">
        <f>IF(VACnom&gt;Vbat, (1-Table7[[#This Row],[Duty Cycle]])*Table7[[#This Row],[I_L RMS]]^2*TI_MOSFET_S_RDSON_L_BU*10^-3, Table7[[#This Row],[Duty Cycle]]*Table7[[#This Row],[I_L RMS]]^2*TI_MOSFET_S_RDSON_L_BO*10^-3)/10^-3</f>
        <v>#VALUE!</v>
      </c>
      <c r="BD185" s="145" t="e">
        <f ca="1">IF(VACnom&gt;Vbat, Table7[[#This Row],[PRR (mW)]]+Table7[[#This Row],[Pdead (mW)]]+Table7[[#This Row],[Pgate_bottom (mW)]], Table7[[#This Row],[PIV (mW)]]+Table7[[#This Row],[Pqoss (mW)]]+Table7[[#This Row],[Pgate_bottom (mW)]])</f>
        <v>#VALUE!</v>
      </c>
      <c r="BE185" s="147" t="e">
        <f ca="1">Table7[[#This Row],[Pcon_bottom (mW)]]+Table7[[#This Row],[Psw_bottom (mW)]]</f>
        <v>#VALUE!</v>
      </c>
      <c r="BF185" s="145" t="e">
        <f ca="1">Table7[[#This Row],[Pbottom (mW)]]+Table7[[#This Row],[Ptop (mW)]]</f>
        <v>#VALUE!</v>
      </c>
      <c r="BG185" s="142"/>
      <c r="BH185" s="145">
        <f>MAX(0,Table7[[#This Row],[I_L]]-0.5*Table7[[#This Row],[I_L pkpk]])</f>
        <v>10.017391304347827</v>
      </c>
      <c r="BI185" s="145">
        <f>Table7[[#This Row],[I_L]]+0.5*Table7[[#This Row],[I_L pkpk]]</f>
        <v>10.408695652173913</v>
      </c>
      <c r="BJ185" s="145">
        <f>IF(VACnom&gt;Vbat, (VGS_S-(C_MOSFET_S_VTH_H_BU+Table7[[#This Row],[I_L]]/C_MOSFET_S_gFS_H_BU))/3.4, (VGS_S-(C_MOSFET_S_VTH_L_BO+Table7[[#This Row],[I_L]]/C_MOSFET_S_gFS_L_BO))/3.4 )</f>
        <v>2.9446930946291561</v>
      </c>
      <c r="BK185" s="145">
        <f>IF(VACnom&gt;Vbat, ((C_MOSFET_S_VTH_H_BU+Table7[[#This Row],[I_L]]/C_MOSFET_S_gFS_H_BU))/1, ((C_MOSFET_S_VTH_L_BO+Table7[[#This Row],[I_L]]/C_MOSFET_S_gFS_L_BO))/1 )</f>
        <v>1.9880434782608696</v>
      </c>
      <c r="BL185" s="145">
        <f>IF(VACnom&gt;Vbat, (C_MOSFET_S_QGD_H_BU+C_MOSFET_S_QGS_H_BU)*10^-9/Table7[[#This Row],[Ion (A) C]], (C_MOSFET_S_QGD_L_BO+C_MOSFET_S_QGS_L_BO)*10^-9/Table7[[#This Row],[Ion (A) C]])/10^-9</f>
        <v>5.2637064379546183</v>
      </c>
      <c r="BM185" s="145">
        <f>IF(VACnom&gt;Vbat, (C_MOSFET_S_QGD_H_BU+C_MOSFET_S_QGS_H_BU)*10^-9/Table7[[#This Row],[Ioff (A) C]], (C_MOSFET_S_QGD_L_BO+C_MOSFET_S_QGS_L_BO)*10^-9/Table7[[#This Row],[Ioff (A) C]])/10^-9</f>
        <v>7.796610169491526</v>
      </c>
      <c r="BN185" s="145">
        <f xml:space="preserve"> 0.5*VACnom*Table7[[#This Row],[Ivalley (A) C]]*Table7[[#This Row],[ton (ns) C]]*10^-9*Fsw*10^3+0.5*VACnom*Table7[[#This Row],[Ipeak (A) C]]*Table7[[#This Row],[toff (ns) C]]*10^-9*Fsw*10^3/10^-3</f>
        <v>298.83539720633223</v>
      </c>
      <c r="BO185" s="145">
        <f t="shared" si="12"/>
        <v>305.44000000000011</v>
      </c>
      <c r="BP185" s="145">
        <f t="shared" si="13"/>
        <v>357.69600000000014</v>
      </c>
      <c r="BQ185" s="145">
        <f t="shared" si="14"/>
        <v>1067.2000000000003</v>
      </c>
      <c r="BR185" s="145">
        <f>IF(VACnom&gt;Vbat, C_MOSFET_S_VSD_L_BU*Table7[[#This Row],[Ivalley (A) C]]*Fsw*10^3*40*10^-9+C_MOSFET_S_VSD_L_BU*Table7[[#This Row],[Ipeak (A) C]]*Fsw*10^3*30*10^-9, C_MOSFET_S_VSD_H_BO*Table7[[#This Row],[Ivalley (A) C]]*Fsw*10^3*40*10^-9+C_MOSFET_S_VSD_H_BO*Table7[[#This Row],[Ipeak (A) C]]*Fsw*10^3*30*10^-9)/10^-3</f>
        <v>114.07304347826091</v>
      </c>
      <c r="BS185" s="145">
        <f t="shared" si="15"/>
        <v>357.69600000000014</v>
      </c>
      <c r="BT185" s="145">
        <f>IF(VACnom&lt;Vbat, Table7[[#This Row],[Duty Cycle]]*Table7[[#This Row],[I_L RMS]]^2*C_MOSFET_S_RDSON_H_BU*10^-3, (1-Table7[[#This Row],[Duty Cycle]])*Table7[[#This Row],[I_L RMS]]^2*C_MOSFET_S_RDSON_H_BO*10^-3)/10^-3</f>
        <v>5.8962922659652843</v>
      </c>
      <c r="BU185" s="145">
        <f>IF(VACnom&gt;Vbat, Table7[[#This Row],[PIV (mW) C]]+Table7[[#This Row],[PQoss (mW) C]]+Table7[[#This Row],[Pgate_top (mW) C]], Table7[[#This Row],[PRR (mW) C]]+Table7[[#This Row],[Pdead (mW) C]]+Table7[[#This Row],[Pgate_top (mW) C]])</f>
        <v>961.97139720633254</v>
      </c>
      <c r="BV185" s="145">
        <f>Table7[[#This Row],[Pcon_top (mW) C]]+Table7[[#This Row],[Psw_top (mW) C]]</f>
        <v>967.8676894722978</v>
      </c>
      <c r="BW185" s="145">
        <f>IF(VACnom&gt;Vbat, (1-Table7[[#This Row],[Duty Cycle]])*Table7[[#This Row],[I_L RMS]]^2*C_MOSFET_S_RDSON_L_BU*10^-3, Table7[[#This Row],[Duty Cycle]]*Table7[[#This Row],[I_L RMS]]^2*C_MOSFET_S_RDSON_L_BO*10^-3)/10^-3</f>
        <v>3.8552680200542238</v>
      </c>
      <c r="BX185" s="145">
        <f>IF(VACnom&gt;Vbat, Table7[[#This Row],[PRR (mW) C]]+Table7[[#This Row],[Pdead (mW) C]]+Table7[[#This Row],[Pgate_bottom (mW) C]], Table7[[#This Row],[PIV (mW) C]]+Table7[[#This Row],[PQoss (mW) C]]+Table7[[#This Row],[Pgate_bottom (mW) C]])</f>
        <v>1538.9690434782613</v>
      </c>
      <c r="BY185" s="145">
        <f>Table7[[#This Row],[Pcon_bottom (mW) C]]+Table7[[#This Row],[Psw_bottom (mV) C]]</f>
        <v>1542.8243114983154</v>
      </c>
      <c r="BZ185" s="145">
        <f>Table7[[#This Row],[Pbottom (mW) C]]+Table7[[#This Row],[Ptop (mW) C]]</f>
        <v>2510.6920009706132</v>
      </c>
      <c r="CA185" s="148"/>
      <c r="CB185" s="144">
        <f>(RAC_SNS*10^-3*(Table7[[#This Row],[IOUT (A)]]*Vbat/VACnom)^2/10^-3)</f>
        <v>208.61251417769378</v>
      </c>
      <c r="CC185" s="144">
        <f>(RBAT_SNS*10^-3*Table7[[#This Row],[IOUT (A)]]^2)/10^-3</f>
        <v>544.96799999999985</v>
      </c>
      <c r="CD185" s="144">
        <f>IF(VACnom&gt;Vbat,(L_DRC*10^-3*(Table7[[#This Row],[IOUT (A)]])^2/10^-3),(L_DRC*10^-3*(Table7[[#This Row],[IOUT (A)]]*Vbat/VACnom)^2/10^-3))</f>
        <v>544.96799999999985</v>
      </c>
      <c r="CE185" s="152"/>
      <c r="CF185" s="145">
        <f>(Table7[[#This Row],[R_AC (mW)]]+Table7[[#This Row],[R_SR (mW)]]+Table7[[#This Row],[Inductor Loss (mW)]])/10^3</f>
        <v>1.2985485141776936</v>
      </c>
      <c r="CG185" s="145" t="e">
        <f ca="1">Table7[[#This Row],[Total TI (mW)]]/10^3</f>
        <v>#VALUE!</v>
      </c>
      <c r="CH185" s="145" t="e">
        <f ca="1">Table7[[#This Row],[Total Sense Loss]]+Table7[[#This Row],[Total MOSFET Loss]]</f>
        <v>#VALUE!</v>
      </c>
      <c r="CI185" s="149" t="e">
        <f ca="1">IF(Table7[[#This Row],[POUT (W)]]=0,0,(Table7[[#This Row],[POUT (W)]])/(Table7[[#This Row],[POUT (W)]]+Table7[[#This Row],[Total Power Loss (W)]]))*100</f>
        <v>#VALUE!</v>
      </c>
      <c r="CJ185" s="153"/>
      <c r="CK185" s="145">
        <f>(Table7[[#This Row],[R_AC (mW)]]+Table7[[#This Row],[R_SR (mW)]]+Table7[[#This Row],[Inductor Loss (mW)]])/10^3</f>
        <v>1.2985485141776936</v>
      </c>
      <c r="CL185" s="145">
        <f>Table7[[#This Row],[Total (mW) C]]/10^3</f>
        <v>2.5106920009706131</v>
      </c>
      <c r="CM185" s="145">
        <f>Table7[[#This Row],[Total Sense Loss C]]+Table7[[#This Row],[Total MOSFET Loss C]]</f>
        <v>3.8092405151483066</v>
      </c>
      <c r="CN185" s="149">
        <f>IF(Table7[[#This Row],[POUT (W)]]=0,0,(Table7[[#This Row],[POUT (W)]])/(Table7[[#This Row],[POUT (W)]]+Table7[[#This Row],[Total Power Loss (W) C]]))*100</f>
        <v>99.018240119518481</v>
      </c>
      <c r="CO185" s="153"/>
      <c r="CP185" s="149">
        <f>IF(MOSFET_S=Custom_MOSFET,Table7[[#This Row],[Total Sense Loss C]],Table7[[#This Row],[Total Sense Loss]])</f>
        <v>1.2985485141776936</v>
      </c>
      <c r="CQ185" s="149">
        <f>IF(MOSFET_S=Custom_MOSFET,Table7[[#This Row],[Total MOSFET Loss C]],Table7[[#This Row],[Total MOSFET Loss]])</f>
        <v>2.5106920009706131</v>
      </c>
      <c r="CR185" s="149">
        <f>IF(MOSFET_S=Custom_MOSFET,Table7[[#This Row],[Efficiency C]],Table7[[#This Row],[Efficiency]])</f>
        <v>99.018240119518481</v>
      </c>
      <c r="CS185" s="153"/>
      <c r="CT185" s="149">
        <f>IF(MOSFET_S=Compare_MOSFET, Table7[[#This Row],[Total Sense Loss C]], -100)</f>
        <v>-100</v>
      </c>
      <c r="CU185" s="149">
        <f>IF(MOSFET_S=Compare_MOSFET, Table7[[#This Row],[Total MOSFET Loss C]], -100)</f>
        <v>-100</v>
      </c>
      <c r="CV185" s="149">
        <f>IF(MOSFET_S=Compare_MOSFET, Table7[[#This Row],[Efficiency C]], -100)</f>
        <v>-100</v>
      </c>
      <c r="CW185" s="153"/>
      <c r="CX185" s="149">
        <f ca="1">IF(Save_Sel=CLR_Save,  Table7[[#This Row],[Total Sense Loss P1]], Table7[[#This Row],[Total Sense Loss P1 Saved]])</f>
        <v>1.2985485141776936</v>
      </c>
      <c r="CY185" s="149">
        <f ca="1">IF(Save_Sel=CLR_Save,  Table7[[#This Row],[Total MOSFET Loss P1]], Table7[[#This Row],[Total MOSFET Loss P1 Saved]] )</f>
        <v>2.5106920009706131</v>
      </c>
      <c r="CZ185" s="149">
        <f ca="1">IF(Save_Sel=CLR_Save, Table7[[#This Row],[Efficiency P1]], Table7[[#This Row],[Efficiency P1 Saved]])</f>
        <v>99.018240119518481</v>
      </c>
      <c r="DA185" s="153"/>
      <c r="DB185" s="149">
        <f ca="1">IF(Save_Sel=CLR_Save,  Table7[[#This Row],[Total Sense Loss P2]], Table7[[#This Row],[Total Sense Loss P2 Saved]])</f>
        <v>-100</v>
      </c>
      <c r="DC185" s="149">
        <f ca="1">IF(Save_Sel=CLR_Save,  Table7[[#This Row],[Total MOSFET Loss P2]], Table7[[#This Row],[Total MOSFET Loss P2 Saved]] )</f>
        <v>-100</v>
      </c>
      <c r="DD185" s="149">
        <f ca="1">IF(Save_Sel=CLR_Save, Table7[[#This Row],[Efficiency P2]], Table7[[#This Row],[Efficiency P2 Saved]])</f>
        <v>-100</v>
      </c>
      <c r="DE185" s="153"/>
      <c r="DF185" s="19"/>
      <c r="DG185" s="19"/>
      <c r="DH185" s="19"/>
      <c r="DI185" s="19"/>
      <c r="DJ185" s="19"/>
      <c r="DK185" s="19"/>
      <c r="DL185" s="19"/>
      <c r="DM185" s="19"/>
      <c r="DN185" s="19"/>
      <c r="DO185" s="19"/>
      <c r="DP185" s="19"/>
      <c r="DQ185" s="19"/>
      <c r="DR185" s="19"/>
      <c r="DS185" s="19"/>
      <c r="DT185" s="19"/>
      <c r="DU185" s="19"/>
      <c r="DV185" s="19"/>
      <c r="DW185" s="19"/>
      <c r="DX185" s="19"/>
      <c r="DY185" s="19"/>
      <c r="DZ185" s="19"/>
      <c r="EA185" s="19"/>
      <c r="EB185" s="19"/>
      <c r="EC185" s="19"/>
      <c r="ED185" s="19"/>
      <c r="EE185" s="19"/>
      <c r="EF185" s="19"/>
      <c r="EG185" s="19"/>
      <c r="EH185" s="19"/>
      <c r="EI185" s="19"/>
      <c r="EJ185" s="19"/>
      <c r="EK185" s="19"/>
      <c r="EL185" s="19"/>
      <c r="EM185" s="19"/>
      <c r="EN185" s="19"/>
      <c r="EO185" s="19"/>
      <c r="EP185" s="19"/>
      <c r="EQ185" s="19"/>
      <c r="ER185" s="19"/>
      <c r="ES185" s="19"/>
      <c r="ET185" s="19"/>
      <c r="EU185" s="19"/>
      <c r="EV185" s="19"/>
      <c r="EW185" s="19"/>
      <c r="EX185" s="19"/>
      <c r="EY185" s="19"/>
      <c r="EZ185" s="19"/>
      <c r="FA185" s="19"/>
      <c r="FB185" s="19"/>
      <c r="FC185" s="19"/>
      <c r="FD185" s="19"/>
      <c r="FE185" s="19"/>
      <c r="FF185" s="19"/>
      <c r="FG185" s="19"/>
      <c r="FH185" s="19"/>
      <c r="FI185" s="19"/>
    </row>
    <row r="186" spans="1:165" x14ac:dyDescent="0.25">
      <c r="A186" s="48">
        <v>13</v>
      </c>
      <c r="B186" s="49"/>
      <c r="C186" s="49"/>
      <c r="D186" s="32" t="s">
        <v>157</v>
      </c>
      <c r="E186" s="117">
        <f t="shared" ca="1" si="22"/>
        <v>0.72</v>
      </c>
      <c r="F186" s="117">
        <f t="shared" ca="1" si="23"/>
        <v>0.72</v>
      </c>
      <c r="G186" s="42" t="s">
        <v>7</v>
      </c>
      <c r="H186" s="29"/>
      <c r="I186" s="48">
        <v>13</v>
      </c>
      <c r="J186" s="29"/>
      <c r="K186" s="49"/>
      <c r="L186" s="49"/>
      <c r="M186" s="32" t="s">
        <v>157</v>
      </c>
      <c r="N186" s="117">
        <f t="shared" si="24"/>
        <v>0.8</v>
      </c>
      <c r="O186" s="117">
        <f t="shared" si="25"/>
        <v>0.8</v>
      </c>
      <c r="P186" s="42" t="s">
        <v>7</v>
      </c>
      <c r="Q186" s="29"/>
      <c r="R186" s="29"/>
      <c r="S186" s="30"/>
      <c r="T186" s="18"/>
      <c r="U186" s="19"/>
      <c r="V186" s="19"/>
      <c r="W186" s="19"/>
      <c r="X186" s="19"/>
      <c r="Y186" s="19"/>
      <c r="Z186" s="19"/>
      <c r="AA186" s="19"/>
      <c r="AB186" s="19"/>
      <c r="AC186" s="19"/>
      <c r="AD186" s="19"/>
      <c r="AE186" s="19"/>
      <c r="AF186" s="143">
        <f>AF185+1</f>
        <v>30</v>
      </c>
      <c r="AG186" s="143">
        <f t="shared" si="16"/>
        <v>10.8</v>
      </c>
      <c r="AH186" s="144">
        <f t="shared" si="3"/>
        <v>397.44</v>
      </c>
      <c r="AI186" s="145">
        <f t="shared" si="4"/>
        <v>0.97826086956521752</v>
      </c>
      <c r="AJ186" s="145">
        <f t="shared" si="5"/>
        <v>10.565217391304349</v>
      </c>
      <c r="AK186" s="145">
        <f t="shared" si="26"/>
        <v>0.39130434782608459</v>
      </c>
      <c r="AL186" s="145">
        <f t="shared" si="27"/>
        <v>10.565821238782412</v>
      </c>
      <c r="AM186" s="146"/>
      <c r="AN186" s="145">
        <f>MAX(0,Table7[[#This Row],[I_L]]-0.5*Table7[[#This Row],[I_L pkpk]])</f>
        <v>10.369565217391306</v>
      </c>
      <c r="AO186" s="145">
        <f>Table7[[#This Row],[I_L]]+0.5*Table7[[#This Row],[I_L pkpk]]</f>
        <v>10.760869565217392</v>
      </c>
      <c r="AP186" s="145">
        <f ca="1">IF(VACnom&gt;Vbat, (VGS_S-(TI_MOSFET_S_VTH_H_BU+Table7[[#This Row],[I_L]]/TI_MOSFET_S_gFS_H_BU))/3.4, (VGS_S-(TI_MOSFET_S_VTH_L_BO+Table7[[#This Row],[I_L]]/TI_MOSFET_S_gFS_L_BO))/3.4 )</f>
        <v>2.9908026755852846</v>
      </c>
      <c r="AQ186" s="145">
        <f ca="1">IF(VACnom&gt;Vbat, ((TI_MOSFET_S_VTH_H_BU+Table7[[#This Row],[I_L]]/TI_MOSFET_S_gFS_H_BU))/1, ((TI_MOSFET_S_VTH_L_BO+Table7[[#This Row],[I_L]]/TI_MOSFET_S_gFS_L_BO))/1 )</f>
        <v>1.8312709030100334</v>
      </c>
      <c r="AR186" s="145">
        <f ca="1">IF(VACnom&gt;Vbat, (TI_MOSFET_S_QGD_H_BU+TI_MOSFET_S_QGS_H_BU)*10^-9/Table7[[#This Row],[Ion (A)]], (TI_MOSFET_S_QGD_L_BO+TI_MOSFET_S_QGS_L_BO)*10^-9/Table7[[#This Row],[Ion (A)]])/10^-9</f>
        <v>9.6295219457646066</v>
      </c>
      <c r="AS186" s="145">
        <f ca="1">IF(VACnom&gt;Vbat, (TI_MOSFET_S_QGD_H_BU+TI_MOSFET_S_QGS_H_BU)*10^-9/Table7[[#This Row],[Ioff (A)]], (TI_MOSFET_S_QGD_L_BO+TI_MOSFET_S_QGS_L_BO)*10^-9/Table7[[#This Row],[Ioff (A)]])/10^-9</f>
        <v>15.72678294219706</v>
      </c>
      <c r="AT186" s="145">
        <f ca="1" xml:space="preserve"> 0.5*VACnom*Table7[[#This Row],[Ivalley (A)]]*Table7[[#This Row],[ton (ns)]]*10^-9*Fsw*10^3+0.5*VACnom*Table7[[#This Row],[Ipeak (A)]]*Table7[[#This Row],[toff (ns)]]*10^-9*Fsw*10^3/10^-3</f>
        <v>623.14806706845422</v>
      </c>
      <c r="AU186" s="145">
        <f t="shared" ca="1" si="8"/>
        <v>268.64000000000004</v>
      </c>
      <c r="AV186" s="145" t="e">
        <f t="shared" si="9"/>
        <v>#VALUE!</v>
      </c>
      <c r="AW186" s="145">
        <f t="shared" ca="1" si="10"/>
        <v>566.72000000000025</v>
      </c>
      <c r="AX186" s="145">
        <f ca="1">IF(VACnom&gt;Vbat, TI_MOSFET_S_VSD_L_BU*Table7[[#This Row],[Ivalley (A)]]*Fsw*10^3*40*10^-9+TI_MOSFET_S_VSD_L_BU*Table7[[#This Row],[Ipeak (A)]]*Fsw*10^3*30*10^-9, TI_MOSFET_S_VSD_H_BO*Table7[[#This Row],[Ivalley (A)]]*Fsw*10^3*40*10^-9+TI_MOSFET_S_VSD_H_BO*Table7[[#This Row],[Ipeak (A)]]*Fsw*10^3*30*10^-9)/10^-3</f>
        <v>106.21565217391309</v>
      </c>
      <c r="AY186" s="145" t="e">
        <f t="shared" si="11"/>
        <v>#VALUE!</v>
      </c>
      <c r="AZ186" s="145" t="e">
        <f>IF(VACnom&lt;Vbat, Table7[[#This Row],[Duty Cycle]]*Table7[[#This Row],[I_L RMS]]^2*TI_MOSFET_S_RDSON_H_BU*10^-3, (1-Table7[[#This Row],[Duty Cycle]])*Table7[[#This Row],[I_L RMS]]^2*TI_MOSFET_S_RDSON_H_BO*10^-3)/10^-3</f>
        <v>#VALUE!</v>
      </c>
      <c r="BA186" s="145" t="e">
        <f ca="1">IF(VACnom&gt;Vbat, Table7[[#This Row],[PIV (mW)]]+Table7[[#This Row],[Pqoss (mW)]]+Table7[[#This Row],[Pgate_top (mW)]], Table7[[#This Row],[PRR (mW)]]+Table7[[#This Row],[Pdead (mW)]]+Table7[[#This Row],[Pgate_top (mW)]])</f>
        <v>#VALUE!</v>
      </c>
      <c r="BB186" s="145" t="e">
        <f ca="1">Table7[[#This Row],[Pcon_top (mW)]]+Table7[[#This Row],[Psw_top (mW)]]</f>
        <v>#VALUE!</v>
      </c>
      <c r="BC186" s="145" t="e">
        <f>IF(VACnom&gt;Vbat, (1-Table7[[#This Row],[Duty Cycle]])*Table7[[#This Row],[I_L RMS]]^2*TI_MOSFET_S_RDSON_L_BU*10^-3, Table7[[#This Row],[Duty Cycle]]*Table7[[#This Row],[I_L RMS]]^2*TI_MOSFET_S_RDSON_L_BO*10^-3)/10^-3</f>
        <v>#VALUE!</v>
      </c>
      <c r="BD186" s="145" t="e">
        <f ca="1">IF(VACnom&gt;Vbat, Table7[[#This Row],[PRR (mW)]]+Table7[[#This Row],[Pdead (mW)]]+Table7[[#This Row],[Pgate_bottom (mW)]], Table7[[#This Row],[PIV (mW)]]+Table7[[#This Row],[Pqoss (mW)]]+Table7[[#This Row],[Pgate_bottom (mW)]])</f>
        <v>#VALUE!</v>
      </c>
      <c r="BE186" s="147" t="e">
        <f ca="1">Table7[[#This Row],[Pcon_bottom (mW)]]+Table7[[#This Row],[Psw_bottom (mW)]]</f>
        <v>#VALUE!</v>
      </c>
      <c r="BF186" s="145" t="e">
        <f ca="1">Table7[[#This Row],[Pbottom (mW)]]+Table7[[#This Row],[Ptop (mW)]]</f>
        <v>#VALUE!</v>
      </c>
      <c r="BG186" s="142"/>
      <c r="BH186" s="145">
        <f>MAX(0,Table7[[#This Row],[I_L]]-0.5*Table7[[#This Row],[I_L pkpk]])</f>
        <v>10.369565217391306</v>
      </c>
      <c r="BI186" s="145">
        <f>Table7[[#This Row],[I_L]]+0.5*Table7[[#This Row],[I_L pkpk]]</f>
        <v>10.760869565217392</v>
      </c>
      <c r="BJ186" s="145">
        <f>IF(VACnom&gt;Vbat, (VGS_S-(C_MOSFET_S_VTH_H_BU+Table7[[#This Row],[I_L]]/C_MOSFET_S_gFS_H_BU))/3.4, (VGS_S-(C_MOSFET_S_VTH_L_BO+Table7[[#This Row],[I_L]]/C_MOSFET_S_gFS_L_BO))/3.4 )</f>
        <v>2.9438001587441573</v>
      </c>
      <c r="BK186" s="145">
        <f>IF(VACnom&gt;Vbat, ((C_MOSFET_S_VTH_H_BU+Table7[[#This Row],[I_L]]/C_MOSFET_S_gFS_H_BU))/1, ((C_MOSFET_S_VTH_L_BO+Table7[[#This Row],[I_L]]/C_MOSFET_S_gFS_L_BO))/1 )</f>
        <v>1.9910794602698649</v>
      </c>
      <c r="BL186" s="145">
        <f>IF(VACnom&gt;Vbat, (C_MOSFET_S_QGD_H_BU+C_MOSFET_S_QGS_H_BU)*10^-9/Table7[[#This Row],[Ion (A) C]], (C_MOSFET_S_QGD_L_BO+C_MOSFET_S_QGS_L_BO)*10^-9/Table7[[#This Row],[Ion (A) C]])/10^-9</f>
        <v>5.2653030654813167</v>
      </c>
      <c r="BM186" s="145">
        <f>IF(VACnom&gt;Vbat, (C_MOSFET_S_QGD_H_BU+C_MOSFET_S_QGS_H_BU)*10^-9/Table7[[#This Row],[Ioff (A) C]], (C_MOSFET_S_QGD_L_BO+C_MOSFET_S_QGS_L_BO)*10^-9/Table7[[#This Row],[Ioff (A) C]])/10^-9</f>
        <v>7.7847219607695504</v>
      </c>
      <c r="BN186" s="145">
        <f xml:space="preserve"> 0.5*VACnom*Table7[[#This Row],[Ivalley (A) C]]*Table7[[#This Row],[ton (ns) C]]*10^-9*Fsw*10^3+0.5*VACnom*Table7[[#This Row],[Ipeak (A) C]]*Table7[[#This Row],[toff (ns) C]]*10^-9*Fsw*10^3/10^-3</f>
        <v>308.47591361145305</v>
      </c>
      <c r="BO186" s="145">
        <f t="shared" si="12"/>
        <v>305.44000000000011</v>
      </c>
      <c r="BP186" s="145">
        <f t="shared" si="13"/>
        <v>357.69600000000014</v>
      </c>
      <c r="BQ186" s="145">
        <f t="shared" si="14"/>
        <v>1067.2000000000003</v>
      </c>
      <c r="BR186" s="145">
        <f>IF(VACnom&gt;Vbat, C_MOSFET_S_VSD_L_BU*Table7[[#This Row],[Ivalley (A) C]]*Fsw*10^3*40*10^-9+C_MOSFET_S_VSD_L_BU*Table7[[#This Row],[Ipeak (A) C]]*Fsw*10^3*30*10^-9, C_MOSFET_S_VSD_H_BO*Table7[[#This Row],[Ivalley (A) C]]*Fsw*10^3*40*10^-9+C_MOSFET_S_VSD_H_BO*Table7[[#This Row],[Ipeak (A) C]]*Fsw*10^3*30*10^-9)/10^-3</f>
        <v>118.01739130434788</v>
      </c>
      <c r="BS186" s="145">
        <f t="shared" si="15"/>
        <v>357.69600000000014</v>
      </c>
      <c r="BT186" s="145">
        <f>IF(VACnom&lt;Vbat, Table7[[#This Row],[Duty Cycle]]*Table7[[#This Row],[I_L RMS]]^2*C_MOSFET_S_RDSON_H_BU*10^-3, (1-Table7[[#This Row],[Duty Cycle]])*Table7[[#This Row],[I_L RMS]]^2*C_MOSFET_S_RDSON_H_BO*10^-3)/10^-3</f>
        <v>6.3098935645598413</v>
      </c>
      <c r="BU186" s="145">
        <f>IF(VACnom&gt;Vbat, Table7[[#This Row],[PIV (mW) C]]+Table7[[#This Row],[PQoss (mW) C]]+Table7[[#This Row],[Pgate_top (mW) C]], Table7[[#This Row],[PRR (mW) C]]+Table7[[#This Row],[Pdead (mW) C]]+Table7[[#This Row],[Pgate_top (mW) C]])</f>
        <v>971.61191361145325</v>
      </c>
      <c r="BV186" s="145">
        <f>Table7[[#This Row],[Pcon_top (mW) C]]+Table7[[#This Row],[Psw_top (mW) C]]</f>
        <v>977.92180717601309</v>
      </c>
      <c r="BW186" s="145">
        <f>IF(VACnom&gt;Vbat, (1-Table7[[#This Row],[Duty Cycle]])*Table7[[#This Row],[I_L RMS]]^2*C_MOSFET_S_RDSON_L_BU*10^-3, Table7[[#This Row],[Duty Cycle]]*Table7[[#This Row],[I_L RMS]]^2*C_MOSFET_S_RDSON_L_BO*10^-3)/10^-3</f>
        <v>4.1256996383660498</v>
      </c>
      <c r="BX186" s="145">
        <f>IF(VACnom&gt;Vbat, Table7[[#This Row],[PRR (mW) C]]+Table7[[#This Row],[Pdead (mW) C]]+Table7[[#This Row],[Pgate_bottom (mW) C]], Table7[[#This Row],[PIV (mW) C]]+Table7[[#This Row],[PQoss (mW) C]]+Table7[[#This Row],[Pgate_bottom (mW) C]])</f>
        <v>1542.9133913043484</v>
      </c>
      <c r="BY186" s="145">
        <f>Table7[[#This Row],[Pcon_bottom (mW) C]]+Table7[[#This Row],[Psw_bottom (mV) C]]</f>
        <v>1547.0390909427144</v>
      </c>
      <c r="BZ186" s="145">
        <f>Table7[[#This Row],[Pbottom (mW) C]]+Table7[[#This Row],[Ptop (mW) C]]</f>
        <v>2524.9608981187275</v>
      </c>
      <c r="CA186" s="148"/>
      <c r="CB186" s="144">
        <f>(RAC_SNS*10^-3*(Table7[[#This Row],[IOUT (A)]]*Vbat/VACnom)^2/10^-3)</f>
        <v>223.24763705103976</v>
      </c>
      <c r="CC186" s="144">
        <f>(RBAT_SNS*10^-3*Table7[[#This Row],[IOUT (A)]]^2)/10^-3</f>
        <v>583.20000000000005</v>
      </c>
      <c r="CD186" s="144">
        <f>IF(VACnom&gt;Vbat,(L_DRC*10^-3*(Table7[[#This Row],[IOUT (A)]])^2/10^-3),(L_DRC*10^-3*(Table7[[#This Row],[IOUT (A)]]*Vbat/VACnom)^2/10^-3))</f>
        <v>583.20000000000005</v>
      </c>
      <c r="CE186" s="152"/>
      <c r="CF186" s="145">
        <f>(Table7[[#This Row],[R_AC (mW)]]+Table7[[#This Row],[R_SR (mW)]]+Table7[[#This Row],[Inductor Loss (mW)]])/10^3</f>
        <v>1.38964763705104</v>
      </c>
      <c r="CG186" s="145" t="e">
        <f ca="1">Table7[[#This Row],[Total TI (mW)]]/10^3</f>
        <v>#VALUE!</v>
      </c>
      <c r="CH186" s="145" t="e">
        <f ca="1">Table7[[#This Row],[Total Sense Loss]]+Table7[[#This Row],[Total MOSFET Loss]]</f>
        <v>#VALUE!</v>
      </c>
      <c r="CI186" s="149" t="e">
        <f ca="1">IF(Table7[[#This Row],[POUT (W)]]=0,0,(Table7[[#This Row],[POUT (W)]])/(Table7[[#This Row],[POUT (W)]]+Table7[[#This Row],[Total Power Loss (W)]]))*100</f>
        <v>#VALUE!</v>
      </c>
      <c r="CJ186" s="153"/>
      <c r="CK186" s="145">
        <f>(Table7[[#This Row],[R_AC (mW)]]+Table7[[#This Row],[R_SR (mW)]]+Table7[[#This Row],[Inductor Loss (mW)]])/10^3</f>
        <v>1.38964763705104</v>
      </c>
      <c r="CL186" s="145">
        <f>Table7[[#This Row],[Total (mW) C]]/10^3</f>
        <v>2.5249608981187275</v>
      </c>
      <c r="CM186" s="145">
        <f>Table7[[#This Row],[Total Sense Loss C]]+Table7[[#This Row],[Total MOSFET Loss C]]</f>
        <v>3.9146085351697675</v>
      </c>
      <c r="CN186" s="149">
        <f>IF(Table7[[#This Row],[POUT (W)]]=0,0,(Table7[[#This Row],[POUT (W)]])/(Table7[[#This Row],[POUT (W)]]+Table7[[#This Row],[Total Power Loss (W) C]]))*100</f>
        <v>99.024650906723863</v>
      </c>
      <c r="CO186" s="153"/>
      <c r="CP186" s="149">
        <f>IF(MOSFET_S=Custom_MOSFET,Table7[[#This Row],[Total Sense Loss C]],Table7[[#This Row],[Total Sense Loss]])</f>
        <v>1.38964763705104</v>
      </c>
      <c r="CQ186" s="149">
        <f>IF(MOSFET_S=Custom_MOSFET,Table7[[#This Row],[Total MOSFET Loss C]],Table7[[#This Row],[Total MOSFET Loss]])</f>
        <v>2.5249608981187275</v>
      </c>
      <c r="CR186" s="149">
        <f>IF(MOSFET_S=Custom_MOSFET,Table7[[#This Row],[Efficiency C]],Table7[[#This Row],[Efficiency]])</f>
        <v>99.024650906723863</v>
      </c>
      <c r="CS186" s="153"/>
      <c r="CT186" s="149">
        <f>IF(MOSFET_S=Compare_MOSFET, Table7[[#This Row],[Total Sense Loss C]], -100)</f>
        <v>-100</v>
      </c>
      <c r="CU186" s="149">
        <f>IF(MOSFET_S=Compare_MOSFET, Table7[[#This Row],[Total MOSFET Loss C]], -100)</f>
        <v>-100</v>
      </c>
      <c r="CV186" s="149">
        <f>IF(MOSFET_S=Compare_MOSFET, Table7[[#This Row],[Efficiency C]], -100)</f>
        <v>-100</v>
      </c>
      <c r="CW186" s="153"/>
      <c r="CX186" s="149">
        <f ca="1">IF(Save_Sel=CLR_Save,  Table7[[#This Row],[Total Sense Loss P1]], Table7[[#This Row],[Total Sense Loss P1 Saved]])</f>
        <v>1.38964763705104</v>
      </c>
      <c r="CY186" s="149">
        <f ca="1">IF(Save_Sel=CLR_Save,  Table7[[#This Row],[Total MOSFET Loss P1]], Table7[[#This Row],[Total MOSFET Loss P1 Saved]] )</f>
        <v>2.5249608981187275</v>
      </c>
      <c r="CZ186" s="149">
        <f ca="1">IF(Save_Sel=CLR_Save, Table7[[#This Row],[Efficiency P1]], Table7[[#This Row],[Efficiency P1 Saved]])</f>
        <v>99.024650906723863</v>
      </c>
      <c r="DA186" s="153"/>
      <c r="DB186" s="149">
        <f ca="1">IF(Save_Sel=CLR_Save,  Table7[[#This Row],[Total Sense Loss P2]], Table7[[#This Row],[Total Sense Loss P2 Saved]])</f>
        <v>-100</v>
      </c>
      <c r="DC186" s="149">
        <f ca="1">IF(Save_Sel=CLR_Save,  Table7[[#This Row],[Total MOSFET Loss P2]], Table7[[#This Row],[Total MOSFET Loss P2 Saved]] )</f>
        <v>-100</v>
      </c>
      <c r="DD186" s="149">
        <f ca="1">IF(Save_Sel=CLR_Save, Table7[[#This Row],[Efficiency P2]], Table7[[#This Row],[Efficiency P2 Saved]])</f>
        <v>-100</v>
      </c>
      <c r="DE186" s="153"/>
      <c r="DF186" s="19"/>
      <c r="DG186" s="19"/>
      <c r="DH186" s="19"/>
      <c r="DI186" s="19"/>
      <c r="DJ186" s="19"/>
      <c r="DK186" s="19"/>
      <c r="DL186" s="19"/>
      <c r="DM186" s="19"/>
      <c r="DN186" s="19"/>
      <c r="DO186" s="19"/>
      <c r="DP186" s="19"/>
      <c r="DQ186" s="19"/>
      <c r="DR186" s="19"/>
      <c r="DS186" s="19"/>
      <c r="DT186" s="19"/>
      <c r="DU186" s="19"/>
      <c r="DV186" s="19"/>
      <c r="DW186" s="19"/>
      <c r="DX186" s="19"/>
      <c r="DY186" s="19"/>
      <c r="DZ186" s="19"/>
      <c r="EA186" s="19"/>
      <c r="EB186" s="19"/>
      <c r="EC186" s="19"/>
      <c r="ED186" s="19"/>
      <c r="EE186" s="19"/>
      <c r="EF186" s="19"/>
      <c r="EG186" s="19"/>
      <c r="EH186" s="19"/>
      <c r="EI186" s="19"/>
      <c r="EJ186" s="19"/>
      <c r="EK186" s="19"/>
      <c r="EL186" s="19"/>
      <c r="EM186" s="19"/>
      <c r="EN186" s="19"/>
      <c r="EO186" s="19"/>
      <c r="EP186" s="19"/>
      <c r="EQ186" s="19"/>
      <c r="ER186" s="19"/>
      <c r="ES186" s="19"/>
      <c r="ET186" s="19"/>
      <c r="EU186" s="19"/>
      <c r="EV186" s="19"/>
      <c r="EW186" s="19"/>
      <c r="EX186" s="19"/>
      <c r="EY186" s="19"/>
      <c r="EZ186" s="19"/>
      <c r="FA186" s="19"/>
      <c r="FB186" s="19"/>
      <c r="FC186" s="19"/>
      <c r="FD186" s="19"/>
      <c r="FE186" s="19"/>
      <c r="FF186" s="19"/>
      <c r="FG186" s="19"/>
      <c r="FH186" s="19"/>
      <c r="FI186" s="19"/>
    </row>
    <row r="187" spans="1:165" x14ac:dyDescent="0.25">
      <c r="A187" s="48">
        <v>14</v>
      </c>
      <c r="B187" s="49"/>
      <c r="C187" s="49"/>
      <c r="D187" s="32" t="s">
        <v>158</v>
      </c>
      <c r="E187" s="117">
        <f t="shared" ca="1" si="22"/>
        <v>77</v>
      </c>
      <c r="F187" s="49"/>
      <c r="G187" s="42" t="s">
        <v>140</v>
      </c>
      <c r="H187" s="29"/>
      <c r="I187" s="48">
        <v>14</v>
      </c>
      <c r="J187" s="29"/>
      <c r="K187" s="49"/>
      <c r="L187" s="49"/>
      <c r="M187" s="32" t="s">
        <v>158</v>
      </c>
      <c r="N187" s="117">
        <f t="shared" si="24"/>
        <v>145</v>
      </c>
      <c r="O187" s="49"/>
      <c r="P187" s="42" t="s">
        <v>140</v>
      </c>
      <c r="Q187" s="29"/>
      <c r="R187" s="29"/>
      <c r="S187" s="30"/>
      <c r="T187" s="18"/>
      <c r="U187" s="19"/>
      <c r="V187" s="19"/>
      <c r="W187" s="19"/>
      <c r="X187" s="19"/>
      <c r="Y187" s="19"/>
      <c r="Z187" s="19"/>
      <c r="AA187" s="19"/>
      <c r="AB187" s="19"/>
      <c r="AC187" s="19"/>
      <c r="AD187" s="19"/>
      <c r="AE187" s="19"/>
      <c r="AF187" s="143">
        <f t="shared" si="17"/>
        <v>31</v>
      </c>
      <c r="AG187" s="143">
        <f t="shared" si="16"/>
        <v>11.16</v>
      </c>
      <c r="AH187" s="144">
        <f t="shared" si="3"/>
        <v>410.68799999999999</v>
      </c>
      <c r="AI187" s="145">
        <f t="shared" si="4"/>
        <v>0.97826086956521752</v>
      </c>
      <c r="AJ187" s="145">
        <f t="shared" si="5"/>
        <v>10.917391304347827</v>
      </c>
      <c r="AK187" s="145">
        <f t="shared" si="26"/>
        <v>0.39130434782608459</v>
      </c>
      <c r="AL187" s="145">
        <f t="shared" si="27"/>
        <v>10.917975673934944</v>
      </c>
      <c r="AM187" s="146"/>
      <c r="AN187" s="145">
        <f>MAX(0,Table7[[#This Row],[I_L]]-0.5*Table7[[#This Row],[I_L pkpk]])</f>
        <v>10.721739130434784</v>
      </c>
      <c r="AO187" s="145">
        <f>Table7[[#This Row],[I_L]]+0.5*Table7[[#This Row],[I_L pkpk]]</f>
        <v>11.11304347826087</v>
      </c>
      <c r="AP187" s="145">
        <f ca="1">IF(VACnom&gt;Vbat, (VGS_S-(TI_MOSFET_S_VTH_H_BU+Table7[[#This Row],[I_L]]/TI_MOSFET_S_gFS_H_BU))/3.4, (VGS_S-(TI_MOSFET_S_VTH_L_BO+Table7[[#This Row],[I_L]]/TI_MOSFET_S_gFS_L_BO))/3.4 )</f>
        <v>2.9900059020263625</v>
      </c>
      <c r="AQ187" s="145">
        <f ca="1">IF(VACnom&gt;Vbat, ((TI_MOSFET_S_VTH_H_BU+Table7[[#This Row],[I_L]]/TI_MOSFET_S_gFS_H_BU))/1, ((TI_MOSFET_S_VTH_L_BO+Table7[[#This Row],[I_L]]/TI_MOSFET_S_gFS_L_BO))/1 )</f>
        <v>1.8339799331103679</v>
      </c>
      <c r="AR187" s="145">
        <f ca="1">IF(VACnom&gt;Vbat, (TI_MOSFET_S_QGD_H_BU+TI_MOSFET_S_QGS_H_BU)*10^-9/Table7[[#This Row],[Ion (A)]], (TI_MOSFET_S_QGD_L_BO+TI_MOSFET_S_QGS_L_BO)*10^-9/Table7[[#This Row],[Ion (A)]])/10^-9</f>
        <v>9.6320880104222866</v>
      </c>
      <c r="AS187" s="145">
        <f ca="1">IF(VACnom&gt;Vbat, (TI_MOSFET_S_QGD_H_BU+TI_MOSFET_S_QGS_H_BU)*10^-9/Table7[[#This Row],[Ioff (A)]], (TI_MOSFET_S_QGD_L_BO+TI_MOSFET_S_QGS_L_BO)*10^-9/Table7[[#This Row],[Ioff (A)]])/10^-9</f>
        <v>15.703552410825006</v>
      </c>
      <c r="AT187" s="145">
        <f ca="1" xml:space="preserve"> 0.5*VACnom*Table7[[#This Row],[Ivalley (A)]]*Table7[[#This Row],[ton (ns)]]*10^-9*Fsw*10^3+0.5*VACnom*Table7[[#This Row],[Ipeak (A)]]*Table7[[#This Row],[toff (ns)]]*10^-9*Fsw*10^3/10^-3</f>
        <v>642.59252305763891</v>
      </c>
      <c r="AU187" s="145">
        <f t="shared" ca="1" si="8"/>
        <v>268.64000000000004</v>
      </c>
      <c r="AV187" s="145" t="e">
        <f t="shared" si="9"/>
        <v>#VALUE!</v>
      </c>
      <c r="AW187" s="145">
        <f t="shared" ca="1" si="10"/>
        <v>566.72000000000025</v>
      </c>
      <c r="AX187" s="145">
        <f ca="1">IF(VACnom&gt;Vbat, TI_MOSFET_S_VSD_L_BU*Table7[[#This Row],[Ivalley (A)]]*Fsw*10^3*40*10^-9+TI_MOSFET_S_VSD_L_BU*Table7[[#This Row],[Ipeak (A)]]*Fsw*10^3*30*10^-9, TI_MOSFET_S_VSD_H_BO*Table7[[#This Row],[Ivalley (A)]]*Fsw*10^3*40*10^-9+TI_MOSFET_S_VSD_H_BO*Table7[[#This Row],[Ipeak (A)]]*Fsw*10^3*30*10^-9)/10^-3</f>
        <v>109.76556521739134</v>
      </c>
      <c r="AY187" s="145" t="e">
        <f t="shared" si="11"/>
        <v>#VALUE!</v>
      </c>
      <c r="AZ187" s="145" t="e">
        <f>IF(VACnom&lt;Vbat, Table7[[#This Row],[Duty Cycle]]*Table7[[#This Row],[I_L RMS]]^2*TI_MOSFET_S_RDSON_H_BU*10^-3, (1-Table7[[#This Row],[Duty Cycle]])*Table7[[#This Row],[I_L RMS]]^2*TI_MOSFET_S_RDSON_H_BO*10^-3)/10^-3</f>
        <v>#VALUE!</v>
      </c>
      <c r="BA187" s="145" t="e">
        <f ca="1">IF(VACnom&gt;Vbat, Table7[[#This Row],[PIV (mW)]]+Table7[[#This Row],[Pqoss (mW)]]+Table7[[#This Row],[Pgate_top (mW)]], Table7[[#This Row],[PRR (mW)]]+Table7[[#This Row],[Pdead (mW)]]+Table7[[#This Row],[Pgate_top (mW)]])</f>
        <v>#VALUE!</v>
      </c>
      <c r="BB187" s="145" t="e">
        <f ca="1">Table7[[#This Row],[Pcon_top (mW)]]+Table7[[#This Row],[Psw_top (mW)]]</f>
        <v>#VALUE!</v>
      </c>
      <c r="BC187" s="145" t="e">
        <f>IF(VACnom&gt;Vbat, (1-Table7[[#This Row],[Duty Cycle]])*Table7[[#This Row],[I_L RMS]]^2*TI_MOSFET_S_RDSON_L_BU*10^-3, Table7[[#This Row],[Duty Cycle]]*Table7[[#This Row],[I_L RMS]]^2*TI_MOSFET_S_RDSON_L_BO*10^-3)/10^-3</f>
        <v>#VALUE!</v>
      </c>
      <c r="BD187" s="145" t="e">
        <f ca="1">IF(VACnom&gt;Vbat, Table7[[#This Row],[PRR (mW)]]+Table7[[#This Row],[Pdead (mW)]]+Table7[[#This Row],[Pgate_bottom (mW)]], Table7[[#This Row],[PIV (mW)]]+Table7[[#This Row],[Pqoss (mW)]]+Table7[[#This Row],[Pgate_bottom (mW)]])</f>
        <v>#VALUE!</v>
      </c>
      <c r="BE187" s="147" t="e">
        <f ca="1">Table7[[#This Row],[Pcon_bottom (mW)]]+Table7[[#This Row],[Psw_bottom (mW)]]</f>
        <v>#VALUE!</v>
      </c>
      <c r="BF187" s="145" t="e">
        <f ca="1">Table7[[#This Row],[Pbottom (mW)]]+Table7[[#This Row],[Ptop (mW)]]</f>
        <v>#VALUE!</v>
      </c>
      <c r="BG187" s="142"/>
      <c r="BH187" s="145">
        <f>MAX(0,Table7[[#This Row],[I_L]]-0.5*Table7[[#This Row],[I_L pkpk]])</f>
        <v>10.721739130434784</v>
      </c>
      <c r="BI187" s="145">
        <f>Table7[[#This Row],[I_L]]+0.5*Table7[[#This Row],[I_L pkpk]]</f>
        <v>11.11304347826087</v>
      </c>
      <c r="BJ187" s="145">
        <f>IF(VACnom&gt;Vbat, (VGS_S-(C_MOSFET_S_VTH_H_BU+Table7[[#This Row],[I_L]]/C_MOSFET_S_gFS_H_BU))/3.4, (VGS_S-(C_MOSFET_S_VTH_L_BO+Table7[[#This Row],[I_L]]/C_MOSFET_S_gFS_L_BO))/3.4 )</f>
        <v>2.9429072228591586</v>
      </c>
      <c r="BK187" s="145">
        <f>IF(VACnom&gt;Vbat, ((C_MOSFET_S_VTH_H_BU+Table7[[#This Row],[I_L]]/C_MOSFET_S_gFS_H_BU))/1, ((C_MOSFET_S_VTH_L_BO+Table7[[#This Row],[I_L]]/C_MOSFET_S_gFS_L_BO))/1 )</f>
        <v>1.9941154422788605</v>
      </c>
      <c r="BL187" s="145">
        <f>IF(VACnom&gt;Vbat, (C_MOSFET_S_QGD_H_BU+C_MOSFET_S_QGS_H_BU)*10^-9/Table7[[#This Row],[Ion (A) C]], (C_MOSFET_S_QGD_L_BO+C_MOSFET_S_QGS_L_BO)*10^-9/Table7[[#This Row],[Ion (A) C]])/10^-9</f>
        <v>5.2669006619043515</v>
      </c>
      <c r="BM187" s="145">
        <f>IF(VACnom&gt;Vbat, (C_MOSFET_S_QGD_H_BU+C_MOSFET_S_QGS_H_BU)*10^-9/Table7[[#This Row],[Ioff (A) C]], (C_MOSFET_S_QGD_L_BO+C_MOSFET_S_QGS_L_BO)*10^-9/Table7[[#This Row],[Ioff (A) C]])/10^-9</f>
        <v>7.7728699509426153</v>
      </c>
      <c r="BN187" s="145">
        <f xml:space="preserve"> 0.5*VACnom*Table7[[#This Row],[Ivalley (A) C]]*Table7[[#This Row],[ton (ns) C]]*10^-9*Fsw*10^3+0.5*VACnom*Table7[[#This Row],[Ipeak (A) C]]*Table7[[#This Row],[toff (ns) C]]*10^-9*Fsw*10^3/10^-3</f>
        <v>318.0871003462654</v>
      </c>
      <c r="BO187" s="145">
        <f t="shared" si="12"/>
        <v>305.44000000000011</v>
      </c>
      <c r="BP187" s="145">
        <f t="shared" si="13"/>
        <v>357.69600000000014</v>
      </c>
      <c r="BQ187" s="145">
        <f t="shared" si="14"/>
        <v>1067.2000000000003</v>
      </c>
      <c r="BR187" s="145">
        <f>IF(VACnom&gt;Vbat, C_MOSFET_S_VSD_L_BU*Table7[[#This Row],[Ivalley (A) C]]*Fsw*10^3*40*10^-9+C_MOSFET_S_VSD_L_BU*Table7[[#This Row],[Ipeak (A) C]]*Fsw*10^3*30*10^-9, C_MOSFET_S_VSD_H_BO*Table7[[#This Row],[Ivalley (A) C]]*Fsw*10^3*40*10^-9+C_MOSFET_S_VSD_H_BO*Table7[[#This Row],[Ipeak (A) C]]*Fsw*10^3*30*10^-9)/10^-3</f>
        <v>121.96173913043484</v>
      </c>
      <c r="BS187" s="145">
        <f t="shared" si="15"/>
        <v>357.69600000000014</v>
      </c>
      <c r="BT187" s="145">
        <f>IF(VACnom&lt;Vbat, Table7[[#This Row],[Duty Cycle]]*Table7[[#This Row],[I_L RMS]]^2*C_MOSFET_S_RDSON_H_BU*10^-3, (1-Table7[[#This Row],[Duty Cycle]])*Table7[[#This Row],[I_L RMS]]^2*C_MOSFET_S_RDSON_H_BO*10^-3)/10^-3</f>
        <v>6.7375152461576029</v>
      </c>
      <c r="BU187" s="145">
        <f>IF(VACnom&gt;Vbat, Table7[[#This Row],[PIV (mW) C]]+Table7[[#This Row],[PQoss (mW) C]]+Table7[[#This Row],[Pgate_top (mW) C]], Table7[[#This Row],[PRR (mW) C]]+Table7[[#This Row],[Pdead (mW) C]]+Table7[[#This Row],[Pgate_top (mW) C]])</f>
        <v>981.22310034626571</v>
      </c>
      <c r="BV187" s="145">
        <f>Table7[[#This Row],[Pcon_top (mW) C]]+Table7[[#This Row],[Psw_top (mW) C]]</f>
        <v>987.96061559242332</v>
      </c>
      <c r="BW187" s="145">
        <f>IF(VACnom&gt;Vbat, (1-Table7[[#This Row],[Duty Cycle]])*Table7[[#This Row],[I_L RMS]]^2*C_MOSFET_S_RDSON_L_BU*10^-3, Table7[[#This Row],[Duty Cycle]]*Table7[[#This Row],[I_L RMS]]^2*C_MOSFET_S_RDSON_L_BO*10^-3)/10^-3</f>
        <v>4.4052984301799709</v>
      </c>
      <c r="BX187" s="145">
        <f>IF(VACnom&gt;Vbat, Table7[[#This Row],[PRR (mW) C]]+Table7[[#This Row],[Pdead (mW) C]]+Table7[[#This Row],[Pgate_bottom (mW) C]], Table7[[#This Row],[PIV (mW) C]]+Table7[[#This Row],[PQoss (mW) C]]+Table7[[#This Row],[Pgate_bottom (mW) C]])</f>
        <v>1546.8577391304352</v>
      </c>
      <c r="BY187" s="145">
        <f>Table7[[#This Row],[Pcon_bottom (mW) C]]+Table7[[#This Row],[Psw_bottom (mV) C]]</f>
        <v>1551.2630375606152</v>
      </c>
      <c r="BZ187" s="145">
        <f>Table7[[#This Row],[Pbottom (mW) C]]+Table7[[#This Row],[Ptop (mW) C]]</f>
        <v>2539.2236531530384</v>
      </c>
      <c r="CA187" s="148"/>
      <c r="CB187" s="144">
        <f>(RAC_SNS*10^-3*(Table7[[#This Row],[IOUT (A)]]*Vbat/VACnom)^2/10^-3)</f>
        <v>238.37886578449911</v>
      </c>
      <c r="CC187" s="144">
        <f>(RBAT_SNS*10^-3*Table7[[#This Row],[IOUT (A)]]^2)/10^-3</f>
        <v>622.72800000000007</v>
      </c>
      <c r="CD187" s="144">
        <f>IF(VACnom&gt;Vbat,(L_DRC*10^-3*(Table7[[#This Row],[IOUT (A)]])^2/10^-3),(L_DRC*10^-3*(Table7[[#This Row],[IOUT (A)]]*Vbat/VACnom)^2/10^-3))</f>
        <v>622.72800000000007</v>
      </c>
      <c r="CE187" s="152"/>
      <c r="CF187" s="145">
        <f>(Table7[[#This Row],[R_AC (mW)]]+Table7[[#This Row],[R_SR (mW)]]+Table7[[#This Row],[Inductor Loss (mW)]])/10^3</f>
        <v>1.4838348657844993</v>
      </c>
      <c r="CG187" s="145" t="e">
        <f ca="1">Table7[[#This Row],[Total TI (mW)]]/10^3</f>
        <v>#VALUE!</v>
      </c>
      <c r="CH187" s="145" t="e">
        <f ca="1">Table7[[#This Row],[Total Sense Loss]]+Table7[[#This Row],[Total MOSFET Loss]]</f>
        <v>#VALUE!</v>
      </c>
      <c r="CI187" s="149" t="e">
        <f ca="1">IF(Table7[[#This Row],[POUT (W)]]=0,0,(Table7[[#This Row],[POUT (W)]])/(Table7[[#This Row],[POUT (W)]]+Table7[[#This Row],[Total Power Loss (W)]]))*100</f>
        <v>#VALUE!</v>
      </c>
      <c r="CJ187" s="153"/>
      <c r="CK187" s="145">
        <f>(Table7[[#This Row],[R_AC (mW)]]+Table7[[#This Row],[R_SR (mW)]]+Table7[[#This Row],[Inductor Loss (mW)]])/10^3</f>
        <v>1.4838348657844993</v>
      </c>
      <c r="CL187" s="145">
        <f>Table7[[#This Row],[Total (mW) C]]/10^3</f>
        <v>2.5392236531530386</v>
      </c>
      <c r="CM187" s="145">
        <f>Table7[[#This Row],[Total Sense Loss C]]+Table7[[#This Row],[Total MOSFET Loss C]]</f>
        <v>4.0230585189375381</v>
      </c>
      <c r="CN187" s="149">
        <f>IF(Table7[[#This Row],[POUT (W)]]=0,0,(Table7[[#This Row],[POUT (W)]])/(Table7[[#This Row],[POUT (W)]]+Table7[[#This Row],[Total Power Loss (W) C]]))*100</f>
        <v>99.029912890843775</v>
      </c>
      <c r="CO187" s="153"/>
      <c r="CP187" s="149">
        <f>IF(MOSFET_S=Custom_MOSFET,Table7[[#This Row],[Total Sense Loss C]],Table7[[#This Row],[Total Sense Loss]])</f>
        <v>1.4838348657844993</v>
      </c>
      <c r="CQ187" s="149">
        <f>IF(MOSFET_S=Custom_MOSFET,Table7[[#This Row],[Total MOSFET Loss C]],Table7[[#This Row],[Total MOSFET Loss]])</f>
        <v>2.5392236531530386</v>
      </c>
      <c r="CR187" s="149">
        <f>IF(MOSFET_S=Custom_MOSFET,Table7[[#This Row],[Efficiency C]],Table7[[#This Row],[Efficiency]])</f>
        <v>99.029912890843775</v>
      </c>
      <c r="CS187" s="153"/>
      <c r="CT187" s="149">
        <f>IF(MOSFET_S=Compare_MOSFET, Table7[[#This Row],[Total Sense Loss C]], -100)</f>
        <v>-100</v>
      </c>
      <c r="CU187" s="149">
        <f>IF(MOSFET_S=Compare_MOSFET, Table7[[#This Row],[Total MOSFET Loss C]], -100)</f>
        <v>-100</v>
      </c>
      <c r="CV187" s="149">
        <f>IF(MOSFET_S=Compare_MOSFET, Table7[[#This Row],[Efficiency C]], -100)</f>
        <v>-100</v>
      </c>
      <c r="CW187" s="153"/>
      <c r="CX187" s="149">
        <f ca="1">IF(Save_Sel=CLR_Save,  Table7[[#This Row],[Total Sense Loss P1]], Table7[[#This Row],[Total Sense Loss P1 Saved]])</f>
        <v>1.4838348657844993</v>
      </c>
      <c r="CY187" s="149">
        <f ca="1">IF(Save_Sel=CLR_Save,  Table7[[#This Row],[Total MOSFET Loss P1]], Table7[[#This Row],[Total MOSFET Loss P1 Saved]] )</f>
        <v>2.5392236531530386</v>
      </c>
      <c r="CZ187" s="149">
        <f ca="1">IF(Save_Sel=CLR_Save, Table7[[#This Row],[Efficiency P1]], Table7[[#This Row],[Efficiency P1 Saved]])</f>
        <v>99.029912890843775</v>
      </c>
      <c r="DA187" s="153"/>
      <c r="DB187" s="149">
        <f ca="1">IF(Save_Sel=CLR_Save,  Table7[[#This Row],[Total Sense Loss P2]], Table7[[#This Row],[Total Sense Loss P2 Saved]])</f>
        <v>-100</v>
      </c>
      <c r="DC187" s="149">
        <f ca="1">IF(Save_Sel=CLR_Save,  Table7[[#This Row],[Total MOSFET Loss P2]], Table7[[#This Row],[Total MOSFET Loss P2 Saved]] )</f>
        <v>-100</v>
      </c>
      <c r="DD187" s="149">
        <f ca="1">IF(Save_Sel=CLR_Save, Table7[[#This Row],[Efficiency P2]], Table7[[#This Row],[Efficiency P2 Saved]])</f>
        <v>-100</v>
      </c>
      <c r="DE187" s="153"/>
      <c r="DF187" s="19"/>
      <c r="DG187" s="19"/>
      <c r="DH187" s="19"/>
      <c r="DI187" s="19"/>
      <c r="DJ187" s="19"/>
      <c r="DK187" s="19"/>
      <c r="DL187" s="19"/>
      <c r="DM187" s="19"/>
      <c r="DN187" s="19"/>
      <c r="DO187" s="19"/>
      <c r="DP187" s="19"/>
      <c r="DQ187" s="19"/>
      <c r="DR187" s="19"/>
      <c r="DS187" s="19"/>
      <c r="DT187" s="19"/>
      <c r="DU187" s="19"/>
      <c r="DV187" s="19"/>
      <c r="DW187" s="19"/>
      <c r="DX187" s="19"/>
      <c r="DY187" s="19"/>
      <c r="DZ187" s="19"/>
      <c r="EA187" s="19"/>
      <c r="EB187" s="19"/>
      <c r="EC187" s="19"/>
      <c r="ED187" s="19"/>
      <c r="EE187" s="19"/>
      <c r="EF187" s="19"/>
      <c r="EG187" s="19"/>
      <c r="EH187" s="19"/>
      <c r="EI187" s="19"/>
      <c r="EJ187" s="19"/>
      <c r="EK187" s="19"/>
      <c r="EL187" s="19"/>
      <c r="EM187" s="19"/>
      <c r="EN187" s="19"/>
      <c r="EO187" s="19"/>
      <c r="EP187" s="19"/>
      <c r="EQ187" s="19"/>
      <c r="ER187" s="19"/>
      <c r="ES187" s="19"/>
      <c r="ET187" s="19"/>
      <c r="EU187" s="19"/>
      <c r="EV187" s="19"/>
      <c r="EW187" s="19"/>
      <c r="EX187" s="19"/>
      <c r="EY187" s="19"/>
      <c r="EZ187" s="19"/>
      <c r="FA187" s="19"/>
      <c r="FB187" s="19"/>
      <c r="FC187" s="19"/>
      <c r="FD187" s="19"/>
      <c r="FE187" s="19"/>
      <c r="FF187" s="19"/>
      <c r="FG187" s="19"/>
      <c r="FH187" s="19"/>
      <c r="FI187" s="19"/>
    </row>
    <row r="188" spans="1:165" ht="15.75" thickBot="1" x14ac:dyDescent="0.3">
      <c r="A188" s="46">
        <v>15</v>
      </c>
      <c r="B188" s="47"/>
      <c r="C188" s="47"/>
      <c r="D188" s="35" t="s">
        <v>154</v>
      </c>
      <c r="E188" s="121">
        <f t="shared" ca="1" si="22"/>
        <v>15</v>
      </c>
      <c r="F188" s="121">
        <f ca="1">$O149</f>
        <v>15</v>
      </c>
      <c r="G188" s="45" t="s">
        <v>155</v>
      </c>
      <c r="H188" s="29"/>
      <c r="I188" s="46">
        <v>15</v>
      </c>
      <c r="J188" s="114"/>
      <c r="K188" s="47"/>
      <c r="L188" s="47"/>
      <c r="M188" s="35" t="s">
        <v>154</v>
      </c>
      <c r="N188" s="121">
        <f t="shared" si="24"/>
        <v>50</v>
      </c>
      <c r="O188" s="121">
        <f>$F149</f>
        <v>50</v>
      </c>
      <c r="P188" s="45" t="s">
        <v>155</v>
      </c>
      <c r="Q188" s="29"/>
      <c r="R188" s="29"/>
      <c r="S188" s="30"/>
      <c r="T188" s="18"/>
      <c r="U188" s="19"/>
      <c r="V188" s="19"/>
      <c r="W188" s="19"/>
      <c r="X188" s="19"/>
      <c r="Y188" s="19"/>
      <c r="Z188" s="19"/>
      <c r="AA188" s="19"/>
      <c r="AB188" s="19"/>
      <c r="AC188" s="19"/>
      <c r="AD188" s="19"/>
      <c r="AE188" s="19"/>
      <c r="AF188" s="143">
        <f t="shared" si="17"/>
        <v>32</v>
      </c>
      <c r="AG188" s="143">
        <f t="shared" si="16"/>
        <v>11.52</v>
      </c>
      <c r="AH188" s="144">
        <f t="shared" ref="AH188:AH219" si="28">AG188*VACnom</f>
        <v>423.93599999999998</v>
      </c>
      <c r="AI188" s="145">
        <f t="shared" ref="AI188:AI219" si="29">IF(VACnom&lt;Vbat, (Vbat-VACnom)/Vbat, Vbat/VACnom)</f>
        <v>0.97826086956521752</v>
      </c>
      <c r="AJ188" s="145">
        <f t="shared" ref="AJ188:AJ219" si="30">IF(VACnom&lt;Vbat, AG188/(1-AI188), AG188*AI188)</f>
        <v>11.269565217391305</v>
      </c>
      <c r="AK188" s="145">
        <f t="shared" si="26"/>
        <v>0.39130434782608459</v>
      </c>
      <c r="AL188" s="145">
        <f t="shared" si="27"/>
        <v>11.270131326360913</v>
      </c>
      <c r="AM188" s="146"/>
      <c r="AN188" s="145">
        <f>MAX(0,Table7[[#This Row],[I_L]]-0.5*Table7[[#This Row],[I_L pkpk]])</f>
        <v>11.073913043478262</v>
      </c>
      <c r="AO188" s="145">
        <f>Table7[[#This Row],[I_L]]+0.5*Table7[[#This Row],[I_L pkpk]]</f>
        <v>11.465217391304348</v>
      </c>
      <c r="AP188" s="145">
        <f ca="1">IF(VACnom&gt;Vbat, (VGS_S-(TI_MOSFET_S_VTH_H_BU+Table7[[#This Row],[I_L]]/TI_MOSFET_S_gFS_H_BU))/3.4, (VGS_S-(TI_MOSFET_S_VTH_L_BO+Table7[[#This Row],[I_L]]/TI_MOSFET_S_gFS_L_BO))/3.4 )</f>
        <v>2.9892091284674405</v>
      </c>
      <c r="AQ188" s="145">
        <f ca="1">IF(VACnom&gt;Vbat, ((TI_MOSFET_S_VTH_H_BU+Table7[[#This Row],[I_L]]/TI_MOSFET_S_gFS_H_BU))/1, ((TI_MOSFET_S_VTH_L_BO+Table7[[#This Row],[I_L]]/TI_MOSFET_S_gFS_L_BO))/1 )</f>
        <v>1.8366889632107024</v>
      </c>
      <c r="AR188" s="145">
        <f ca="1">IF(VACnom&gt;Vbat, (TI_MOSFET_S_QGD_H_BU+TI_MOSFET_S_QGS_H_BU)*10^-9/Table7[[#This Row],[Ion (A)]], (TI_MOSFET_S_QGD_L_BO+TI_MOSFET_S_QGS_L_BO)*10^-9/Table7[[#This Row],[Ion (A)]])/10^-9</f>
        <v>9.6346554430488052</v>
      </c>
      <c r="AS188" s="145">
        <f ca="1">IF(VACnom&gt;Vbat, (TI_MOSFET_S_QGD_H_BU+TI_MOSFET_S_QGS_H_BU)*10^-9/Table7[[#This Row],[Ioff (A)]], (TI_MOSFET_S_QGD_L_BO+TI_MOSFET_S_QGS_L_BO)*10^-9/Table7[[#This Row],[Ioff (A)]])/10^-9</f>
        <v>15.680390407341989</v>
      </c>
      <c r="AT188" s="145">
        <f ca="1" xml:space="preserve"> 0.5*VACnom*Table7[[#This Row],[Ivalley (A)]]*Table7[[#This Row],[ton (ns)]]*10^-9*Fsw*10^3+0.5*VACnom*Table7[[#This Row],[Ipeak (A)]]*Table7[[#This Row],[toff (ns)]]*10^-9*Fsw*10^3/10^-3</f>
        <v>661.97966354518849</v>
      </c>
      <c r="AU188" s="145">
        <f t="shared" ref="AU188:AU219" ca="1" si="31">IF(VACnom&gt;Vbat, 0.5*VACnom*TI_MOSFET_S_QOSS_H_BU*10^-9*Fsw*10^3,0.5*VACnom*TI_MOSFET_S_QOSS_L_BO*10^-9*Fsw*10^3)/10^-3</f>
        <v>268.64000000000004</v>
      </c>
      <c r="AV188" s="145" t="e">
        <f t="shared" ref="AV188:AV219" si="32">IF(VACnom&gt;Vbat, VACnom*TI_MOSFET_S_QG_H_BU*10^-9*Fsw*10^3,VACnom*TI_MOSFET_S_QG_H_BO*10^-9*Fsw*10^3)/10^-3</f>
        <v>#VALUE!</v>
      </c>
      <c r="AW188" s="145">
        <f t="shared" ref="AW188:AW219" ca="1" si="33">IF(VACnom&gt;Vbat, VACnom*TI_MOSFET_S_QRR_L_BU*10^-9*Fsw*10^3, VACnom*TI_MOSFET_S_QRR_H_BO*10^-9*Fsw*10^3)/10^-3</f>
        <v>566.72000000000025</v>
      </c>
      <c r="AX188" s="145">
        <f ca="1">IF(VACnom&gt;Vbat, TI_MOSFET_S_VSD_L_BU*Table7[[#This Row],[Ivalley (A)]]*Fsw*10^3*40*10^-9+TI_MOSFET_S_VSD_L_BU*Table7[[#This Row],[Ipeak (A)]]*Fsw*10^3*30*10^-9, TI_MOSFET_S_VSD_H_BO*Table7[[#This Row],[Ivalley (A)]]*Fsw*10^3*40*10^-9+TI_MOSFET_S_VSD_H_BO*Table7[[#This Row],[Ipeak (A)]]*Fsw*10^3*30*10^-9)/10^-3</f>
        <v>113.3154782608696</v>
      </c>
      <c r="AY188" s="145" t="e">
        <f t="shared" ref="AY188:AY219" si="34">IF(VACnom&gt;Vbat, VACnom*TI_MOSFET_S_QG_L_BU*10^-9*Fsw*10^3, VACnom*TI_MOSFET_S_QG_L_BO*10^-9*Fsw*10^3)/10^-3</f>
        <v>#VALUE!</v>
      </c>
      <c r="AZ188" s="145" t="e">
        <f>IF(VACnom&lt;Vbat, Table7[[#This Row],[Duty Cycle]]*Table7[[#This Row],[I_L RMS]]^2*TI_MOSFET_S_RDSON_H_BU*10^-3, (1-Table7[[#This Row],[Duty Cycle]])*Table7[[#This Row],[I_L RMS]]^2*TI_MOSFET_S_RDSON_H_BO*10^-3)/10^-3</f>
        <v>#VALUE!</v>
      </c>
      <c r="BA188" s="145" t="e">
        <f ca="1">IF(VACnom&gt;Vbat, Table7[[#This Row],[PIV (mW)]]+Table7[[#This Row],[Pqoss (mW)]]+Table7[[#This Row],[Pgate_top (mW)]], Table7[[#This Row],[PRR (mW)]]+Table7[[#This Row],[Pdead (mW)]]+Table7[[#This Row],[Pgate_top (mW)]])</f>
        <v>#VALUE!</v>
      </c>
      <c r="BB188" s="145" t="e">
        <f ca="1">Table7[[#This Row],[Pcon_top (mW)]]+Table7[[#This Row],[Psw_top (mW)]]</f>
        <v>#VALUE!</v>
      </c>
      <c r="BC188" s="145" t="e">
        <f>IF(VACnom&gt;Vbat, (1-Table7[[#This Row],[Duty Cycle]])*Table7[[#This Row],[I_L RMS]]^2*TI_MOSFET_S_RDSON_L_BU*10^-3, Table7[[#This Row],[Duty Cycle]]*Table7[[#This Row],[I_L RMS]]^2*TI_MOSFET_S_RDSON_L_BO*10^-3)/10^-3</f>
        <v>#VALUE!</v>
      </c>
      <c r="BD188" s="145" t="e">
        <f ca="1">IF(VACnom&gt;Vbat, Table7[[#This Row],[PRR (mW)]]+Table7[[#This Row],[Pdead (mW)]]+Table7[[#This Row],[Pgate_bottom (mW)]], Table7[[#This Row],[PIV (mW)]]+Table7[[#This Row],[Pqoss (mW)]]+Table7[[#This Row],[Pgate_bottom (mW)]])</f>
        <v>#VALUE!</v>
      </c>
      <c r="BE188" s="147" t="e">
        <f ca="1">Table7[[#This Row],[Pcon_bottom (mW)]]+Table7[[#This Row],[Psw_bottom (mW)]]</f>
        <v>#VALUE!</v>
      </c>
      <c r="BF188" s="145" t="e">
        <f ca="1">Table7[[#This Row],[Pbottom (mW)]]+Table7[[#This Row],[Ptop (mW)]]</f>
        <v>#VALUE!</v>
      </c>
      <c r="BG188" s="142"/>
      <c r="BH188" s="145">
        <f>MAX(0,Table7[[#This Row],[I_L]]-0.5*Table7[[#This Row],[I_L pkpk]])</f>
        <v>11.073913043478262</v>
      </c>
      <c r="BI188" s="145">
        <f>Table7[[#This Row],[I_L]]+0.5*Table7[[#This Row],[I_L pkpk]]</f>
        <v>11.465217391304348</v>
      </c>
      <c r="BJ188" s="145">
        <f>IF(VACnom&gt;Vbat, (VGS_S-(C_MOSFET_S_VTH_H_BU+Table7[[#This Row],[I_L]]/C_MOSFET_S_gFS_H_BU))/3.4, (VGS_S-(C_MOSFET_S_VTH_L_BO+Table7[[#This Row],[I_L]]/C_MOSFET_S_gFS_L_BO))/3.4 )</f>
        <v>2.9420142869741599</v>
      </c>
      <c r="BK188" s="145">
        <f>IF(VACnom&gt;Vbat, ((C_MOSFET_S_VTH_H_BU+Table7[[#This Row],[I_L]]/C_MOSFET_S_gFS_H_BU))/1, ((C_MOSFET_S_VTH_L_BO+Table7[[#This Row],[I_L]]/C_MOSFET_S_gFS_L_BO))/1 )</f>
        <v>1.9971514242878561</v>
      </c>
      <c r="BL188" s="145">
        <f>IF(VACnom&gt;Vbat, (C_MOSFET_S_QGD_H_BU+C_MOSFET_S_QGS_H_BU)*10^-9/Table7[[#This Row],[Ion (A) C]], (C_MOSFET_S_QGD_L_BO+C_MOSFET_S_QGS_L_BO)*10^-9/Table7[[#This Row],[Ion (A) C]])/10^-9</f>
        <v>5.2684992281059371</v>
      </c>
      <c r="BM188" s="145">
        <f>IF(VACnom&gt;Vbat, (C_MOSFET_S_QGD_H_BU+C_MOSFET_S_QGS_H_BU)*10^-9/Table7[[#This Row],[Ioff (A) C]], (C_MOSFET_S_QGD_L_BO+C_MOSFET_S_QGS_L_BO)*10^-9/Table7[[#This Row],[Ioff (A) C]])/10^-9</f>
        <v>7.7610539749268064</v>
      </c>
      <c r="BN188" s="145">
        <f xml:space="preserve"> 0.5*VACnom*Table7[[#This Row],[Ivalley (A) C]]*Table7[[#This Row],[ton (ns) C]]*10^-9*Fsw*10^3+0.5*VACnom*Table7[[#This Row],[Ipeak (A) C]]*Table7[[#This Row],[toff (ns) C]]*10^-9*Fsw*10^3/10^-3</f>
        <v>327.66909119065565</v>
      </c>
      <c r="BO188" s="145">
        <f t="shared" ref="BO188:BO219" si="35">IF(VACnom&gt;Vbat, 0.5*VACnom*C_MOSFET_S_QOSS_H_BU*10^-9*Fsw*10^3,0.5*VACnom*C_MOSFET_S_QOSS_L_BO*10^-9*Fsw*10^3)/10^-3</f>
        <v>305.44000000000011</v>
      </c>
      <c r="BP188" s="145">
        <f t="shared" ref="BP188:BP219" si="36">IF(VACnom&gt;Vbat, VACnom*C_MOSFET_S_QG_H_BU*10^-9*Fsw*10^3,VACnom*C_MOSFET_S_QG_H_BO*10^-9*Fsw*10^3)/10^-3</f>
        <v>357.69600000000014</v>
      </c>
      <c r="BQ188" s="145">
        <f t="shared" ref="BQ188:BQ219" si="37">IF(VACnom&gt;Vbat, VACnom*C_MOSFET_S_QRR_L_BU*10^-9*Fsw*10^3, VACnom*C_MOSFET_S_QRR_H_BO*10^-9*Fsw*10^3)/10^-3</f>
        <v>1067.2000000000003</v>
      </c>
      <c r="BR188" s="145">
        <f>IF(VACnom&gt;Vbat, C_MOSFET_S_VSD_L_BU*Table7[[#This Row],[Ivalley (A) C]]*Fsw*10^3*40*10^-9+C_MOSFET_S_VSD_L_BU*Table7[[#This Row],[Ipeak (A) C]]*Fsw*10^3*30*10^-9, C_MOSFET_S_VSD_H_BO*Table7[[#This Row],[Ivalley (A) C]]*Fsw*10^3*40*10^-9+C_MOSFET_S_VSD_H_BO*Table7[[#This Row],[Ipeak (A) C]]*Fsw*10^3*30*10^-9)/10^-3</f>
        <v>125.9060869565218</v>
      </c>
      <c r="BS188" s="145">
        <f t="shared" ref="BS188:BS219" si="38">IF(VACnom&gt;Vbat, VACnom*C_MOSFET_S_QG_L_BU*10^-9*Fsw*10^3, VACnom*C_MOSFET_S_QG_L_BO*10^-9*Fsw*10^3)/10^-3</f>
        <v>357.69600000000014</v>
      </c>
      <c r="BT188" s="145">
        <f>IF(VACnom&lt;Vbat, Table7[[#This Row],[Duty Cycle]]*Table7[[#This Row],[I_L RMS]]^2*C_MOSFET_S_RDSON_H_BU*10^-3, (1-Table7[[#This Row],[Duty Cycle]])*Table7[[#This Row],[I_L RMS]]^2*C_MOSFET_S_RDSON_H_BO*10^-3)/10^-3</f>
        <v>7.17915731075857</v>
      </c>
      <c r="BU188" s="145">
        <f>IF(VACnom&gt;Vbat, Table7[[#This Row],[PIV (mW) C]]+Table7[[#This Row],[PQoss (mW) C]]+Table7[[#This Row],[Pgate_top (mW) C]], Table7[[#This Row],[PRR (mW) C]]+Table7[[#This Row],[Pdead (mW) C]]+Table7[[#This Row],[Pgate_top (mW) C]])</f>
        <v>990.80509119065596</v>
      </c>
      <c r="BV188" s="145">
        <f>Table7[[#This Row],[Pcon_top (mW) C]]+Table7[[#This Row],[Psw_top (mW) C]]</f>
        <v>997.98424850141453</v>
      </c>
      <c r="BW188" s="145">
        <f>IF(VACnom&gt;Vbat, (1-Table7[[#This Row],[Duty Cycle]])*Table7[[#This Row],[I_L RMS]]^2*C_MOSFET_S_RDSON_L_BU*10^-3, Table7[[#This Row],[Duty Cycle]]*Table7[[#This Row],[I_L RMS]]^2*C_MOSFET_S_RDSON_L_BO*10^-3)/10^-3</f>
        <v>4.694064395495988</v>
      </c>
      <c r="BX188" s="145">
        <f>IF(VACnom&gt;Vbat, Table7[[#This Row],[PRR (mW) C]]+Table7[[#This Row],[Pdead (mW) C]]+Table7[[#This Row],[Pgate_bottom (mW) C]], Table7[[#This Row],[PIV (mW) C]]+Table7[[#This Row],[PQoss (mW) C]]+Table7[[#This Row],[Pgate_bottom (mW) C]])</f>
        <v>1550.8020869565223</v>
      </c>
      <c r="BY188" s="145">
        <f>Table7[[#This Row],[Pcon_bottom (mW) C]]+Table7[[#This Row],[Psw_bottom (mV) C]]</f>
        <v>1555.4961513520184</v>
      </c>
      <c r="BZ188" s="145">
        <f>Table7[[#This Row],[Pbottom (mW) C]]+Table7[[#This Row],[Ptop (mW) C]]</f>
        <v>2553.480399853433</v>
      </c>
      <c r="CA188" s="148"/>
      <c r="CB188" s="144">
        <f>(RAC_SNS*10^-3*(Table7[[#This Row],[IOUT (A)]]*Vbat/VACnom)^2/10^-3)</f>
        <v>254.00620037807187</v>
      </c>
      <c r="CC188" s="144">
        <f>(RBAT_SNS*10^-3*Table7[[#This Row],[IOUT (A)]]^2)/10^-3</f>
        <v>663.55200000000002</v>
      </c>
      <c r="CD188" s="144">
        <f>IF(VACnom&gt;Vbat,(L_DRC*10^-3*(Table7[[#This Row],[IOUT (A)]])^2/10^-3),(L_DRC*10^-3*(Table7[[#This Row],[IOUT (A)]]*Vbat/VACnom)^2/10^-3))</f>
        <v>663.55200000000002</v>
      </c>
      <c r="CE188" s="152"/>
      <c r="CF188" s="145">
        <f>(Table7[[#This Row],[R_AC (mW)]]+Table7[[#This Row],[R_SR (mW)]]+Table7[[#This Row],[Inductor Loss (mW)]])/10^3</f>
        <v>1.5811102003780719</v>
      </c>
      <c r="CG188" s="145" t="e">
        <f ca="1">Table7[[#This Row],[Total TI (mW)]]/10^3</f>
        <v>#VALUE!</v>
      </c>
      <c r="CH188" s="145" t="e">
        <f ca="1">Table7[[#This Row],[Total Sense Loss]]+Table7[[#This Row],[Total MOSFET Loss]]</f>
        <v>#VALUE!</v>
      </c>
      <c r="CI188" s="149" t="e">
        <f ca="1">IF(Table7[[#This Row],[POUT (W)]]=0,0,(Table7[[#This Row],[POUT (W)]])/(Table7[[#This Row],[POUT (W)]]+Table7[[#This Row],[Total Power Loss (W)]]))*100</f>
        <v>#VALUE!</v>
      </c>
      <c r="CJ188" s="153"/>
      <c r="CK188" s="145">
        <f>(Table7[[#This Row],[R_AC (mW)]]+Table7[[#This Row],[R_SR (mW)]]+Table7[[#This Row],[Inductor Loss (mW)]])/10^3</f>
        <v>1.5811102003780719</v>
      </c>
      <c r="CL188" s="145">
        <f>Table7[[#This Row],[Total (mW) C]]/10^3</f>
        <v>2.553480399853433</v>
      </c>
      <c r="CM188" s="145">
        <f>Table7[[#This Row],[Total Sense Loss C]]+Table7[[#This Row],[Total MOSFET Loss C]]</f>
        <v>4.1345906002315047</v>
      </c>
      <c r="CN188" s="149">
        <f>IF(Table7[[#This Row],[POUT (W)]]=0,0,(Table7[[#This Row],[POUT (W)]])/(Table7[[#This Row],[POUT (W)]]+Table7[[#This Row],[Total Power Loss (W) C]]))*100</f>
        <v>99.03413346045707</v>
      </c>
      <c r="CO188" s="153"/>
      <c r="CP188" s="149">
        <f>IF(MOSFET_S=Custom_MOSFET,Table7[[#This Row],[Total Sense Loss C]],Table7[[#This Row],[Total Sense Loss]])</f>
        <v>1.5811102003780719</v>
      </c>
      <c r="CQ188" s="149">
        <f>IF(MOSFET_S=Custom_MOSFET,Table7[[#This Row],[Total MOSFET Loss C]],Table7[[#This Row],[Total MOSFET Loss]])</f>
        <v>2.553480399853433</v>
      </c>
      <c r="CR188" s="149">
        <f>IF(MOSFET_S=Custom_MOSFET,Table7[[#This Row],[Efficiency C]],Table7[[#This Row],[Efficiency]])</f>
        <v>99.03413346045707</v>
      </c>
      <c r="CS188" s="153"/>
      <c r="CT188" s="149">
        <f>IF(MOSFET_S=Compare_MOSFET, Table7[[#This Row],[Total Sense Loss C]], -100)</f>
        <v>-100</v>
      </c>
      <c r="CU188" s="149">
        <f>IF(MOSFET_S=Compare_MOSFET, Table7[[#This Row],[Total MOSFET Loss C]], -100)</f>
        <v>-100</v>
      </c>
      <c r="CV188" s="149">
        <f>IF(MOSFET_S=Compare_MOSFET, Table7[[#This Row],[Efficiency C]], -100)</f>
        <v>-100</v>
      </c>
      <c r="CW188" s="153"/>
      <c r="CX188" s="149">
        <f ca="1">IF(Save_Sel=CLR_Save,  Table7[[#This Row],[Total Sense Loss P1]], Table7[[#This Row],[Total Sense Loss P1 Saved]])</f>
        <v>1.5811102003780719</v>
      </c>
      <c r="CY188" s="149">
        <f ca="1">IF(Save_Sel=CLR_Save,  Table7[[#This Row],[Total MOSFET Loss P1]], Table7[[#This Row],[Total MOSFET Loss P1 Saved]] )</f>
        <v>2.553480399853433</v>
      </c>
      <c r="CZ188" s="149">
        <f ca="1">IF(Save_Sel=CLR_Save, Table7[[#This Row],[Efficiency P1]], Table7[[#This Row],[Efficiency P1 Saved]])</f>
        <v>99.03413346045707</v>
      </c>
      <c r="DA188" s="153"/>
      <c r="DB188" s="149">
        <f ca="1">IF(Save_Sel=CLR_Save,  Table7[[#This Row],[Total Sense Loss P2]], Table7[[#This Row],[Total Sense Loss P2 Saved]])</f>
        <v>-100</v>
      </c>
      <c r="DC188" s="149">
        <f ca="1">IF(Save_Sel=CLR_Save,  Table7[[#This Row],[Total MOSFET Loss P2]], Table7[[#This Row],[Total MOSFET Loss P2 Saved]] )</f>
        <v>-100</v>
      </c>
      <c r="DD188" s="149">
        <f ca="1">IF(Save_Sel=CLR_Save, Table7[[#This Row],[Efficiency P2]], Table7[[#This Row],[Efficiency P2 Saved]])</f>
        <v>-100</v>
      </c>
      <c r="DE188" s="153"/>
      <c r="DF188" s="19"/>
      <c r="DG188" s="19"/>
      <c r="DH188" s="19"/>
      <c r="DI188" s="19"/>
      <c r="DJ188" s="19"/>
      <c r="DK188" s="19"/>
      <c r="DL188" s="19"/>
      <c r="DM188" s="19"/>
      <c r="DN188" s="19"/>
      <c r="DO188" s="19"/>
      <c r="DP188" s="19"/>
      <c r="DQ188" s="19"/>
      <c r="DR188" s="19"/>
      <c r="DS188" s="19"/>
      <c r="DT188" s="19"/>
      <c r="DU188" s="19"/>
      <c r="DV188" s="19"/>
      <c r="DW188" s="19"/>
      <c r="DX188" s="19"/>
      <c r="DY188" s="19"/>
      <c r="DZ188" s="19"/>
      <c r="EA188" s="19"/>
      <c r="EB188" s="19"/>
      <c r="EC188" s="19"/>
      <c r="ED188" s="19"/>
      <c r="EE188" s="19"/>
      <c r="EF188" s="19"/>
      <c r="EG188" s="19"/>
      <c r="EH188" s="19"/>
      <c r="EI188" s="19"/>
      <c r="EJ188" s="19"/>
      <c r="EK188" s="19"/>
      <c r="EL188" s="19"/>
      <c r="EM188" s="19"/>
      <c r="EN188" s="19"/>
      <c r="EO188" s="19"/>
      <c r="EP188" s="19"/>
      <c r="EQ188" s="19"/>
      <c r="ER188" s="19"/>
      <c r="ES188" s="19"/>
      <c r="ET188" s="19"/>
      <c r="EU188" s="19"/>
      <c r="EV188" s="19"/>
      <c r="EW188" s="19"/>
      <c r="EX188" s="19"/>
      <c r="EY188" s="19"/>
      <c r="EZ188" s="19"/>
      <c r="FA188" s="19"/>
      <c r="FB188" s="19"/>
      <c r="FC188" s="19"/>
      <c r="FD188" s="19"/>
      <c r="FE188" s="19"/>
      <c r="FF188" s="19"/>
      <c r="FG188" s="19"/>
      <c r="FH188" s="19"/>
      <c r="FI188" s="19"/>
    </row>
    <row r="189" spans="1:165" x14ac:dyDescent="0.25">
      <c r="A189" s="116"/>
      <c r="C189" s="49"/>
      <c r="D189" s="39"/>
      <c r="E189" s="49"/>
      <c r="F189" s="49"/>
      <c r="G189" s="49"/>
      <c r="H189" s="29"/>
      <c r="I189" s="29"/>
      <c r="J189" s="29"/>
      <c r="K189" s="29"/>
      <c r="L189" s="29"/>
      <c r="M189" s="29"/>
      <c r="N189" s="29"/>
      <c r="O189" s="29"/>
      <c r="P189" s="29"/>
      <c r="Q189" s="29"/>
      <c r="R189" s="29"/>
      <c r="S189" s="30"/>
      <c r="T189" s="18"/>
      <c r="U189" s="19"/>
      <c r="V189" s="19"/>
      <c r="W189" s="19"/>
      <c r="X189" s="19"/>
      <c r="Y189" s="19"/>
      <c r="Z189" s="19"/>
      <c r="AA189" s="19"/>
      <c r="AB189" s="19"/>
      <c r="AC189" s="19"/>
      <c r="AD189" s="19"/>
      <c r="AE189" s="19"/>
      <c r="AF189" s="143">
        <f t="shared" si="17"/>
        <v>33</v>
      </c>
      <c r="AG189" s="143">
        <f t="shared" ref="AG189:AG220" si="39">$AG$156+AF189*($AG$256-$AG$156)/$AF$256</f>
        <v>11.88</v>
      </c>
      <c r="AH189" s="144">
        <f t="shared" si="28"/>
        <v>437.18399999999997</v>
      </c>
      <c r="AI189" s="145">
        <f t="shared" si="29"/>
        <v>0.97826086956521752</v>
      </c>
      <c r="AJ189" s="145">
        <f t="shared" si="30"/>
        <v>11.621739130434785</v>
      </c>
      <c r="AK189" s="145">
        <f t="shared" si="26"/>
        <v>0.39130434782608459</v>
      </c>
      <c r="AL189" s="145">
        <f t="shared" si="27"/>
        <v>11.622288085410062</v>
      </c>
      <c r="AM189" s="146"/>
      <c r="AN189" s="145">
        <f>MAX(0,Table7[[#This Row],[I_L]]-0.5*Table7[[#This Row],[I_L pkpk]])</f>
        <v>11.426086956521742</v>
      </c>
      <c r="AO189" s="145">
        <f>Table7[[#This Row],[I_L]]+0.5*Table7[[#This Row],[I_L pkpk]]</f>
        <v>11.817391304347828</v>
      </c>
      <c r="AP189" s="145">
        <f ca="1">IF(VACnom&gt;Vbat, (VGS_S-(TI_MOSFET_S_VTH_H_BU+Table7[[#This Row],[I_L]]/TI_MOSFET_S_gFS_H_BU))/3.4, (VGS_S-(TI_MOSFET_S_VTH_L_BO+Table7[[#This Row],[I_L]]/TI_MOSFET_S_gFS_L_BO))/3.4 )</f>
        <v>2.9884123549085184</v>
      </c>
      <c r="AQ189" s="145">
        <f ca="1">IF(VACnom&gt;Vbat, ((TI_MOSFET_S_VTH_H_BU+Table7[[#This Row],[I_L]]/TI_MOSFET_S_gFS_H_BU))/1, ((TI_MOSFET_S_VTH_L_BO+Table7[[#This Row],[I_L]]/TI_MOSFET_S_gFS_L_BO))/1 )</f>
        <v>1.8393979933110367</v>
      </c>
      <c r="AR189" s="145">
        <f ca="1">IF(VACnom&gt;Vbat, (TI_MOSFET_S_QGD_H_BU+TI_MOSFET_S_QGS_H_BU)*10^-9/Table7[[#This Row],[Ion (A)]], (TI_MOSFET_S_QGD_L_BO+TI_MOSFET_S_QGS_L_BO)*10^-9/Table7[[#This Row],[Ion (A)]])/10^-9</f>
        <v>9.6372242447383503</v>
      </c>
      <c r="AS189" s="145">
        <f ca="1">IF(VACnom&gt;Vbat, (TI_MOSFET_S_QGD_H_BU+TI_MOSFET_S_QGS_H_BU)*10^-9/Table7[[#This Row],[Ioff (A)]], (TI_MOSFET_S_QGD_L_BO+TI_MOSFET_S_QGS_L_BO)*10^-9/Table7[[#This Row],[Ioff (A)]])/10^-9</f>
        <v>15.657296628968329</v>
      </c>
      <c r="AT189" s="145">
        <f ca="1" xml:space="preserve"> 0.5*VACnom*Table7[[#This Row],[Ivalley (A)]]*Table7[[#This Row],[ton (ns)]]*10^-9*Fsw*10^3+0.5*VACnom*Table7[[#This Row],[Ipeak (A)]]*Table7[[#This Row],[toff (ns)]]*10^-9*Fsw*10^3/10^-3</f>
        <v>681.3097418056177</v>
      </c>
      <c r="AU189" s="145">
        <f t="shared" ca="1" si="31"/>
        <v>268.64000000000004</v>
      </c>
      <c r="AV189" s="145" t="e">
        <f t="shared" si="32"/>
        <v>#VALUE!</v>
      </c>
      <c r="AW189" s="145">
        <f t="shared" ca="1" si="33"/>
        <v>566.72000000000025</v>
      </c>
      <c r="AX189" s="145">
        <f ca="1">IF(VACnom&gt;Vbat, TI_MOSFET_S_VSD_L_BU*Table7[[#This Row],[Ivalley (A)]]*Fsw*10^3*40*10^-9+TI_MOSFET_S_VSD_L_BU*Table7[[#This Row],[Ipeak (A)]]*Fsw*10^3*30*10^-9, TI_MOSFET_S_VSD_H_BO*Table7[[#This Row],[Ivalley (A)]]*Fsw*10^3*40*10^-9+TI_MOSFET_S_VSD_H_BO*Table7[[#This Row],[Ipeak (A)]]*Fsw*10^3*30*10^-9)/10^-3</f>
        <v>116.8653913043479</v>
      </c>
      <c r="AY189" s="145" t="e">
        <f t="shared" si="34"/>
        <v>#VALUE!</v>
      </c>
      <c r="AZ189" s="145" t="e">
        <f>IF(VACnom&lt;Vbat, Table7[[#This Row],[Duty Cycle]]*Table7[[#This Row],[I_L RMS]]^2*TI_MOSFET_S_RDSON_H_BU*10^-3, (1-Table7[[#This Row],[Duty Cycle]])*Table7[[#This Row],[I_L RMS]]^2*TI_MOSFET_S_RDSON_H_BO*10^-3)/10^-3</f>
        <v>#VALUE!</v>
      </c>
      <c r="BA189" s="145" t="e">
        <f ca="1">IF(VACnom&gt;Vbat, Table7[[#This Row],[PIV (mW)]]+Table7[[#This Row],[Pqoss (mW)]]+Table7[[#This Row],[Pgate_top (mW)]], Table7[[#This Row],[PRR (mW)]]+Table7[[#This Row],[Pdead (mW)]]+Table7[[#This Row],[Pgate_top (mW)]])</f>
        <v>#VALUE!</v>
      </c>
      <c r="BB189" s="145" t="e">
        <f ca="1">Table7[[#This Row],[Pcon_top (mW)]]+Table7[[#This Row],[Psw_top (mW)]]</f>
        <v>#VALUE!</v>
      </c>
      <c r="BC189" s="145" t="e">
        <f>IF(VACnom&gt;Vbat, (1-Table7[[#This Row],[Duty Cycle]])*Table7[[#This Row],[I_L RMS]]^2*TI_MOSFET_S_RDSON_L_BU*10^-3, Table7[[#This Row],[Duty Cycle]]*Table7[[#This Row],[I_L RMS]]^2*TI_MOSFET_S_RDSON_L_BO*10^-3)/10^-3</f>
        <v>#VALUE!</v>
      </c>
      <c r="BD189" s="145" t="e">
        <f ca="1">IF(VACnom&gt;Vbat, Table7[[#This Row],[PRR (mW)]]+Table7[[#This Row],[Pdead (mW)]]+Table7[[#This Row],[Pgate_bottom (mW)]], Table7[[#This Row],[PIV (mW)]]+Table7[[#This Row],[Pqoss (mW)]]+Table7[[#This Row],[Pgate_bottom (mW)]])</f>
        <v>#VALUE!</v>
      </c>
      <c r="BE189" s="147" t="e">
        <f ca="1">Table7[[#This Row],[Pcon_bottom (mW)]]+Table7[[#This Row],[Psw_bottom (mW)]]</f>
        <v>#VALUE!</v>
      </c>
      <c r="BF189" s="145" t="e">
        <f ca="1">Table7[[#This Row],[Pbottom (mW)]]+Table7[[#This Row],[Ptop (mW)]]</f>
        <v>#VALUE!</v>
      </c>
      <c r="BG189" s="142"/>
      <c r="BH189" s="145">
        <f>MAX(0,Table7[[#This Row],[I_L]]-0.5*Table7[[#This Row],[I_L pkpk]])</f>
        <v>11.426086956521742</v>
      </c>
      <c r="BI189" s="145">
        <f>Table7[[#This Row],[I_L]]+0.5*Table7[[#This Row],[I_L pkpk]]</f>
        <v>11.817391304347828</v>
      </c>
      <c r="BJ189" s="145">
        <f>IF(VACnom&gt;Vbat, (VGS_S-(C_MOSFET_S_VTH_H_BU+Table7[[#This Row],[I_L]]/C_MOSFET_S_gFS_H_BU))/3.4, (VGS_S-(C_MOSFET_S_VTH_L_BO+Table7[[#This Row],[I_L]]/C_MOSFET_S_gFS_L_BO))/3.4 )</f>
        <v>2.9411213510891612</v>
      </c>
      <c r="BK189" s="145">
        <f>IF(VACnom&gt;Vbat, ((C_MOSFET_S_VTH_H_BU+Table7[[#This Row],[I_L]]/C_MOSFET_S_gFS_H_BU))/1, ((C_MOSFET_S_VTH_L_BO+Table7[[#This Row],[I_L]]/C_MOSFET_S_gFS_L_BO))/1 )</f>
        <v>2.0001874062968517</v>
      </c>
      <c r="BL189" s="145">
        <f>IF(VACnom&gt;Vbat, (C_MOSFET_S_QGD_H_BU+C_MOSFET_S_QGS_H_BU)*10^-9/Table7[[#This Row],[Ion (A) C]], (C_MOSFET_S_QGD_L_BO+C_MOSFET_S_QGS_L_BO)*10^-9/Table7[[#This Row],[Ion (A) C]])/10^-9</f>
        <v>5.270098764969358</v>
      </c>
      <c r="BM189" s="145">
        <f>IF(VACnom&gt;Vbat, (C_MOSFET_S_QGD_H_BU+C_MOSFET_S_QGS_H_BU)*10^-9/Table7[[#This Row],[Ioff (A) C]], (C_MOSFET_S_QGD_L_BO+C_MOSFET_S_QGS_L_BO)*10^-9/Table7[[#This Row],[Ioff (A) C]])/10^-9</f>
        <v>7.7492738686404943</v>
      </c>
      <c r="BN189" s="145">
        <f xml:space="preserve"> 0.5*VACnom*Table7[[#This Row],[Ivalley (A) C]]*Table7[[#This Row],[ton (ns) C]]*10^-9*Fsw*10^3+0.5*VACnom*Table7[[#This Row],[Ipeak (A) C]]*Table7[[#This Row],[toff (ns) C]]*10^-9*Fsw*10^3/10^-3</f>
        <v>337.22201911230729</v>
      </c>
      <c r="BO189" s="145">
        <f t="shared" si="35"/>
        <v>305.44000000000011</v>
      </c>
      <c r="BP189" s="145">
        <f t="shared" si="36"/>
        <v>357.69600000000014</v>
      </c>
      <c r="BQ189" s="145">
        <f t="shared" si="37"/>
        <v>1067.2000000000003</v>
      </c>
      <c r="BR189" s="145">
        <f>IF(VACnom&gt;Vbat, C_MOSFET_S_VSD_L_BU*Table7[[#This Row],[Ivalley (A) C]]*Fsw*10^3*40*10^-9+C_MOSFET_S_VSD_L_BU*Table7[[#This Row],[Ipeak (A) C]]*Fsw*10^3*30*10^-9, C_MOSFET_S_VSD_H_BO*Table7[[#This Row],[Ivalley (A) C]]*Fsw*10^3*40*10^-9+C_MOSFET_S_VSD_H_BO*Table7[[#This Row],[Ipeak (A) C]]*Fsw*10^3*30*10^-9)/10^-3</f>
        <v>129.85043478260877</v>
      </c>
      <c r="BS189" s="145">
        <f t="shared" si="38"/>
        <v>357.69600000000014</v>
      </c>
      <c r="BT189" s="145">
        <f>IF(VACnom&lt;Vbat, Table7[[#This Row],[Duty Cycle]]*Table7[[#This Row],[I_L RMS]]^2*C_MOSFET_S_RDSON_H_BU*10^-3, (1-Table7[[#This Row],[Duty Cycle]])*Table7[[#This Row],[I_L RMS]]^2*C_MOSFET_S_RDSON_H_BO*10^-3)/10^-3</f>
        <v>7.6348197583627426</v>
      </c>
      <c r="BU189" s="145">
        <f>IF(VACnom&gt;Vbat, Table7[[#This Row],[PIV (mW) C]]+Table7[[#This Row],[PQoss (mW) C]]+Table7[[#This Row],[Pgate_top (mW) C]], Table7[[#This Row],[PRR (mW) C]]+Table7[[#This Row],[Pdead (mW) C]]+Table7[[#This Row],[Pgate_top (mW) C]])</f>
        <v>1000.3580191123076</v>
      </c>
      <c r="BV189" s="145">
        <f>Table7[[#This Row],[Pcon_top (mW) C]]+Table7[[#This Row],[Psw_top (mW) C]]</f>
        <v>1007.9928388706703</v>
      </c>
      <c r="BW189" s="145">
        <f>IF(VACnom&gt;Vbat, (1-Table7[[#This Row],[Duty Cycle]])*Table7[[#This Row],[I_L RMS]]^2*C_MOSFET_S_RDSON_L_BU*10^-3, Table7[[#This Row],[Duty Cycle]]*Table7[[#This Row],[I_L RMS]]^2*C_MOSFET_S_RDSON_L_BO*10^-3)/10^-3</f>
        <v>4.991997534314101</v>
      </c>
      <c r="BX189" s="145">
        <f>IF(VACnom&gt;Vbat, Table7[[#This Row],[PRR (mW) C]]+Table7[[#This Row],[Pdead (mW) C]]+Table7[[#This Row],[Pgate_bottom (mW) C]], Table7[[#This Row],[PIV (mW) C]]+Table7[[#This Row],[PQoss (mW) C]]+Table7[[#This Row],[Pgate_bottom (mW) C]])</f>
        <v>1554.7464347826092</v>
      </c>
      <c r="BY189" s="145">
        <f>Table7[[#This Row],[Pcon_bottom (mW) C]]+Table7[[#This Row],[Psw_bottom (mV) C]]</f>
        <v>1559.7384323169233</v>
      </c>
      <c r="BZ189" s="145">
        <f>Table7[[#This Row],[Pbottom (mW) C]]+Table7[[#This Row],[Ptop (mW) C]]</f>
        <v>2567.7312711875938</v>
      </c>
      <c r="CA189" s="148"/>
      <c r="CB189" s="144">
        <f>(RAC_SNS*10^-3*(Table7[[#This Row],[IOUT (A)]]*Vbat/VACnom)^2/10^-3)</f>
        <v>270.12964083175814</v>
      </c>
      <c r="CC189" s="144">
        <f>(RBAT_SNS*10^-3*Table7[[#This Row],[IOUT (A)]]^2)/10^-3</f>
        <v>705.67200000000014</v>
      </c>
      <c r="CD189" s="144">
        <f>IF(VACnom&gt;Vbat,(L_DRC*10^-3*(Table7[[#This Row],[IOUT (A)]])^2/10^-3),(L_DRC*10^-3*(Table7[[#This Row],[IOUT (A)]]*Vbat/VACnom)^2/10^-3))</f>
        <v>705.67200000000014</v>
      </c>
      <c r="CE189" s="152"/>
      <c r="CF189" s="145">
        <f>(Table7[[#This Row],[R_AC (mW)]]+Table7[[#This Row],[R_SR (mW)]]+Table7[[#This Row],[Inductor Loss (mW)]])/10^3</f>
        <v>1.6814736408317585</v>
      </c>
      <c r="CG189" s="145" t="e">
        <f ca="1">Table7[[#This Row],[Total TI (mW)]]/10^3</f>
        <v>#VALUE!</v>
      </c>
      <c r="CH189" s="145" t="e">
        <f ca="1">Table7[[#This Row],[Total Sense Loss]]+Table7[[#This Row],[Total MOSFET Loss]]</f>
        <v>#VALUE!</v>
      </c>
      <c r="CI189" s="149" t="e">
        <f ca="1">IF(Table7[[#This Row],[POUT (W)]]=0,0,(Table7[[#This Row],[POUT (W)]])/(Table7[[#This Row],[POUT (W)]]+Table7[[#This Row],[Total Power Loss (W)]]))*100</f>
        <v>#VALUE!</v>
      </c>
      <c r="CJ189" s="153"/>
      <c r="CK189" s="145">
        <f>(Table7[[#This Row],[R_AC (mW)]]+Table7[[#This Row],[R_SR (mW)]]+Table7[[#This Row],[Inductor Loss (mW)]])/10^3</f>
        <v>1.6814736408317585</v>
      </c>
      <c r="CL189" s="145">
        <f>Table7[[#This Row],[Total (mW) C]]/10^3</f>
        <v>2.5677312711875939</v>
      </c>
      <c r="CM189" s="145">
        <f>Table7[[#This Row],[Total Sense Loss C]]+Table7[[#This Row],[Total MOSFET Loss C]]</f>
        <v>4.2492049120193522</v>
      </c>
      <c r="CN189" s="149">
        <f>IF(Table7[[#This Row],[POUT (W)]]=0,0,(Table7[[#This Row],[POUT (W)]])/(Table7[[#This Row],[POUT (W)]]+Table7[[#This Row],[Total Power Loss (W) C]]))*100</f>
        <v>99.037407049416174</v>
      </c>
      <c r="CO189" s="153"/>
      <c r="CP189" s="149">
        <f>IF(MOSFET_S=Custom_MOSFET,Table7[[#This Row],[Total Sense Loss C]],Table7[[#This Row],[Total Sense Loss]])</f>
        <v>1.6814736408317585</v>
      </c>
      <c r="CQ189" s="149">
        <f>IF(MOSFET_S=Custom_MOSFET,Table7[[#This Row],[Total MOSFET Loss C]],Table7[[#This Row],[Total MOSFET Loss]])</f>
        <v>2.5677312711875939</v>
      </c>
      <c r="CR189" s="149">
        <f>IF(MOSFET_S=Custom_MOSFET,Table7[[#This Row],[Efficiency C]],Table7[[#This Row],[Efficiency]])</f>
        <v>99.037407049416174</v>
      </c>
      <c r="CS189" s="153"/>
      <c r="CT189" s="149">
        <f>IF(MOSFET_S=Compare_MOSFET, Table7[[#This Row],[Total Sense Loss C]], -100)</f>
        <v>-100</v>
      </c>
      <c r="CU189" s="149">
        <f>IF(MOSFET_S=Compare_MOSFET, Table7[[#This Row],[Total MOSFET Loss C]], -100)</f>
        <v>-100</v>
      </c>
      <c r="CV189" s="149">
        <f>IF(MOSFET_S=Compare_MOSFET, Table7[[#This Row],[Efficiency C]], -100)</f>
        <v>-100</v>
      </c>
      <c r="CW189" s="153"/>
      <c r="CX189" s="149">
        <f ca="1">IF(Save_Sel=CLR_Save,  Table7[[#This Row],[Total Sense Loss P1]], Table7[[#This Row],[Total Sense Loss P1 Saved]])</f>
        <v>1.6814736408317585</v>
      </c>
      <c r="CY189" s="149">
        <f ca="1">IF(Save_Sel=CLR_Save,  Table7[[#This Row],[Total MOSFET Loss P1]], Table7[[#This Row],[Total MOSFET Loss P1 Saved]] )</f>
        <v>2.5677312711875939</v>
      </c>
      <c r="CZ189" s="149">
        <f ca="1">IF(Save_Sel=CLR_Save, Table7[[#This Row],[Efficiency P1]], Table7[[#This Row],[Efficiency P1 Saved]])</f>
        <v>99.037407049416174</v>
      </c>
      <c r="DA189" s="153"/>
      <c r="DB189" s="149">
        <f ca="1">IF(Save_Sel=CLR_Save,  Table7[[#This Row],[Total Sense Loss P2]], Table7[[#This Row],[Total Sense Loss P2 Saved]])</f>
        <v>-100</v>
      </c>
      <c r="DC189" s="149">
        <f ca="1">IF(Save_Sel=CLR_Save,  Table7[[#This Row],[Total MOSFET Loss P2]], Table7[[#This Row],[Total MOSFET Loss P2 Saved]] )</f>
        <v>-100</v>
      </c>
      <c r="DD189" s="149">
        <f ca="1">IF(Save_Sel=CLR_Save, Table7[[#This Row],[Efficiency P2]], Table7[[#This Row],[Efficiency P2 Saved]])</f>
        <v>-100</v>
      </c>
      <c r="DE189" s="153"/>
      <c r="DF189" s="19"/>
      <c r="DG189" s="19"/>
      <c r="DH189" s="19"/>
      <c r="DI189" s="19"/>
      <c r="DJ189" s="19"/>
      <c r="DK189" s="19"/>
      <c r="DL189" s="19"/>
      <c r="DM189" s="19"/>
      <c r="DN189" s="19"/>
      <c r="DO189" s="19"/>
      <c r="DP189" s="19"/>
      <c r="DQ189" s="19"/>
      <c r="DR189" s="19"/>
      <c r="DS189" s="19"/>
      <c r="DT189" s="19"/>
      <c r="DU189" s="19"/>
      <c r="DV189" s="19"/>
      <c r="DW189" s="19"/>
      <c r="DX189" s="19"/>
      <c r="DY189" s="19"/>
      <c r="DZ189" s="19"/>
      <c r="EA189" s="19"/>
      <c r="EB189" s="19"/>
      <c r="EC189" s="19"/>
      <c r="ED189" s="19"/>
      <c r="EE189" s="19"/>
      <c r="EF189" s="19"/>
      <c r="EG189" s="19"/>
      <c r="EH189" s="19"/>
      <c r="EI189" s="19"/>
      <c r="EJ189" s="19"/>
      <c r="EK189" s="19"/>
      <c r="EL189" s="19"/>
      <c r="EM189" s="19"/>
      <c r="EN189" s="19"/>
      <c r="EO189" s="19"/>
      <c r="EP189" s="19"/>
      <c r="EQ189" s="19"/>
      <c r="ER189" s="19"/>
      <c r="ES189" s="19"/>
      <c r="ET189" s="19"/>
      <c r="EU189" s="19"/>
      <c r="EV189" s="19"/>
      <c r="EW189" s="19"/>
      <c r="EX189" s="19"/>
      <c r="EY189" s="19"/>
      <c r="EZ189" s="19"/>
      <c r="FA189" s="19"/>
      <c r="FB189" s="19"/>
      <c r="FC189" s="19"/>
      <c r="FD189" s="19"/>
      <c r="FE189" s="19"/>
      <c r="FF189" s="19"/>
      <c r="FG189" s="19"/>
      <c r="FH189" s="19"/>
      <c r="FI189" s="19"/>
    </row>
    <row r="190" spans="1:165" x14ac:dyDescent="0.25">
      <c r="A190" s="96"/>
      <c r="B190" s="29"/>
      <c r="C190" s="49"/>
      <c r="D190" s="32"/>
      <c r="E190" s="66"/>
      <c r="F190" s="29"/>
      <c r="G190" s="29"/>
      <c r="H190" s="29"/>
      <c r="I190" s="29"/>
      <c r="J190" s="29"/>
      <c r="L190" s="29"/>
      <c r="M190" s="29"/>
      <c r="N190" s="29"/>
      <c r="O190" s="29"/>
      <c r="P190" s="29"/>
      <c r="Q190" s="29"/>
      <c r="R190" s="29"/>
      <c r="S190" s="30"/>
      <c r="T190" s="18"/>
      <c r="U190" s="19"/>
      <c r="V190" s="19"/>
      <c r="W190" s="19"/>
      <c r="X190" s="19"/>
      <c r="Y190" s="19"/>
      <c r="Z190" s="19"/>
      <c r="AA190" s="19"/>
      <c r="AB190" s="19"/>
      <c r="AC190" s="19"/>
      <c r="AD190" s="19"/>
      <c r="AE190" s="19"/>
      <c r="AF190" s="143">
        <f t="shared" si="17"/>
        <v>34</v>
      </c>
      <c r="AG190" s="143">
        <f t="shared" si="39"/>
        <v>12.24</v>
      </c>
      <c r="AH190" s="144">
        <f t="shared" si="28"/>
        <v>450.43199999999996</v>
      </c>
      <c r="AI190" s="145">
        <f t="shared" si="29"/>
        <v>0.97826086956521752</v>
      </c>
      <c r="AJ190" s="145">
        <f t="shared" si="30"/>
        <v>11.973913043478262</v>
      </c>
      <c r="AK190" s="145">
        <f t="shared" si="26"/>
        <v>0.39130434782608459</v>
      </c>
      <c r="AL190" s="145">
        <f t="shared" si="27"/>
        <v>11.974445853448271</v>
      </c>
      <c r="AM190" s="146"/>
      <c r="AN190" s="145">
        <f>MAX(0,Table7[[#This Row],[I_L]]-0.5*Table7[[#This Row],[I_L pkpk]])</f>
        <v>11.778260869565219</v>
      </c>
      <c r="AO190" s="145">
        <f>Table7[[#This Row],[I_L]]+0.5*Table7[[#This Row],[I_L pkpk]]</f>
        <v>12.169565217391305</v>
      </c>
      <c r="AP190" s="145">
        <f ca="1">IF(VACnom&gt;Vbat, (VGS_S-(TI_MOSFET_S_VTH_H_BU+Table7[[#This Row],[I_L]]/TI_MOSFET_S_gFS_H_BU))/3.4, (VGS_S-(TI_MOSFET_S_VTH_L_BO+Table7[[#This Row],[I_L]]/TI_MOSFET_S_gFS_L_BO))/3.4 )</f>
        <v>2.9876155813495968</v>
      </c>
      <c r="AQ190" s="145">
        <f ca="1">IF(VACnom&gt;Vbat, ((TI_MOSFET_S_VTH_H_BU+Table7[[#This Row],[I_L]]/TI_MOSFET_S_gFS_H_BU))/1, ((TI_MOSFET_S_VTH_L_BO+Table7[[#This Row],[I_L]]/TI_MOSFET_S_gFS_L_BO))/1 )</f>
        <v>1.8421070234113712</v>
      </c>
      <c r="AR190" s="145">
        <f ca="1">IF(VACnom&gt;Vbat, (TI_MOSFET_S_QGD_H_BU+TI_MOSFET_S_QGS_H_BU)*10^-9/Table7[[#This Row],[Ion (A)]], (TI_MOSFET_S_QGD_L_BO+TI_MOSFET_S_QGS_L_BO)*10^-9/Table7[[#This Row],[Ion (A)]])/10^-9</f>
        <v>9.639794416586275</v>
      </c>
      <c r="AS190" s="145">
        <f ca="1">IF(VACnom&gt;Vbat, (TI_MOSFET_S_QGD_H_BU+TI_MOSFET_S_QGS_H_BU)*10^-9/Table7[[#This Row],[Ioff (A)]], (TI_MOSFET_S_QGD_L_BO+TI_MOSFET_S_QGS_L_BO)*10^-9/Table7[[#This Row],[Ioff (A)]])/10^-9</f>
        <v>15.634270774705424</v>
      </c>
      <c r="AT190" s="145">
        <f ca="1" xml:space="preserve"> 0.5*VACnom*Table7[[#This Row],[Ivalley (A)]]*Table7[[#This Row],[ton (ns)]]*10^-9*Fsw*10^3+0.5*VACnom*Table7[[#This Row],[Ipeak (A)]]*Table7[[#This Row],[toff (ns)]]*10^-9*Fsw*10^3/10^-3</f>
        <v>700.58300962360045</v>
      </c>
      <c r="AU190" s="145">
        <f t="shared" ca="1" si="31"/>
        <v>268.64000000000004</v>
      </c>
      <c r="AV190" s="145" t="e">
        <f t="shared" si="32"/>
        <v>#VALUE!</v>
      </c>
      <c r="AW190" s="145">
        <f t="shared" ca="1" si="33"/>
        <v>566.72000000000025</v>
      </c>
      <c r="AX190" s="145">
        <f ca="1">IF(VACnom&gt;Vbat, TI_MOSFET_S_VSD_L_BU*Table7[[#This Row],[Ivalley (A)]]*Fsw*10^3*40*10^-9+TI_MOSFET_S_VSD_L_BU*Table7[[#This Row],[Ipeak (A)]]*Fsw*10^3*30*10^-9, TI_MOSFET_S_VSD_H_BO*Table7[[#This Row],[Ivalley (A)]]*Fsw*10^3*40*10^-9+TI_MOSFET_S_VSD_H_BO*Table7[[#This Row],[Ipeak (A)]]*Fsw*10^3*30*10^-9)/10^-3</f>
        <v>120.41530434782615</v>
      </c>
      <c r="AY190" s="145" t="e">
        <f t="shared" si="34"/>
        <v>#VALUE!</v>
      </c>
      <c r="AZ190" s="145" t="e">
        <f>IF(VACnom&lt;Vbat, Table7[[#This Row],[Duty Cycle]]*Table7[[#This Row],[I_L RMS]]^2*TI_MOSFET_S_RDSON_H_BU*10^-3, (1-Table7[[#This Row],[Duty Cycle]])*Table7[[#This Row],[I_L RMS]]^2*TI_MOSFET_S_RDSON_H_BO*10^-3)/10^-3</f>
        <v>#VALUE!</v>
      </c>
      <c r="BA190" s="145" t="e">
        <f ca="1">IF(VACnom&gt;Vbat, Table7[[#This Row],[PIV (mW)]]+Table7[[#This Row],[Pqoss (mW)]]+Table7[[#This Row],[Pgate_top (mW)]], Table7[[#This Row],[PRR (mW)]]+Table7[[#This Row],[Pdead (mW)]]+Table7[[#This Row],[Pgate_top (mW)]])</f>
        <v>#VALUE!</v>
      </c>
      <c r="BB190" s="145" t="e">
        <f ca="1">Table7[[#This Row],[Pcon_top (mW)]]+Table7[[#This Row],[Psw_top (mW)]]</f>
        <v>#VALUE!</v>
      </c>
      <c r="BC190" s="145" t="e">
        <f>IF(VACnom&gt;Vbat, (1-Table7[[#This Row],[Duty Cycle]])*Table7[[#This Row],[I_L RMS]]^2*TI_MOSFET_S_RDSON_L_BU*10^-3, Table7[[#This Row],[Duty Cycle]]*Table7[[#This Row],[I_L RMS]]^2*TI_MOSFET_S_RDSON_L_BO*10^-3)/10^-3</f>
        <v>#VALUE!</v>
      </c>
      <c r="BD190" s="145" t="e">
        <f ca="1">IF(VACnom&gt;Vbat, Table7[[#This Row],[PRR (mW)]]+Table7[[#This Row],[Pdead (mW)]]+Table7[[#This Row],[Pgate_bottom (mW)]], Table7[[#This Row],[PIV (mW)]]+Table7[[#This Row],[Pqoss (mW)]]+Table7[[#This Row],[Pgate_bottom (mW)]])</f>
        <v>#VALUE!</v>
      </c>
      <c r="BE190" s="147" t="e">
        <f ca="1">Table7[[#This Row],[Pcon_bottom (mW)]]+Table7[[#This Row],[Psw_bottom (mW)]]</f>
        <v>#VALUE!</v>
      </c>
      <c r="BF190" s="145" t="e">
        <f ca="1">Table7[[#This Row],[Pbottom (mW)]]+Table7[[#This Row],[Ptop (mW)]]</f>
        <v>#VALUE!</v>
      </c>
      <c r="BG190" s="142"/>
      <c r="BH190" s="145">
        <f>MAX(0,Table7[[#This Row],[I_L]]-0.5*Table7[[#This Row],[I_L pkpk]])</f>
        <v>11.778260869565219</v>
      </c>
      <c r="BI190" s="145">
        <f>Table7[[#This Row],[I_L]]+0.5*Table7[[#This Row],[I_L pkpk]]</f>
        <v>12.169565217391305</v>
      </c>
      <c r="BJ190" s="145">
        <f>IF(VACnom&gt;Vbat, (VGS_S-(C_MOSFET_S_VTH_H_BU+Table7[[#This Row],[I_L]]/C_MOSFET_S_gFS_H_BU))/3.4, (VGS_S-(C_MOSFET_S_VTH_L_BO+Table7[[#This Row],[I_L]]/C_MOSFET_S_gFS_L_BO))/3.4 )</f>
        <v>2.9402284152041629</v>
      </c>
      <c r="BK190" s="145">
        <f>IF(VACnom&gt;Vbat, ((C_MOSFET_S_VTH_H_BU+Table7[[#This Row],[I_L]]/C_MOSFET_S_gFS_H_BU))/1, ((C_MOSFET_S_VTH_L_BO+Table7[[#This Row],[I_L]]/C_MOSFET_S_gFS_L_BO))/1 )</f>
        <v>2.0032233883058468</v>
      </c>
      <c r="BL190" s="145">
        <f>IF(VACnom&gt;Vbat, (C_MOSFET_S_QGD_H_BU+C_MOSFET_S_QGS_H_BU)*10^-9/Table7[[#This Row],[Ion (A) C]], (C_MOSFET_S_QGD_L_BO+C_MOSFET_S_QGS_L_BO)*10^-9/Table7[[#This Row],[Ion (A) C]])/10^-9</f>
        <v>5.2716992733789745</v>
      </c>
      <c r="BM190" s="145">
        <f>IF(VACnom&gt;Vbat, (C_MOSFET_S_QGD_H_BU+C_MOSFET_S_QGS_H_BU)*10^-9/Table7[[#This Row],[Ioff (A) C]], (C_MOSFET_S_QGD_L_BO+C_MOSFET_S_QGS_L_BO)*10^-9/Table7[[#This Row],[Ioff (A) C]])/10^-9</f>
        <v>7.737529468996744</v>
      </c>
      <c r="BN190" s="145">
        <f xml:space="preserve"> 0.5*VACnom*Table7[[#This Row],[Ivalley (A) C]]*Table7[[#This Row],[ton (ns) C]]*10^-9*Fsw*10^3+0.5*VACnom*Table7[[#This Row],[Ipeak (A) C]]*Table7[[#This Row],[toff (ns) C]]*10^-9*Fsw*10^3/10^-3</f>
        <v>346.74601627285568</v>
      </c>
      <c r="BO190" s="145">
        <f t="shared" si="35"/>
        <v>305.44000000000011</v>
      </c>
      <c r="BP190" s="145">
        <f t="shared" si="36"/>
        <v>357.69600000000014</v>
      </c>
      <c r="BQ190" s="145">
        <f t="shared" si="37"/>
        <v>1067.2000000000003</v>
      </c>
      <c r="BR190" s="145">
        <f>IF(VACnom&gt;Vbat, C_MOSFET_S_VSD_L_BU*Table7[[#This Row],[Ivalley (A) C]]*Fsw*10^3*40*10^-9+C_MOSFET_S_VSD_L_BU*Table7[[#This Row],[Ipeak (A) C]]*Fsw*10^3*30*10^-9, C_MOSFET_S_VSD_H_BO*Table7[[#This Row],[Ivalley (A) C]]*Fsw*10^3*40*10^-9+C_MOSFET_S_VSD_H_BO*Table7[[#This Row],[Ipeak (A) C]]*Fsw*10^3*30*10^-9)/10^-3</f>
        <v>133.79478260869573</v>
      </c>
      <c r="BS190" s="145">
        <f t="shared" si="38"/>
        <v>357.69600000000014</v>
      </c>
      <c r="BT190" s="145">
        <f>IF(VACnom&lt;Vbat, Table7[[#This Row],[Duty Cycle]]*Table7[[#This Row],[I_L RMS]]^2*C_MOSFET_S_RDSON_H_BU*10^-3, (1-Table7[[#This Row],[Duty Cycle]])*Table7[[#This Row],[I_L RMS]]^2*C_MOSFET_S_RDSON_H_BO*10^-3)/10^-3</f>
        <v>8.1045025889701208</v>
      </c>
      <c r="BU190" s="145">
        <f>IF(VACnom&gt;Vbat, Table7[[#This Row],[PIV (mW) C]]+Table7[[#This Row],[PQoss (mW) C]]+Table7[[#This Row],[Pgate_top (mW) C]], Table7[[#This Row],[PRR (mW) C]]+Table7[[#This Row],[Pdead (mW) C]]+Table7[[#This Row],[Pgate_top (mW) C]])</f>
        <v>1009.8820162728559</v>
      </c>
      <c r="BV190" s="145">
        <f>Table7[[#This Row],[Pcon_top (mW) C]]+Table7[[#This Row],[Psw_top (mW) C]]</f>
        <v>1017.9865188618261</v>
      </c>
      <c r="BW190" s="145">
        <f>IF(VACnom&gt;Vbat, (1-Table7[[#This Row],[Duty Cycle]])*Table7[[#This Row],[I_L RMS]]^2*C_MOSFET_S_RDSON_L_BU*10^-3, Table7[[#This Row],[Duty Cycle]]*Table7[[#This Row],[I_L RMS]]^2*C_MOSFET_S_RDSON_L_BO*10^-3)/10^-3</f>
        <v>5.2990978466343099</v>
      </c>
      <c r="BX190" s="145">
        <f>IF(VACnom&gt;Vbat, Table7[[#This Row],[PRR (mW) C]]+Table7[[#This Row],[Pdead (mW) C]]+Table7[[#This Row],[Pgate_bottom (mW) C]], Table7[[#This Row],[PIV (mW) C]]+Table7[[#This Row],[PQoss (mW) C]]+Table7[[#This Row],[Pgate_bottom (mW) C]])</f>
        <v>1558.6907826086961</v>
      </c>
      <c r="BY190" s="145">
        <f>Table7[[#This Row],[Pcon_bottom (mW) C]]+Table7[[#This Row],[Psw_bottom (mV) C]]</f>
        <v>1563.9898804553304</v>
      </c>
      <c r="BZ190" s="145">
        <f>Table7[[#This Row],[Pbottom (mW) C]]+Table7[[#This Row],[Ptop (mW) C]]</f>
        <v>2581.9763993171564</v>
      </c>
      <c r="CA190" s="148"/>
      <c r="CB190" s="144">
        <f>(RAC_SNS*10^-3*(Table7[[#This Row],[IOUT (A)]]*Vbat/VACnom)^2/10^-3)</f>
        <v>286.74918714555764</v>
      </c>
      <c r="CC190" s="144">
        <f>(RBAT_SNS*10^-3*Table7[[#This Row],[IOUT (A)]]^2)/10^-3</f>
        <v>749.08799999999997</v>
      </c>
      <c r="CD190" s="144">
        <f>IF(VACnom&gt;Vbat,(L_DRC*10^-3*(Table7[[#This Row],[IOUT (A)]])^2/10^-3),(L_DRC*10^-3*(Table7[[#This Row],[IOUT (A)]]*Vbat/VACnom)^2/10^-3))</f>
        <v>749.08799999999997</v>
      </c>
      <c r="CE190" s="152"/>
      <c r="CF190" s="145">
        <f>(Table7[[#This Row],[R_AC (mW)]]+Table7[[#This Row],[R_SR (mW)]]+Table7[[#This Row],[Inductor Loss (mW)]])/10^3</f>
        <v>1.7849251871455576</v>
      </c>
      <c r="CG190" s="145" t="e">
        <f ca="1">Table7[[#This Row],[Total TI (mW)]]/10^3</f>
        <v>#VALUE!</v>
      </c>
      <c r="CH190" s="145" t="e">
        <f ca="1">Table7[[#This Row],[Total Sense Loss]]+Table7[[#This Row],[Total MOSFET Loss]]</f>
        <v>#VALUE!</v>
      </c>
      <c r="CI190" s="149" t="e">
        <f ca="1">IF(Table7[[#This Row],[POUT (W)]]=0,0,(Table7[[#This Row],[POUT (W)]])/(Table7[[#This Row],[POUT (W)]]+Table7[[#This Row],[Total Power Loss (W)]]))*100</f>
        <v>#VALUE!</v>
      </c>
      <c r="CJ190" s="153"/>
      <c r="CK190" s="145">
        <f>(Table7[[#This Row],[R_AC (mW)]]+Table7[[#This Row],[R_SR (mW)]]+Table7[[#This Row],[Inductor Loss (mW)]])/10^3</f>
        <v>1.7849251871455576</v>
      </c>
      <c r="CL190" s="145">
        <f>Table7[[#This Row],[Total (mW) C]]/10^3</f>
        <v>2.5819763993171563</v>
      </c>
      <c r="CM190" s="145">
        <f>Table7[[#This Row],[Total Sense Loss C]]+Table7[[#This Row],[Total MOSFET Loss C]]</f>
        <v>4.3669015864627134</v>
      </c>
      <c r="CN190" s="149">
        <f>IF(Table7[[#This Row],[POUT (W)]]=0,0,(Table7[[#This Row],[POUT (W)]])/(Table7[[#This Row],[POUT (W)]]+Table7[[#This Row],[Total Power Loss (W) C]]))*100</f>
        <v>99.039817033148111</v>
      </c>
      <c r="CO190" s="153"/>
      <c r="CP190" s="149">
        <f>IF(MOSFET_S=Custom_MOSFET,Table7[[#This Row],[Total Sense Loss C]],Table7[[#This Row],[Total Sense Loss]])</f>
        <v>1.7849251871455576</v>
      </c>
      <c r="CQ190" s="149">
        <f>IF(MOSFET_S=Custom_MOSFET,Table7[[#This Row],[Total MOSFET Loss C]],Table7[[#This Row],[Total MOSFET Loss]])</f>
        <v>2.5819763993171563</v>
      </c>
      <c r="CR190" s="149">
        <f>IF(MOSFET_S=Custom_MOSFET,Table7[[#This Row],[Efficiency C]],Table7[[#This Row],[Efficiency]])</f>
        <v>99.039817033148111</v>
      </c>
      <c r="CS190" s="153"/>
      <c r="CT190" s="149">
        <f>IF(MOSFET_S=Compare_MOSFET, Table7[[#This Row],[Total Sense Loss C]], -100)</f>
        <v>-100</v>
      </c>
      <c r="CU190" s="149">
        <f>IF(MOSFET_S=Compare_MOSFET, Table7[[#This Row],[Total MOSFET Loss C]], -100)</f>
        <v>-100</v>
      </c>
      <c r="CV190" s="149">
        <f>IF(MOSFET_S=Compare_MOSFET, Table7[[#This Row],[Efficiency C]], -100)</f>
        <v>-100</v>
      </c>
      <c r="CW190" s="153"/>
      <c r="CX190" s="149">
        <f ca="1">IF(Save_Sel=CLR_Save,  Table7[[#This Row],[Total Sense Loss P1]], Table7[[#This Row],[Total Sense Loss P1 Saved]])</f>
        <v>1.7849251871455576</v>
      </c>
      <c r="CY190" s="149">
        <f ca="1">IF(Save_Sel=CLR_Save,  Table7[[#This Row],[Total MOSFET Loss P1]], Table7[[#This Row],[Total MOSFET Loss P1 Saved]] )</f>
        <v>2.5819763993171563</v>
      </c>
      <c r="CZ190" s="149">
        <f ca="1">IF(Save_Sel=CLR_Save, Table7[[#This Row],[Efficiency P1]], Table7[[#This Row],[Efficiency P1 Saved]])</f>
        <v>99.039817033148111</v>
      </c>
      <c r="DA190" s="153"/>
      <c r="DB190" s="149">
        <f ca="1">IF(Save_Sel=CLR_Save,  Table7[[#This Row],[Total Sense Loss P2]], Table7[[#This Row],[Total Sense Loss P2 Saved]])</f>
        <v>-100</v>
      </c>
      <c r="DC190" s="149">
        <f ca="1">IF(Save_Sel=CLR_Save,  Table7[[#This Row],[Total MOSFET Loss P2]], Table7[[#This Row],[Total MOSFET Loss P2 Saved]] )</f>
        <v>-100</v>
      </c>
      <c r="DD190" s="149">
        <f ca="1">IF(Save_Sel=CLR_Save, Table7[[#This Row],[Efficiency P2]], Table7[[#This Row],[Efficiency P2 Saved]])</f>
        <v>-100</v>
      </c>
      <c r="DE190" s="153"/>
      <c r="DF190" s="19"/>
      <c r="DG190" s="19"/>
      <c r="DH190" s="19"/>
      <c r="DI190" s="19"/>
      <c r="DJ190" s="19"/>
      <c r="DK190" s="19"/>
      <c r="DL190" s="19"/>
      <c r="DM190" s="19"/>
      <c r="DN190" s="19"/>
      <c r="DO190" s="19"/>
      <c r="DP190" s="19"/>
      <c r="DQ190" s="19"/>
      <c r="DR190" s="19"/>
      <c r="DS190" s="19"/>
      <c r="DT190" s="19"/>
      <c r="DU190" s="19"/>
      <c r="DV190" s="19"/>
      <c r="DW190" s="19"/>
      <c r="DX190" s="19"/>
      <c r="DY190" s="19"/>
      <c r="DZ190" s="19"/>
      <c r="EA190" s="19"/>
      <c r="EB190" s="19"/>
      <c r="EC190" s="19"/>
      <c r="ED190" s="19"/>
      <c r="EE190" s="19"/>
      <c r="EF190" s="19"/>
      <c r="EG190" s="19"/>
      <c r="EH190" s="19"/>
      <c r="EI190" s="19"/>
      <c r="EJ190" s="19"/>
      <c r="EK190" s="19"/>
      <c r="EL190" s="19"/>
      <c r="EM190" s="19"/>
      <c r="EN190" s="19"/>
      <c r="EO190" s="19"/>
      <c r="EP190" s="19"/>
      <c r="EQ190" s="19"/>
      <c r="ER190" s="19"/>
      <c r="ES190" s="19"/>
      <c r="ET190" s="19"/>
      <c r="EU190" s="19"/>
      <c r="EV190" s="19"/>
      <c r="EW190" s="19"/>
      <c r="EX190" s="19"/>
      <c r="EY190" s="19"/>
      <c r="EZ190" s="19"/>
      <c r="FA190" s="19"/>
      <c r="FB190" s="19"/>
      <c r="FC190" s="19"/>
      <c r="FD190" s="19"/>
      <c r="FE190" s="19"/>
      <c r="FF190" s="19"/>
      <c r="FG190" s="19"/>
      <c r="FH190" s="19"/>
      <c r="FI190" s="19"/>
    </row>
    <row r="191" spans="1:165" x14ac:dyDescent="0.25">
      <c r="A191" s="32"/>
      <c r="B191" s="49"/>
      <c r="C191" s="49"/>
      <c r="D191" s="32"/>
      <c r="E191" s="66"/>
      <c r="F191" s="66"/>
      <c r="G191" s="49"/>
      <c r="H191" s="29"/>
      <c r="I191" s="29"/>
      <c r="J191" s="29"/>
      <c r="K191" s="29"/>
      <c r="L191" s="29"/>
      <c r="M191" s="29"/>
      <c r="N191" s="29"/>
      <c r="O191" s="29"/>
      <c r="P191" s="29"/>
      <c r="Q191" s="29"/>
      <c r="R191" s="29"/>
      <c r="S191" s="30"/>
      <c r="T191" s="18"/>
      <c r="U191" s="19"/>
      <c r="V191" s="19"/>
      <c r="W191" s="19"/>
      <c r="X191" s="19"/>
      <c r="Y191" s="19"/>
      <c r="Z191" s="19"/>
      <c r="AA191" s="19"/>
      <c r="AB191" s="19"/>
      <c r="AC191" s="19"/>
      <c r="AD191" s="19"/>
      <c r="AE191" s="19"/>
      <c r="AF191" s="143">
        <f t="shared" si="17"/>
        <v>35</v>
      </c>
      <c r="AG191" s="143">
        <f t="shared" si="39"/>
        <v>12.6</v>
      </c>
      <c r="AH191" s="144">
        <f t="shared" si="28"/>
        <v>463.67999999999995</v>
      </c>
      <c r="AI191" s="145">
        <f t="shared" si="29"/>
        <v>0.97826086956521752</v>
      </c>
      <c r="AJ191" s="145">
        <f t="shared" si="30"/>
        <v>12.32608695652174</v>
      </c>
      <c r="AK191" s="145">
        <f t="shared" si="26"/>
        <v>0.39130434782608459</v>
      </c>
      <c r="AL191" s="145">
        <f t="shared" si="27"/>
        <v>12.326604543998359</v>
      </c>
      <c r="AM191" s="146"/>
      <c r="AN191" s="145">
        <f>MAX(0,Table7[[#This Row],[I_L]]-0.5*Table7[[#This Row],[I_L pkpk]])</f>
        <v>12.130434782608697</v>
      </c>
      <c r="AO191" s="145">
        <f>Table7[[#This Row],[I_L]]+0.5*Table7[[#This Row],[I_L pkpk]]</f>
        <v>12.521739130434783</v>
      </c>
      <c r="AP191" s="145">
        <f ca="1">IF(VACnom&gt;Vbat, (VGS_S-(TI_MOSFET_S_VTH_H_BU+Table7[[#This Row],[I_L]]/TI_MOSFET_S_gFS_H_BU))/3.4, (VGS_S-(TI_MOSFET_S_VTH_L_BO+Table7[[#This Row],[I_L]]/TI_MOSFET_S_gFS_L_BO))/3.4 )</f>
        <v>2.9868188077906752</v>
      </c>
      <c r="AQ191" s="145">
        <f ca="1">IF(VACnom&gt;Vbat, ((TI_MOSFET_S_VTH_H_BU+Table7[[#This Row],[I_L]]/TI_MOSFET_S_gFS_H_BU))/1, ((TI_MOSFET_S_VTH_L_BO+Table7[[#This Row],[I_L]]/TI_MOSFET_S_gFS_L_BO))/1 )</f>
        <v>1.8448160535117057</v>
      </c>
      <c r="AR191" s="145">
        <f ca="1">IF(VACnom&gt;Vbat, (TI_MOSFET_S_QGD_H_BU+TI_MOSFET_S_QGS_H_BU)*10^-9/Table7[[#This Row],[Ion (A)]], (TI_MOSFET_S_QGD_L_BO+TI_MOSFET_S_QGS_L_BO)*10^-9/Table7[[#This Row],[Ion (A)]])/10^-9</f>
        <v>9.6423659596891049</v>
      </c>
      <c r="AS191" s="145">
        <f ca="1">IF(VACnom&gt;Vbat, (TI_MOSFET_S_QGD_H_BU+TI_MOSFET_S_QGS_H_BU)*10^-9/Table7[[#This Row],[Ioff (A)]], (TI_MOSFET_S_QGD_L_BO+TI_MOSFET_S_QGS_L_BO)*10^-9/Table7[[#This Row],[Ioff (A)]])/10^-9</f>
        <v>15.611312545322699</v>
      </c>
      <c r="AT191" s="145">
        <f ca="1" xml:space="preserve"> 0.5*VACnom*Table7[[#This Row],[Ivalley (A)]]*Table7[[#This Row],[ton (ns)]]*10^-9*Fsw*10^3+0.5*VACnom*Table7[[#This Row],[Ipeak (A)]]*Table7[[#This Row],[toff (ns)]]*10^-9*Fsw*10^3/10^-3</f>
        <v>719.7997173049107</v>
      </c>
      <c r="AU191" s="145">
        <f t="shared" ca="1" si="31"/>
        <v>268.64000000000004</v>
      </c>
      <c r="AV191" s="145" t="e">
        <f t="shared" si="32"/>
        <v>#VALUE!</v>
      </c>
      <c r="AW191" s="145">
        <f t="shared" ca="1" si="33"/>
        <v>566.72000000000025</v>
      </c>
      <c r="AX191" s="145">
        <f ca="1">IF(VACnom&gt;Vbat, TI_MOSFET_S_VSD_L_BU*Table7[[#This Row],[Ivalley (A)]]*Fsw*10^3*40*10^-9+TI_MOSFET_S_VSD_L_BU*Table7[[#This Row],[Ipeak (A)]]*Fsw*10^3*30*10^-9, TI_MOSFET_S_VSD_H_BO*Table7[[#This Row],[Ivalley (A)]]*Fsw*10^3*40*10^-9+TI_MOSFET_S_VSD_H_BO*Table7[[#This Row],[Ipeak (A)]]*Fsw*10^3*30*10^-9)/10^-3</f>
        <v>123.96521739130439</v>
      </c>
      <c r="AY191" s="145" t="e">
        <f t="shared" si="34"/>
        <v>#VALUE!</v>
      </c>
      <c r="AZ191" s="145" t="e">
        <f>IF(VACnom&lt;Vbat, Table7[[#This Row],[Duty Cycle]]*Table7[[#This Row],[I_L RMS]]^2*TI_MOSFET_S_RDSON_H_BU*10^-3, (1-Table7[[#This Row],[Duty Cycle]])*Table7[[#This Row],[I_L RMS]]^2*TI_MOSFET_S_RDSON_H_BO*10^-3)/10^-3</f>
        <v>#VALUE!</v>
      </c>
      <c r="BA191" s="145" t="e">
        <f ca="1">IF(VACnom&gt;Vbat, Table7[[#This Row],[PIV (mW)]]+Table7[[#This Row],[Pqoss (mW)]]+Table7[[#This Row],[Pgate_top (mW)]], Table7[[#This Row],[PRR (mW)]]+Table7[[#This Row],[Pdead (mW)]]+Table7[[#This Row],[Pgate_top (mW)]])</f>
        <v>#VALUE!</v>
      </c>
      <c r="BB191" s="145" t="e">
        <f ca="1">Table7[[#This Row],[Pcon_top (mW)]]+Table7[[#This Row],[Psw_top (mW)]]</f>
        <v>#VALUE!</v>
      </c>
      <c r="BC191" s="145" t="e">
        <f>IF(VACnom&gt;Vbat, (1-Table7[[#This Row],[Duty Cycle]])*Table7[[#This Row],[I_L RMS]]^2*TI_MOSFET_S_RDSON_L_BU*10^-3, Table7[[#This Row],[Duty Cycle]]*Table7[[#This Row],[I_L RMS]]^2*TI_MOSFET_S_RDSON_L_BO*10^-3)/10^-3</f>
        <v>#VALUE!</v>
      </c>
      <c r="BD191" s="145" t="e">
        <f ca="1">IF(VACnom&gt;Vbat, Table7[[#This Row],[PRR (mW)]]+Table7[[#This Row],[Pdead (mW)]]+Table7[[#This Row],[Pgate_bottom (mW)]], Table7[[#This Row],[PIV (mW)]]+Table7[[#This Row],[Pqoss (mW)]]+Table7[[#This Row],[Pgate_bottom (mW)]])</f>
        <v>#VALUE!</v>
      </c>
      <c r="BE191" s="147" t="e">
        <f ca="1">Table7[[#This Row],[Pcon_bottom (mW)]]+Table7[[#This Row],[Psw_bottom (mW)]]</f>
        <v>#VALUE!</v>
      </c>
      <c r="BF191" s="145" t="e">
        <f ca="1">Table7[[#This Row],[Pbottom (mW)]]+Table7[[#This Row],[Ptop (mW)]]</f>
        <v>#VALUE!</v>
      </c>
      <c r="BG191" s="142"/>
      <c r="BH191" s="145">
        <f>MAX(0,Table7[[#This Row],[I_L]]-0.5*Table7[[#This Row],[I_L pkpk]])</f>
        <v>12.130434782608697</v>
      </c>
      <c r="BI191" s="145">
        <f>Table7[[#This Row],[I_L]]+0.5*Table7[[#This Row],[I_L pkpk]]</f>
        <v>12.521739130434783</v>
      </c>
      <c r="BJ191" s="145">
        <f>IF(VACnom&gt;Vbat, (VGS_S-(C_MOSFET_S_VTH_H_BU+Table7[[#This Row],[I_L]]/C_MOSFET_S_gFS_H_BU))/3.4, (VGS_S-(C_MOSFET_S_VTH_L_BO+Table7[[#This Row],[I_L]]/C_MOSFET_S_gFS_L_BO))/3.4 )</f>
        <v>2.9393354793191642</v>
      </c>
      <c r="BK191" s="145">
        <f>IF(VACnom&gt;Vbat, ((C_MOSFET_S_VTH_H_BU+Table7[[#This Row],[I_L]]/C_MOSFET_S_gFS_H_BU))/1, ((C_MOSFET_S_VTH_L_BO+Table7[[#This Row],[I_L]]/C_MOSFET_S_gFS_L_BO))/1 )</f>
        <v>2.0062593703148424</v>
      </c>
      <c r="BL191" s="145">
        <f>IF(VACnom&gt;Vbat, (C_MOSFET_S_QGD_H_BU+C_MOSFET_S_QGS_H_BU)*10^-9/Table7[[#This Row],[Ion (A) C]], (C_MOSFET_S_QGD_L_BO+C_MOSFET_S_QGS_L_BO)*10^-9/Table7[[#This Row],[Ion (A) C]])/10^-9</f>
        <v>5.2733007542202195</v>
      </c>
      <c r="BM191" s="145">
        <f>IF(VACnom&gt;Vbat, (C_MOSFET_S_QGD_H_BU+C_MOSFET_S_QGS_H_BU)*10^-9/Table7[[#This Row],[Ioff (A) C]], (C_MOSFET_S_QGD_L_BO+C_MOSFET_S_QGS_L_BO)*10^-9/Table7[[#This Row],[Ioff (A) C]])/10^-9</f>
        <v>7.7258206138957917</v>
      </c>
      <c r="BN191" s="145">
        <f xml:space="preserve"> 0.5*VACnom*Table7[[#This Row],[Ivalley (A) C]]*Table7[[#This Row],[ton (ns) C]]*10^-9*Fsw*10^3+0.5*VACnom*Table7[[#This Row],[Ipeak (A) C]]*Table7[[#This Row],[toff (ns) C]]*10^-9*Fsw*10^3/10^-3</f>
        <v>356.24121403398664</v>
      </c>
      <c r="BO191" s="145">
        <f t="shared" si="35"/>
        <v>305.44000000000011</v>
      </c>
      <c r="BP191" s="145">
        <f t="shared" si="36"/>
        <v>357.69600000000014</v>
      </c>
      <c r="BQ191" s="145">
        <f t="shared" si="37"/>
        <v>1067.2000000000003</v>
      </c>
      <c r="BR191" s="145">
        <f>IF(VACnom&gt;Vbat, C_MOSFET_S_VSD_L_BU*Table7[[#This Row],[Ivalley (A) C]]*Fsw*10^3*40*10^-9+C_MOSFET_S_VSD_L_BU*Table7[[#This Row],[Ipeak (A) C]]*Fsw*10^3*30*10^-9, C_MOSFET_S_VSD_H_BO*Table7[[#This Row],[Ivalley (A) C]]*Fsw*10^3*40*10^-9+C_MOSFET_S_VSD_H_BO*Table7[[#This Row],[Ipeak (A) C]]*Fsw*10^3*30*10^-9)/10^-3</f>
        <v>137.73913043478268</v>
      </c>
      <c r="BS191" s="145">
        <f t="shared" si="38"/>
        <v>357.69600000000014</v>
      </c>
      <c r="BT191" s="145">
        <f>IF(VACnom&lt;Vbat, Table7[[#This Row],[Duty Cycle]]*Table7[[#This Row],[I_L RMS]]^2*C_MOSFET_S_RDSON_H_BU*10^-3, (1-Table7[[#This Row],[Duty Cycle]])*Table7[[#This Row],[I_L RMS]]^2*C_MOSFET_S_RDSON_H_BO*10^-3)/10^-3</f>
        <v>8.5882058025807009</v>
      </c>
      <c r="BU191" s="145">
        <f>IF(VACnom&gt;Vbat, Table7[[#This Row],[PIV (mW) C]]+Table7[[#This Row],[PQoss (mW) C]]+Table7[[#This Row],[Pgate_top (mW) C]], Table7[[#This Row],[PRR (mW) C]]+Table7[[#This Row],[Pdead (mW) C]]+Table7[[#This Row],[Pgate_top (mW) C]])</f>
        <v>1019.3772140339869</v>
      </c>
      <c r="BV191" s="145">
        <f>Table7[[#This Row],[Pcon_top (mW) C]]+Table7[[#This Row],[Psw_top (mW) C]]</f>
        <v>1027.9654198365677</v>
      </c>
      <c r="BW191" s="145">
        <f>IF(VACnom&gt;Vbat, (1-Table7[[#This Row],[Duty Cycle]])*Table7[[#This Row],[I_L RMS]]^2*C_MOSFET_S_RDSON_L_BU*10^-3, Table7[[#This Row],[Duty Cycle]]*Table7[[#This Row],[I_L RMS]]^2*C_MOSFET_S_RDSON_L_BO*10^-3)/10^-3</f>
        <v>5.6153653324566122</v>
      </c>
      <c r="BX191" s="145">
        <f>IF(VACnom&gt;Vbat, Table7[[#This Row],[PRR (mW) C]]+Table7[[#This Row],[Pdead (mW) C]]+Table7[[#This Row],[Pgate_bottom (mW) C]], Table7[[#This Row],[PIV (mW) C]]+Table7[[#This Row],[PQoss (mW) C]]+Table7[[#This Row],[Pgate_bottom (mW) C]])</f>
        <v>1562.6351304347832</v>
      </c>
      <c r="BY191" s="145">
        <f>Table7[[#This Row],[Pcon_bottom (mW) C]]+Table7[[#This Row],[Psw_bottom (mV) C]]</f>
        <v>1568.2504957672397</v>
      </c>
      <c r="BZ191" s="145">
        <f>Table7[[#This Row],[Pbottom (mW) C]]+Table7[[#This Row],[Ptop (mW) C]]</f>
        <v>2596.2159156038074</v>
      </c>
      <c r="CA191" s="148"/>
      <c r="CB191" s="144">
        <f>(RAC_SNS*10^-3*(Table7[[#This Row],[IOUT (A)]]*Vbat/VACnom)^2/10^-3)</f>
        <v>303.86483931947066</v>
      </c>
      <c r="CC191" s="144">
        <f>(RBAT_SNS*10^-3*Table7[[#This Row],[IOUT (A)]]^2)/10^-3</f>
        <v>793.8</v>
      </c>
      <c r="CD191" s="144">
        <f>IF(VACnom&gt;Vbat,(L_DRC*10^-3*(Table7[[#This Row],[IOUT (A)]])^2/10^-3),(L_DRC*10^-3*(Table7[[#This Row],[IOUT (A)]]*Vbat/VACnom)^2/10^-3))</f>
        <v>793.8</v>
      </c>
      <c r="CE191" s="152"/>
      <c r="CF191" s="145">
        <f>(Table7[[#This Row],[R_AC (mW)]]+Table7[[#This Row],[R_SR (mW)]]+Table7[[#This Row],[Inductor Loss (mW)]])/10^3</f>
        <v>1.8914648393194704</v>
      </c>
      <c r="CG191" s="145" t="e">
        <f ca="1">Table7[[#This Row],[Total TI (mW)]]/10^3</f>
        <v>#VALUE!</v>
      </c>
      <c r="CH191" s="145" t="e">
        <f ca="1">Table7[[#This Row],[Total Sense Loss]]+Table7[[#This Row],[Total MOSFET Loss]]</f>
        <v>#VALUE!</v>
      </c>
      <c r="CI191" s="149" t="e">
        <f ca="1">IF(Table7[[#This Row],[POUT (W)]]=0,0,(Table7[[#This Row],[POUT (W)]])/(Table7[[#This Row],[POUT (W)]]+Table7[[#This Row],[Total Power Loss (W)]]))*100</f>
        <v>#VALUE!</v>
      </c>
      <c r="CJ191" s="153"/>
      <c r="CK191" s="145">
        <f>(Table7[[#This Row],[R_AC (mW)]]+Table7[[#This Row],[R_SR (mW)]]+Table7[[#This Row],[Inductor Loss (mW)]])/10^3</f>
        <v>1.8914648393194704</v>
      </c>
      <c r="CL191" s="145">
        <f>Table7[[#This Row],[Total (mW) C]]/10^3</f>
        <v>2.5962159156038074</v>
      </c>
      <c r="CM191" s="145">
        <f>Table7[[#This Row],[Total Sense Loss C]]+Table7[[#This Row],[Total MOSFET Loss C]]</f>
        <v>4.4876807549232778</v>
      </c>
      <c r="CN191" s="149">
        <f>IF(Table7[[#This Row],[POUT (W)]]=0,0,(Table7[[#This Row],[POUT (W)]])/(Table7[[#This Row],[POUT (W)]]+Table7[[#This Row],[Total Power Loss (W) C]]))*100</f>
        <v>99.041437301334668</v>
      </c>
      <c r="CO191" s="153"/>
      <c r="CP191" s="149">
        <f>IF(MOSFET_S=Custom_MOSFET,Table7[[#This Row],[Total Sense Loss C]],Table7[[#This Row],[Total Sense Loss]])</f>
        <v>1.8914648393194704</v>
      </c>
      <c r="CQ191" s="149">
        <f>IF(MOSFET_S=Custom_MOSFET,Table7[[#This Row],[Total MOSFET Loss C]],Table7[[#This Row],[Total MOSFET Loss]])</f>
        <v>2.5962159156038074</v>
      </c>
      <c r="CR191" s="149">
        <f>IF(MOSFET_S=Custom_MOSFET,Table7[[#This Row],[Efficiency C]],Table7[[#This Row],[Efficiency]])</f>
        <v>99.041437301334668</v>
      </c>
      <c r="CS191" s="153"/>
      <c r="CT191" s="149">
        <f>IF(MOSFET_S=Compare_MOSFET, Table7[[#This Row],[Total Sense Loss C]], -100)</f>
        <v>-100</v>
      </c>
      <c r="CU191" s="149">
        <f>IF(MOSFET_S=Compare_MOSFET, Table7[[#This Row],[Total MOSFET Loss C]], -100)</f>
        <v>-100</v>
      </c>
      <c r="CV191" s="149">
        <f>IF(MOSFET_S=Compare_MOSFET, Table7[[#This Row],[Efficiency C]], -100)</f>
        <v>-100</v>
      </c>
      <c r="CW191" s="153"/>
      <c r="CX191" s="149">
        <f ca="1">IF(Save_Sel=CLR_Save,  Table7[[#This Row],[Total Sense Loss P1]], Table7[[#This Row],[Total Sense Loss P1 Saved]])</f>
        <v>1.8914648393194704</v>
      </c>
      <c r="CY191" s="149">
        <f ca="1">IF(Save_Sel=CLR_Save,  Table7[[#This Row],[Total MOSFET Loss P1]], Table7[[#This Row],[Total MOSFET Loss P1 Saved]] )</f>
        <v>2.5962159156038074</v>
      </c>
      <c r="CZ191" s="149">
        <f ca="1">IF(Save_Sel=CLR_Save, Table7[[#This Row],[Efficiency P1]], Table7[[#This Row],[Efficiency P1 Saved]])</f>
        <v>99.041437301334668</v>
      </c>
      <c r="DA191" s="153"/>
      <c r="DB191" s="149">
        <f ca="1">IF(Save_Sel=CLR_Save,  Table7[[#This Row],[Total Sense Loss P2]], Table7[[#This Row],[Total Sense Loss P2 Saved]])</f>
        <v>-100</v>
      </c>
      <c r="DC191" s="149">
        <f ca="1">IF(Save_Sel=CLR_Save,  Table7[[#This Row],[Total MOSFET Loss P2]], Table7[[#This Row],[Total MOSFET Loss P2 Saved]] )</f>
        <v>-100</v>
      </c>
      <c r="DD191" s="149">
        <f ca="1">IF(Save_Sel=CLR_Save, Table7[[#This Row],[Efficiency P2]], Table7[[#This Row],[Efficiency P2 Saved]])</f>
        <v>-100</v>
      </c>
      <c r="DE191" s="153"/>
      <c r="DF191" s="19"/>
      <c r="DG191" s="19"/>
      <c r="DH191" s="19"/>
      <c r="DI191" s="19"/>
      <c r="DJ191" s="19"/>
      <c r="DK191" s="19"/>
      <c r="DL191" s="19"/>
      <c r="DM191" s="19"/>
      <c r="DN191" s="19"/>
      <c r="DO191" s="19"/>
      <c r="DP191" s="19"/>
      <c r="DQ191" s="19"/>
      <c r="DR191" s="19"/>
      <c r="DS191" s="19"/>
      <c r="DT191" s="19"/>
      <c r="DU191" s="19"/>
      <c r="DV191" s="19"/>
      <c r="DW191" s="19"/>
      <c r="DX191" s="19"/>
      <c r="DY191" s="19"/>
      <c r="DZ191" s="19"/>
      <c r="EA191" s="19"/>
      <c r="EB191" s="19"/>
      <c r="EC191" s="19"/>
      <c r="ED191" s="19"/>
      <c r="EE191" s="19"/>
      <c r="EF191" s="19"/>
      <c r="EG191" s="19"/>
      <c r="EH191" s="19"/>
      <c r="EI191" s="19"/>
      <c r="EJ191" s="19"/>
      <c r="EK191" s="19"/>
      <c r="EL191" s="19"/>
      <c r="EM191" s="19"/>
      <c r="EN191" s="19"/>
      <c r="EO191" s="19"/>
      <c r="EP191" s="19"/>
      <c r="EQ191" s="19"/>
      <c r="ER191" s="19"/>
      <c r="ES191" s="19"/>
      <c r="ET191" s="19"/>
      <c r="EU191" s="19"/>
      <c r="EV191" s="19"/>
      <c r="EW191" s="19"/>
      <c r="EX191" s="19"/>
      <c r="EY191" s="19"/>
      <c r="EZ191" s="19"/>
      <c r="FA191" s="19"/>
      <c r="FB191" s="19"/>
      <c r="FC191" s="19"/>
      <c r="FD191" s="19"/>
      <c r="FE191" s="19"/>
      <c r="FF191" s="19"/>
      <c r="FG191" s="19"/>
      <c r="FH191" s="19"/>
      <c r="FI191" s="19"/>
    </row>
    <row r="192" spans="1:165" x14ac:dyDescent="0.25">
      <c r="A192" s="32"/>
      <c r="B192" s="49"/>
      <c r="C192" s="49"/>
      <c r="D192" s="32"/>
      <c r="E192" s="66"/>
      <c r="F192" s="66"/>
      <c r="G192" s="49"/>
      <c r="H192" s="29"/>
      <c r="I192" s="29"/>
      <c r="J192" s="29"/>
      <c r="K192" s="29"/>
      <c r="L192" s="29"/>
      <c r="M192" s="29"/>
      <c r="N192" s="29"/>
      <c r="O192" s="29"/>
      <c r="P192" s="29"/>
      <c r="Q192" s="29"/>
      <c r="R192" s="29"/>
      <c r="S192" s="30"/>
      <c r="T192" s="18"/>
      <c r="U192" s="19"/>
      <c r="V192" s="19"/>
      <c r="W192" s="19"/>
      <c r="X192" s="19"/>
      <c r="Y192" s="19"/>
      <c r="Z192" s="19"/>
      <c r="AA192" s="19"/>
      <c r="AB192" s="19"/>
      <c r="AC192" s="19"/>
      <c r="AD192" s="19"/>
      <c r="AE192" s="19"/>
      <c r="AF192" s="143">
        <f t="shared" si="17"/>
        <v>36</v>
      </c>
      <c r="AG192" s="143">
        <f t="shared" si="39"/>
        <v>12.96</v>
      </c>
      <c r="AH192" s="144">
        <f t="shared" si="28"/>
        <v>476.928</v>
      </c>
      <c r="AI192" s="145">
        <f t="shared" si="29"/>
        <v>0.97826086956521752</v>
      </c>
      <c r="AJ192" s="145">
        <f t="shared" si="30"/>
        <v>12.67826086956522</v>
      </c>
      <c r="AK192" s="145">
        <f t="shared" si="26"/>
        <v>0.39130434782608459</v>
      </c>
      <c r="AL192" s="145">
        <f t="shared" si="27"/>
        <v>12.678764080190712</v>
      </c>
      <c r="AM192" s="146"/>
      <c r="AN192" s="145">
        <f>MAX(0,Table7[[#This Row],[I_L]]-0.5*Table7[[#This Row],[I_L pkpk]])</f>
        <v>12.482608695652177</v>
      </c>
      <c r="AO192" s="145">
        <f>Table7[[#This Row],[I_L]]+0.5*Table7[[#This Row],[I_L pkpk]]</f>
        <v>12.873913043478263</v>
      </c>
      <c r="AP192" s="145">
        <f ca="1">IF(VACnom&gt;Vbat, (VGS_S-(TI_MOSFET_S_VTH_H_BU+Table7[[#This Row],[I_L]]/TI_MOSFET_S_gFS_H_BU))/3.4, (VGS_S-(TI_MOSFET_S_VTH_L_BO+Table7[[#This Row],[I_L]]/TI_MOSFET_S_gFS_L_BO))/3.4 )</f>
        <v>2.9860220342317527</v>
      </c>
      <c r="AQ192" s="145">
        <f ca="1">IF(VACnom&gt;Vbat, ((TI_MOSFET_S_VTH_H_BU+Table7[[#This Row],[I_L]]/TI_MOSFET_S_gFS_H_BU))/1, ((TI_MOSFET_S_VTH_L_BO+Table7[[#This Row],[I_L]]/TI_MOSFET_S_gFS_L_BO))/1 )</f>
        <v>1.84752508361204</v>
      </c>
      <c r="AR192" s="145">
        <f ca="1">IF(VACnom&gt;Vbat, (TI_MOSFET_S_QGD_H_BU+TI_MOSFET_S_QGS_H_BU)*10^-9/Table7[[#This Row],[Ion (A)]], (TI_MOSFET_S_QGD_L_BO+TI_MOSFET_S_QGS_L_BO)*10^-9/Table7[[#This Row],[Ion (A)]])/10^-9</f>
        <v>9.6449388751445362</v>
      </c>
      <c r="AS192" s="145">
        <f ca="1">IF(VACnom&gt;Vbat, (TI_MOSFET_S_QGD_H_BU+TI_MOSFET_S_QGS_H_BU)*10^-9/Table7[[#This Row],[Ioff (A)]], (TI_MOSFET_S_QGD_L_BO+TI_MOSFET_S_QGS_L_BO)*10^-9/Table7[[#This Row],[Ioff (A)]])/10^-9</f>
        <v>15.588421643344619</v>
      </c>
      <c r="AT192" s="145">
        <f ca="1" xml:space="preserve"> 0.5*VACnom*Table7[[#This Row],[Ivalley (A)]]*Table7[[#This Row],[ton (ns)]]*10^-9*Fsw*10^3+0.5*VACnom*Table7[[#This Row],[Ipeak (A)]]*Table7[[#This Row],[toff (ns)]]*10^-9*Fsw*10^3/10^-3</f>
        <v>738.96011368726352</v>
      </c>
      <c r="AU192" s="145">
        <f t="shared" ca="1" si="31"/>
        <v>268.64000000000004</v>
      </c>
      <c r="AV192" s="145" t="e">
        <f t="shared" si="32"/>
        <v>#VALUE!</v>
      </c>
      <c r="AW192" s="145">
        <f t="shared" ca="1" si="33"/>
        <v>566.72000000000025</v>
      </c>
      <c r="AX192" s="145">
        <f ca="1">IF(VACnom&gt;Vbat, TI_MOSFET_S_VSD_L_BU*Table7[[#This Row],[Ivalley (A)]]*Fsw*10^3*40*10^-9+TI_MOSFET_S_VSD_L_BU*Table7[[#This Row],[Ipeak (A)]]*Fsw*10^3*30*10^-9, TI_MOSFET_S_VSD_H_BO*Table7[[#This Row],[Ivalley (A)]]*Fsw*10^3*40*10^-9+TI_MOSFET_S_VSD_H_BO*Table7[[#This Row],[Ipeak (A)]]*Fsw*10^3*30*10^-9)/10^-3</f>
        <v>127.51513043478266</v>
      </c>
      <c r="AY192" s="145" t="e">
        <f t="shared" si="34"/>
        <v>#VALUE!</v>
      </c>
      <c r="AZ192" s="145" t="e">
        <f>IF(VACnom&lt;Vbat, Table7[[#This Row],[Duty Cycle]]*Table7[[#This Row],[I_L RMS]]^2*TI_MOSFET_S_RDSON_H_BU*10^-3, (1-Table7[[#This Row],[Duty Cycle]])*Table7[[#This Row],[I_L RMS]]^2*TI_MOSFET_S_RDSON_H_BO*10^-3)/10^-3</f>
        <v>#VALUE!</v>
      </c>
      <c r="BA192" s="145" t="e">
        <f ca="1">IF(VACnom&gt;Vbat, Table7[[#This Row],[PIV (mW)]]+Table7[[#This Row],[Pqoss (mW)]]+Table7[[#This Row],[Pgate_top (mW)]], Table7[[#This Row],[PRR (mW)]]+Table7[[#This Row],[Pdead (mW)]]+Table7[[#This Row],[Pgate_top (mW)]])</f>
        <v>#VALUE!</v>
      </c>
      <c r="BB192" s="145" t="e">
        <f ca="1">Table7[[#This Row],[Pcon_top (mW)]]+Table7[[#This Row],[Psw_top (mW)]]</f>
        <v>#VALUE!</v>
      </c>
      <c r="BC192" s="145" t="e">
        <f>IF(VACnom&gt;Vbat, (1-Table7[[#This Row],[Duty Cycle]])*Table7[[#This Row],[I_L RMS]]^2*TI_MOSFET_S_RDSON_L_BU*10^-3, Table7[[#This Row],[Duty Cycle]]*Table7[[#This Row],[I_L RMS]]^2*TI_MOSFET_S_RDSON_L_BO*10^-3)/10^-3</f>
        <v>#VALUE!</v>
      </c>
      <c r="BD192" s="145" t="e">
        <f ca="1">IF(VACnom&gt;Vbat, Table7[[#This Row],[PRR (mW)]]+Table7[[#This Row],[Pdead (mW)]]+Table7[[#This Row],[Pgate_bottom (mW)]], Table7[[#This Row],[PIV (mW)]]+Table7[[#This Row],[Pqoss (mW)]]+Table7[[#This Row],[Pgate_bottom (mW)]])</f>
        <v>#VALUE!</v>
      </c>
      <c r="BE192" s="147" t="e">
        <f ca="1">Table7[[#This Row],[Pcon_bottom (mW)]]+Table7[[#This Row],[Psw_bottom (mW)]]</f>
        <v>#VALUE!</v>
      </c>
      <c r="BF192" s="145" t="e">
        <f ca="1">Table7[[#This Row],[Pbottom (mW)]]+Table7[[#This Row],[Ptop (mW)]]</f>
        <v>#VALUE!</v>
      </c>
      <c r="BG192" s="142"/>
      <c r="BH192" s="145">
        <f>MAX(0,Table7[[#This Row],[I_L]]-0.5*Table7[[#This Row],[I_L pkpk]])</f>
        <v>12.482608695652177</v>
      </c>
      <c r="BI192" s="145">
        <f>Table7[[#This Row],[I_L]]+0.5*Table7[[#This Row],[I_L pkpk]]</f>
        <v>12.873913043478263</v>
      </c>
      <c r="BJ192" s="145">
        <f>IF(VACnom&gt;Vbat, (VGS_S-(C_MOSFET_S_VTH_H_BU+Table7[[#This Row],[I_L]]/C_MOSFET_S_gFS_H_BU))/3.4, (VGS_S-(C_MOSFET_S_VTH_L_BO+Table7[[#This Row],[I_L]]/C_MOSFET_S_gFS_L_BO))/3.4 )</f>
        <v>2.9384425434341654</v>
      </c>
      <c r="BK192" s="145">
        <f>IF(VACnom&gt;Vbat, ((C_MOSFET_S_VTH_H_BU+Table7[[#This Row],[I_L]]/C_MOSFET_S_gFS_H_BU))/1, ((C_MOSFET_S_VTH_L_BO+Table7[[#This Row],[I_L]]/C_MOSFET_S_gFS_L_BO))/1 )</f>
        <v>2.0092953523238379</v>
      </c>
      <c r="BL192" s="145">
        <f>IF(VACnom&gt;Vbat, (C_MOSFET_S_QGD_H_BU+C_MOSFET_S_QGS_H_BU)*10^-9/Table7[[#This Row],[Ion (A) C]], (C_MOSFET_S_QGD_L_BO+C_MOSFET_S_QGS_L_BO)*10^-9/Table7[[#This Row],[Ion (A) C]])/10^-9</f>
        <v>5.2749032083796026</v>
      </c>
      <c r="BM192" s="145">
        <f>IF(VACnom&gt;Vbat, (C_MOSFET_S_QGD_H_BU+C_MOSFET_S_QGS_H_BU)*10^-9/Table7[[#This Row],[Ioff (A) C]], (C_MOSFET_S_QGD_L_BO+C_MOSFET_S_QGS_L_BO)*10^-9/Table7[[#This Row],[Ioff (A) C]])/10^-9</f>
        <v>7.7141471422175805</v>
      </c>
      <c r="BN192" s="145">
        <f xml:space="preserve"> 0.5*VACnom*Table7[[#This Row],[Ivalley (A) C]]*Table7[[#This Row],[ton (ns) C]]*10^-9*Fsw*10^3+0.5*VACnom*Table7[[#This Row],[Ipeak (A) C]]*Table7[[#This Row],[toff (ns) C]]*10^-9*Fsw*10^3/10^-3</f>
        <v>365.70774296348043</v>
      </c>
      <c r="BO192" s="145">
        <f t="shared" si="35"/>
        <v>305.44000000000011</v>
      </c>
      <c r="BP192" s="145">
        <f t="shared" si="36"/>
        <v>357.69600000000014</v>
      </c>
      <c r="BQ192" s="145">
        <f t="shared" si="37"/>
        <v>1067.2000000000003</v>
      </c>
      <c r="BR192" s="145">
        <f>IF(VACnom&gt;Vbat, C_MOSFET_S_VSD_L_BU*Table7[[#This Row],[Ivalley (A) C]]*Fsw*10^3*40*10^-9+C_MOSFET_S_VSD_L_BU*Table7[[#This Row],[Ipeak (A) C]]*Fsw*10^3*30*10^-9, C_MOSFET_S_VSD_H_BO*Table7[[#This Row],[Ivalley (A) C]]*Fsw*10^3*40*10^-9+C_MOSFET_S_VSD_H_BO*Table7[[#This Row],[Ipeak (A) C]]*Fsw*10^3*30*10^-9)/10^-3</f>
        <v>141.68347826086963</v>
      </c>
      <c r="BS192" s="145">
        <f t="shared" si="38"/>
        <v>357.69600000000014</v>
      </c>
      <c r="BT192" s="145">
        <f>IF(VACnom&lt;Vbat, Table7[[#This Row],[Duty Cycle]]*Table7[[#This Row],[I_L RMS]]^2*C_MOSFET_S_RDSON_H_BU*10^-3, (1-Table7[[#This Row],[Duty Cycle]])*Table7[[#This Row],[I_L RMS]]^2*C_MOSFET_S_RDSON_H_BO*10^-3)/10^-3</f>
        <v>9.0859293991944909</v>
      </c>
      <c r="BU192" s="145">
        <f>IF(VACnom&gt;Vbat, Table7[[#This Row],[PIV (mW) C]]+Table7[[#This Row],[PQoss (mW) C]]+Table7[[#This Row],[Pgate_top (mW) C]], Table7[[#This Row],[PRR (mW) C]]+Table7[[#This Row],[Pdead (mW) C]]+Table7[[#This Row],[Pgate_top (mW) C]])</f>
        <v>1028.8437429634807</v>
      </c>
      <c r="BV192" s="145">
        <f>Table7[[#This Row],[Pcon_top (mW) C]]+Table7[[#This Row],[Psw_top (mW) C]]</f>
        <v>1037.9296723626753</v>
      </c>
      <c r="BW192" s="145">
        <f>IF(VACnom&gt;Vbat, (1-Table7[[#This Row],[Duty Cycle]])*Table7[[#This Row],[I_L RMS]]^2*C_MOSFET_S_RDSON_L_BU*10^-3, Table7[[#This Row],[Duty Cycle]]*Table7[[#This Row],[I_L RMS]]^2*C_MOSFET_S_RDSON_L_BO*10^-3)/10^-3</f>
        <v>5.940799991781013</v>
      </c>
      <c r="BX192" s="145">
        <f>IF(VACnom&gt;Vbat, Table7[[#This Row],[PRR (mW) C]]+Table7[[#This Row],[Pdead (mW) C]]+Table7[[#This Row],[Pgate_bottom (mW) C]], Table7[[#This Row],[PIV (mW) C]]+Table7[[#This Row],[PQoss (mW) C]]+Table7[[#This Row],[Pgate_bottom (mW) C]])</f>
        <v>1566.57947826087</v>
      </c>
      <c r="BY192" s="145">
        <f>Table7[[#This Row],[Pcon_bottom (mW) C]]+Table7[[#This Row],[Psw_bottom (mV) C]]</f>
        <v>1572.520278252651</v>
      </c>
      <c r="BZ192" s="145">
        <f>Table7[[#This Row],[Pbottom (mW) C]]+Table7[[#This Row],[Ptop (mW) C]]</f>
        <v>2610.4499506153261</v>
      </c>
      <c r="CA192" s="148"/>
      <c r="CB192" s="144">
        <f>(RAC_SNS*10^-3*(Table7[[#This Row],[IOUT (A)]]*Vbat/VACnom)^2/10^-3)</f>
        <v>321.47659735349725</v>
      </c>
      <c r="CC192" s="144">
        <f>(RBAT_SNS*10^-3*Table7[[#This Row],[IOUT (A)]]^2)/10^-3</f>
        <v>839.80800000000022</v>
      </c>
      <c r="CD192" s="144">
        <f>IF(VACnom&gt;Vbat,(L_DRC*10^-3*(Table7[[#This Row],[IOUT (A)]])^2/10^-3),(L_DRC*10^-3*(Table7[[#This Row],[IOUT (A)]]*Vbat/VACnom)^2/10^-3))</f>
        <v>839.80800000000022</v>
      </c>
      <c r="CE192" s="152"/>
      <c r="CF192" s="145">
        <f>(Table7[[#This Row],[R_AC (mW)]]+Table7[[#This Row],[R_SR (mW)]]+Table7[[#This Row],[Inductor Loss (mW)]])/10^3</f>
        <v>2.0010925973534976</v>
      </c>
      <c r="CG192" s="145" t="e">
        <f ca="1">Table7[[#This Row],[Total TI (mW)]]/10^3</f>
        <v>#VALUE!</v>
      </c>
      <c r="CH192" s="145" t="e">
        <f ca="1">Table7[[#This Row],[Total Sense Loss]]+Table7[[#This Row],[Total MOSFET Loss]]</f>
        <v>#VALUE!</v>
      </c>
      <c r="CI192" s="149" t="e">
        <f ca="1">IF(Table7[[#This Row],[POUT (W)]]=0,0,(Table7[[#This Row],[POUT (W)]])/(Table7[[#This Row],[POUT (W)]]+Table7[[#This Row],[Total Power Loss (W)]]))*100</f>
        <v>#VALUE!</v>
      </c>
      <c r="CJ192" s="153"/>
      <c r="CK192" s="145">
        <f>(Table7[[#This Row],[R_AC (mW)]]+Table7[[#This Row],[R_SR (mW)]]+Table7[[#This Row],[Inductor Loss (mW)]])/10^3</f>
        <v>2.0010925973534976</v>
      </c>
      <c r="CL192" s="145">
        <f>Table7[[#This Row],[Total (mW) C]]/10^3</f>
        <v>2.610449950615326</v>
      </c>
      <c r="CM192" s="145">
        <f>Table7[[#This Row],[Total Sense Loss C]]+Table7[[#This Row],[Total MOSFET Loss C]]</f>
        <v>4.6115425479688241</v>
      </c>
      <c r="CN192" s="149">
        <f>IF(Table7[[#This Row],[POUT (W)]]=0,0,(Table7[[#This Row],[POUT (W)]])/(Table7[[#This Row],[POUT (W)]]+Table7[[#This Row],[Total Power Loss (W) C]]))*100</f>
        <v>99.042333569623835</v>
      </c>
      <c r="CO192" s="153"/>
      <c r="CP192" s="149">
        <f>IF(MOSFET_S=Custom_MOSFET,Table7[[#This Row],[Total Sense Loss C]],Table7[[#This Row],[Total Sense Loss]])</f>
        <v>2.0010925973534976</v>
      </c>
      <c r="CQ192" s="149">
        <f>IF(MOSFET_S=Custom_MOSFET,Table7[[#This Row],[Total MOSFET Loss C]],Table7[[#This Row],[Total MOSFET Loss]])</f>
        <v>2.610449950615326</v>
      </c>
      <c r="CR192" s="149">
        <f>IF(MOSFET_S=Custom_MOSFET,Table7[[#This Row],[Efficiency C]],Table7[[#This Row],[Efficiency]])</f>
        <v>99.042333569623835</v>
      </c>
      <c r="CS192" s="153"/>
      <c r="CT192" s="149">
        <f>IF(MOSFET_S=Compare_MOSFET, Table7[[#This Row],[Total Sense Loss C]], -100)</f>
        <v>-100</v>
      </c>
      <c r="CU192" s="149">
        <f>IF(MOSFET_S=Compare_MOSFET, Table7[[#This Row],[Total MOSFET Loss C]], -100)</f>
        <v>-100</v>
      </c>
      <c r="CV192" s="149">
        <f>IF(MOSFET_S=Compare_MOSFET, Table7[[#This Row],[Efficiency C]], -100)</f>
        <v>-100</v>
      </c>
      <c r="CW192" s="153"/>
      <c r="CX192" s="149">
        <f ca="1">IF(Save_Sel=CLR_Save,  Table7[[#This Row],[Total Sense Loss P1]], Table7[[#This Row],[Total Sense Loss P1 Saved]])</f>
        <v>2.0010925973534976</v>
      </c>
      <c r="CY192" s="149">
        <f ca="1">IF(Save_Sel=CLR_Save,  Table7[[#This Row],[Total MOSFET Loss P1]], Table7[[#This Row],[Total MOSFET Loss P1 Saved]] )</f>
        <v>2.610449950615326</v>
      </c>
      <c r="CZ192" s="149">
        <f ca="1">IF(Save_Sel=CLR_Save, Table7[[#This Row],[Efficiency P1]], Table7[[#This Row],[Efficiency P1 Saved]])</f>
        <v>99.042333569623835</v>
      </c>
      <c r="DA192" s="153"/>
      <c r="DB192" s="149">
        <f ca="1">IF(Save_Sel=CLR_Save,  Table7[[#This Row],[Total Sense Loss P2]], Table7[[#This Row],[Total Sense Loss P2 Saved]])</f>
        <v>-100</v>
      </c>
      <c r="DC192" s="149">
        <f ca="1">IF(Save_Sel=CLR_Save,  Table7[[#This Row],[Total MOSFET Loss P2]], Table7[[#This Row],[Total MOSFET Loss P2 Saved]] )</f>
        <v>-100</v>
      </c>
      <c r="DD192" s="149">
        <f ca="1">IF(Save_Sel=CLR_Save, Table7[[#This Row],[Efficiency P2]], Table7[[#This Row],[Efficiency P2 Saved]])</f>
        <v>-100</v>
      </c>
      <c r="DE192" s="153"/>
      <c r="DF192" s="19"/>
      <c r="DG192" s="19"/>
      <c r="DH192" s="19"/>
      <c r="DI192" s="19"/>
      <c r="DJ192" s="19"/>
      <c r="DK192" s="19"/>
      <c r="DL192" s="19"/>
      <c r="DM192" s="19"/>
      <c r="DN192" s="19"/>
      <c r="DO192" s="19"/>
      <c r="DP192" s="19"/>
      <c r="DQ192" s="19"/>
      <c r="DR192" s="19"/>
      <c r="DS192" s="19"/>
      <c r="DT192" s="19"/>
      <c r="DU192" s="19"/>
      <c r="DV192" s="19"/>
      <c r="DW192" s="19"/>
      <c r="DX192" s="19"/>
      <c r="DY192" s="19"/>
      <c r="DZ192" s="19"/>
      <c r="EA192" s="19"/>
      <c r="EB192" s="19"/>
      <c r="EC192" s="19"/>
      <c r="ED192" s="19"/>
      <c r="EE192" s="19"/>
      <c r="EF192" s="19"/>
      <c r="EG192" s="19"/>
      <c r="EH192" s="19"/>
      <c r="EI192" s="19"/>
      <c r="EJ192" s="19"/>
      <c r="EK192" s="19"/>
      <c r="EL192" s="19"/>
      <c r="EM192" s="19"/>
      <c r="EN192" s="19"/>
      <c r="EO192" s="19"/>
      <c r="EP192" s="19"/>
      <c r="EQ192" s="19"/>
      <c r="ER192" s="19"/>
      <c r="ES192" s="19"/>
      <c r="ET192" s="19"/>
      <c r="EU192" s="19"/>
      <c r="EV192" s="19"/>
      <c r="EW192" s="19"/>
      <c r="EX192" s="19"/>
      <c r="EY192" s="19"/>
      <c r="EZ192" s="19"/>
      <c r="FA192" s="19"/>
      <c r="FB192" s="19"/>
      <c r="FC192" s="19"/>
      <c r="FD192" s="19"/>
      <c r="FE192" s="19"/>
      <c r="FF192" s="19"/>
      <c r="FG192" s="19"/>
      <c r="FH192" s="19"/>
      <c r="FI192" s="19"/>
    </row>
    <row r="193" spans="1:165" x14ac:dyDescent="0.25">
      <c r="A193" s="32"/>
      <c r="B193" s="49"/>
      <c r="C193" s="49"/>
      <c r="D193" s="32"/>
      <c r="E193" s="66"/>
      <c r="F193" s="66"/>
      <c r="G193" s="49"/>
      <c r="H193" s="29"/>
      <c r="I193" s="29"/>
      <c r="J193" s="29"/>
      <c r="K193" s="29"/>
      <c r="L193" s="29"/>
      <c r="M193" s="29"/>
      <c r="N193" s="29"/>
      <c r="O193" s="29"/>
      <c r="P193" s="29"/>
      <c r="Q193" s="29"/>
      <c r="R193" s="29"/>
      <c r="S193" s="30"/>
      <c r="T193" s="18"/>
      <c r="U193" s="19"/>
      <c r="V193" s="19"/>
      <c r="W193" s="19"/>
      <c r="X193" s="19"/>
      <c r="Y193" s="19"/>
      <c r="Z193" s="19"/>
      <c r="AA193" s="19"/>
      <c r="AB193" s="19"/>
      <c r="AC193" s="19"/>
      <c r="AD193" s="19"/>
      <c r="AE193" s="19"/>
      <c r="AF193" s="143">
        <f t="shared" si="17"/>
        <v>37</v>
      </c>
      <c r="AG193" s="143">
        <f t="shared" si="39"/>
        <v>13.32</v>
      </c>
      <c r="AH193" s="144">
        <f t="shared" si="28"/>
        <v>490.17599999999999</v>
      </c>
      <c r="AI193" s="145">
        <f t="shared" si="29"/>
        <v>0.97826086956521752</v>
      </c>
      <c r="AJ193" s="145">
        <f t="shared" si="30"/>
        <v>13.030434782608697</v>
      </c>
      <c r="AK193" s="145">
        <f t="shared" si="26"/>
        <v>0.39130434782608459</v>
      </c>
      <c r="AL193" s="145">
        <f t="shared" si="27"/>
        <v>13.030924393465115</v>
      </c>
      <c r="AM193" s="146"/>
      <c r="AN193" s="145">
        <f>MAX(0,Table7[[#This Row],[I_L]]-0.5*Table7[[#This Row],[I_L pkpk]])</f>
        <v>12.834782608695654</v>
      </c>
      <c r="AO193" s="145">
        <f>Table7[[#This Row],[I_L]]+0.5*Table7[[#This Row],[I_L pkpk]]</f>
        <v>13.22608695652174</v>
      </c>
      <c r="AP193" s="145">
        <f ca="1">IF(VACnom&gt;Vbat, (VGS_S-(TI_MOSFET_S_VTH_H_BU+Table7[[#This Row],[I_L]]/TI_MOSFET_S_gFS_H_BU))/3.4, (VGS_S-(TI_MOSFET_S_VTH_L_BO+Table7[[#This Row],[I_L]]/TI_MOSFET_S_gFS_L_BO))/3.4 )</f>
        <v>2.9852252606728311</v>
      </c>
      <c r="AQ193" s="145">
        <f ca="1">IF(VACnom&gt;Vbat, ((TI_MOSFET_S_VTH_H_BU+Table7[[#This Row],[I_L]]/TI_MOSFET_S_gFS_H_BU))/1, ((TI_MOSFET_S_VTH_L_BO+Table7[[#This Row],[I_L]]/TI_MOSFET_S_gFS_L_BO))/1 )</f>
        <v>1.8502341137123746</v>
      </c>
      <c r="AR193" s="145">
        <f ca="1">IF(VACnom&gt;Vbat, (TI_MOSFET_S_QGD_H_BU+TI_MOSFET_S_QGS_H_BU)*10^-9/Table7[[#This Row],[Ion (A)]], (TI_MOSFET_S_QGD_L_BO+TI_MOSFET_S_QGS_L_BO)*10^-9/Table7[[#This Row],[Ion (A)]])/10^-9</f>
        <v>9.6475131640514302</v>
      </c>
      <c r="AS193" s="145">
        <f ca="1">IF(VACnom&gt;Vbat, (TI_MOSFET_S_QGD_H_BU+TI_MOSFET_S_QGS_H_BU)*10^-9/Table7[[#This Row],[Ioff (A)]], (TI_MOSFET_S_QGD_L_BO+TI_MOSFET_S_QGS_L_BO)*10^-9/Table7[[#This Row],[Ioff (A)]])/10^-9</f>
        <v>15.565597773037851</v>
      </c>
      <c r="AT193" s="145">
        <f ca="1" xml:space="preserve"> 0.5*VACnom*Table7[[#This Row],[Ivalley (A)]]*Table7[[#This Row],[ton (ns)]]*10^-9*Fsw*10^3+0.5*VACnom*Table7[[#This Row],[Ipeak (A)]]*Table7[[#This Row],[toff (ns)]]*10^-9*Fsw*10^3/10^-3</f>
        <v>758.06444615106307</v>
      </c>
      <c r="AU193" s="145">
        <f t="shared" ca="1" si="31"/>
        <v>268.64000000000004</v>
      </c>
      <c r="AV193" s="145" t="e">
        <f t="shared" si="32"/>
        <v>#VALUE!</v>
      </c>
      <c r="AW193" s="145">
        <f t="shared" ca="1" si="33"/>
        <v>566.72000000000025</v>
      </c>
      <c r="AX193" s="145">
        <f ca="1">IF(VACnom&gt;Vbat, TI_MOSFET_S_VSD_L_BU*Table7[[#This Row],[Ivalley (A)]]*Fsw*10^3*40*10^-9+TI_MOSFET_S_VSD_L_BU*Table7[[#This Row],[Ipeak (A)]]*Fsw*10^3*30*10^-9, TI_MOSFET_S_VSD_H_BO*Table7[[#This Row],[Ivalley (A)]]*Fsw*10^3*40*10^-9+TI_MOSFET_S_VSD_H_BO*Table7[[#This Row],[Ipeak (A)]]*Fsw*10^3*30*10^-9)/10^-3</f>
        <v>131.06504347826092</v>
      </c>
      <c r="AY193" s="145" t="e">
        <f t="shared" si="34"/>
        <v>#VALUE!</v>
      </c>
      <c r="AZ193" s="145" t="e">
        <f>IF(VACnom&lt;Vbat, Table7[[#This Row],[Duty Cycle]]*Table7[[#This Row],[I_L RMS]]^2*TI_MOSFET_S_RDSON_H_BU*10^-3, (1-Table7[[#This Row],[Duty Cycle]])*Table7[[#This Row],[I_L RMS]]^2*TI_MOSFET_S_RDSON_H_BO*10^-3)/10^-3</f>
        <v>#VALUE!</v>
      </c>
      <c r="BA193" s="145" t="e">
        <f ca="1">IF(VACnom&gt;Vbat, Table7[[#This Row],[PIV (mW)]]+Table7[[#This Row],[Pqoss (mW)]]+Table7[[#This Row],[Pgate_top (mW)]], Table7[[#This Row],[PRR (mW)]]+Table7[[#This Row],[Pdead (mW)]]+Table7[[#This Row],[Pgate_top (mW)]])</f>
        <v>#VALUE!</v>
      </c>
      <c r="BB193" s="145" t="e">
        <f ca="1">Table7[[#This Row],[Pcon_top (mW)]]+Table7[[#This Row],[Psw_top (mW)]]</f>
        <v>#VALUE!</v>
      </c>
      <c r="BC193" s="145" t="e">
        <f>IF(VACnom&gt;Vbat, (1-Table7[[#This Row],[Duty Cycle]])*Table7[[#This Row],[I_L RMS]]^2*TI_MOSFET_S_RDSON_L_BU*10^-3, Table7[[#This Row],[Duty Cycle]]*Table7[[#This Row],[I_L RMS]]^2*TI_MOSFET_S_RDSON_L_BO*10^-3)/10^-3</f>
        <v>#VALUE!</v>
      </c>
      <c r="BD193" s="145" t="e">
        <f ca="1">IF(VACnom&gt;Vbat, Table7[[#This Row],[PRR (mW)]]+Table7[[#This Row],[Pdead (mW)]]+Table7[[#This Row],[Pgate_bottom (mW)]], Table7[[#This Row],[PIV (mW)]]+Table7[[#This Row],[Pqoss (mW)]]+Table7[[#This Row],[Pgate_bottom (mW)]])</f>
        <v>#VALUE!</v>
      </c>
      <c r="BE193" s="147" t="e">
        <f ca="1">Table7[[#This Row],[Pcon_bottom (mW)]]+Table7[[#This Row],[Psw_bottom (mW)]]</f>
        <v>#VALUE!</v>
      </c>
      <c r="BF193" s="145" t="e">
        <f ca="1">Table7[[#This Row],[Pbottom (mW)]]+Table7[[#This Row],[Ptop (mW)]]</f>
        <v>#VALUE!</v>
      </c>
      <c r="BG193" s="142"/>
      <c r="BH193" s="145">
        <f>MAX(0,Table7[[#This Row],[I_L]]-0.5*Table7[[#This Row],[I_L pkpk]])</f>
        <v>12.834782608695654</v>
      </c>
      <c r="BI193" s="145">
        <f>Table7[[#This Row],[I_L]]+0.5*Table7[[#This Row],[I_L pkpk]]</f>
        <v>13.22608695652174</v>
      </c>
      <c r="BJ193" s="145">
        <f>IF(VACnom&gt;Vbat, (VGS_S-(C_MOSFET_S_VTH_H_BU+Table7[[#This Row],[I_L]]/C_MOSFET_S_gFS_H_BU))/3.4, (VGS_S-(C_MOSFET_S_VTH_L_BO+Table7[[#This Row],[I_L]]/C_MOSFET_S_gFS_L_BO))/3.4 )</f>
        <v>2.9375496075491667</v>
      </c>
      <c r="BK193" s="145">
        <f>IF(VACnom&gt;Vbat, ((C_MOSFET_S_VTH_H_BU+Table7[[#This Row],[I_L]]/C_MOSFET_S_gFS_H_BU))/1, ((C_MOSFET_S_VTH_L_BO+Table7[[#This Row],[I_L]]/C_MOSFET_S_gFS_L_BO))/1 )</f>
        <v>2.0123313343328335</v>
      </c>
      <c r="BL193" s="145">
        <f>IF(VACnom&gt;Vbat, (C_MOSFET_S_QGD_H_BU+C_MOSFET_S_QGS_H_BU)*10^-9/Table7[[#This Row],[Ion (A) C]], (C_MOSFET_S_QGD_L_BO+C_MOSFET_S_QGS_L_BO)*10^-9/Table7[[#This Row],[Ion (A) C]])/10^-9</f>
        <v>5.2765066367447107</v>
      </c>
      <c r="BM193" s="145">
        <f>IF(VACnom&gt;Vbat, (C_MOSFET_S_QGD_H_BU+C_MOSFET_S_QGS_H_BU)*10^-9/Table7[[#This Row],[Ioff (A) C]], (C_MOSFET_S_QGD_L_BO+C_MOSFET_S_QGS_L_BO)*10^-9/Table7[[#This Row],[Ioff (A) C]])/10^-9</f>
        <v>7.7025088938143744</v>
      </c>
      <c r="BN193" s="145">
        <f xml:space="preserve"> 0.5*VACnom*Table7[[#This Row],[Ivalley (A) C]]*Table7[[#This Row],[ton (ns) C]]*10^-9*Fsw*10^3+0.5*VACnom*Table7[[#This Row],[Ipeak (A) C]]*Table7[[#This Row],[toff (ns) C]]*10^-9*Fsw*10^3/10^-3</f>
        <v>375.14573284120007</v>
      </c>
      <c r="BO193" s="145">
        <f t="shared" si="35"/>
        <v>305.44000000000011</v>
      </c>
      <c r="BP193" s="145">
        <f t="shared" si="36"/>
        <v>357.69600000000014</v>
      </c>
      <c r="BQ193" s="145">
        <f t="shared" si="37"/>
        <v>1067.2000000000003</v>
      </c>
      <c r="BR193" s="145">
        <f>IF(VACnom&gt;Vbat, C_MOSFET_S_VSD_L_BU*Table7[[#This Row],[Ivalley (A) C]]*Fsw*10^3*40*10^-9+C_MOSFET_S_VSD_L_BU*Table7[[#This Row],[Ipeak (A) C]]*Fsw*10^3*30*10^-9, C_MOSFET_S_VSD_H_BO*Table7[[#This Row],[Ivalley (A) C]]*Fsw*10^3*40*10^-9+C_MOSFET_S_VSD_H_BO*Table7[[#This Row],[Ipeak (A) C]]*Fsw*10^3*30*10^-9)/10^-3</f>
        <v>145.62782608695659</v>
      </c>
      <c r="BS193" s="145">
        <f t="shared" si="38"/>
        <v>357.69600000000014</v>
      </c>
      <c r="BT193" s="145">
        <f>IF(VACnom&lt;Vbat, Table7[[#This Row],[Duty Cycle]]*Table7[[#This Row],[I_L RMS]]^2*C_MOSFET_S_RDSON_H_BU*10^-3, (1-Table7[[#This Row],[Duty Cycle]])*Table7[[#This Row],[I_L RMS]]^2*C_MOSFET_S_RDSON_H_BO*10^-3)/10^-3</f>
        <v>9.5976733788114856</v>
      </c>
      <c r="BU193" s="145">
        <f>IF(VACnom&gt;Vbat, Table7[[#This Row],[PIV (mW) C]]+Table7[[#This Row],[PQoss (mW) C]]+Table7[[#This Row],[Pgate_top (mW) C]], Table7[[#This Row],[PRR (mW) C]]+Table7[[#This Row],[Pdead (mW) C]]+Table7[[#This Row],[Pgate_top (mW) C]])</f>
        <v>1038.2817328412002</v>
      </c>
      <c r="BV193" s="145">
        <f>Table7[[#This Row],[Pcon_top (mW) C]]+Table7[[#This Row],[Psw_top (mW) C]]</f>
        <v>1047.8794062200118</v>
      </c>
      <c r="BW193" s="145">
        <f>IF(VACnom&gt;Vbat, (1-Table7[[#This Row],[Duty Cycle]])*Table7[[#This Row],[I_L RMS]]^2*C_MOSFET_S_RDSON_L_BU*10^-3, Table7[[#This Row],[Duty Cycle]]*Table7[[#This Row],[I_L RMS]]^2*C_MOSFET_S_RDSON_L_BO*10^-3)/10^-3</f>
        <v>6.2754018246075098</v>
      </c>
      <c r="BX193" s="145">
        <f>IF(VACnom&gt;Vbat, Table7[[#This Row],[PRR (mW) C]]+Table7[[#This Row],[Pdead (mW) C]]+Table7[[#This Row],[Pgate_bottom (mW) C]], Table7[[#This Row],[PIV (mW) C]]+Table7[[#This Row],[PQoss (mW) C]]+Table7[[#This Row],[Pgate_bottom (mW) C]])</f>
        <v>1570.5238260869571</v>
      </c>
      <c r="BY193" s="145">
        <f>Table7[[#This Row],[Pcon_bottom (mW) C]]+Table7[[#This Row],[Psw_bottom (mV) C]]</f>
        <v>1576.7992279115647</v>
      </c>
      <c r="BZ193" s="145">
        <f>Table7[[#This Row],[Pbottom (mW) C]]+Table7[[#This Row],[Ptop (mW) C]]</f>
        <v>2624.6786341315765</v>
      </c>
      <c r="CA193" s="148"/>
      <c r="CB193" s="144">
        <f>(RAC_SNS*10^-3*(Table7[[#This Row],[IOUT (A)]]*Vbat/VACnom)^2/10^-3)</f>
        <v>339.58446124763708</v>
      </c>
      <c r="CC193" s="144">
        <f>(RBAT_SNS*10^-3*Table7[[#This Row],[IOUT (A)]]^2)/10^-3</f>
        <v>887.11200000000008</v>
      </c>
      <c r="CD193" s="144">
        <f>IF(VACnom&gt;Vbat,(L_DRC*10^-3*(Table7[[#This Row],[IOUT (A)]])^2/10^-3),(L_DRC*10^-3*(Table7[[#This Row],[IOUT (A)]]*Vbat/VACnom)^2/10^-3))</f>
        <v>887.11200000000008</v>
      </c>
      <c r="CE193" s="152"/>
      <c r="CF193" s="145">
        <f>(Table7[[#This Row],[R_AC (mW)]]+Table7[[#This Row],[R_SR (mW)]]+Table7[[#This Row],[Inductor Loss (mW)]])/10^3</f>
        <v>2.1138084612476371</v>
      </c>
      <c r="CG193" s="145" t="e">
        <f ca="1">Table7[[#This Row],[Total TI (mW)]]/10^3</f>
        <v>#VALUE!</v>
      </c>
      <c r="CH193" s="145" t="e">
        <f ca="1">Table7[[#This Row],[Total Sense Loss]]+Table7[[#This Row],[Total MOSFET Loss]]</f>
        <v>#VALUE!</v>
      </c>
      <c r="CI193" s="149" t="e">
        <f ca="1">IF(Table7[[#This Row],[POUT (W)]]=0,0,(Table7[[#This Row],[POUT (W)]])/(Table7[[#This Row],[POUT (W)]]+Table7[[#This Row],[Total Power Loss (W)]]))*100</f>
        <v>#VALUE!</v>
      </c>
      <c r="CJ193" s="153"/>
      <c r="CK193" s="145">
        <f>(Table7[[#This Row],[R_AC (mW)]]+Table7[[#This Row],[R_SR (mW)]]+Table7[[#This Row],[Inductor Loss (mW)]])/10^3</f>
        <v>2.1138084612476371</v>
      </c>
      <c r="CL193" s="145">
        <f>Table7[[#This Row],[Total (mW) C]]/10^3</f>
        <v>2.6246786341315764</v>
      </c>
      <c r="CM193" s="145">
        <f>Table7[[#This Row],[Total Sense Loss C]]+Table7[[#This Row],[Total MOSFET Loss C]]</f>
        <v>4.7384870953792131</v>
      </c>
      <c r="CN193" s="149">
        <f>IF(Table7[[#This Row],[POUT (W)]]=0,0,(Table7[[#This Row],[POUT (W)]])/(Table7[[#This Row],[POUT (W)]]+Table7[[#This Row],[Total Power Loss (W) C]]))*100</f>
        <v>99.042564479534818</v>
      </c>
      <c r="CO193" s="153"/>
      <c r="CP193" s="149">
        <f>IF(MOSFET_S=Custom_MOSFET,Table7[[#This Row],[Total Sense Loss C]],Table7[[#This Row],[Total Sense Loss]])</f>
        <v>2.1138084612476371</v>
      </c>
      <c r="CQ193" s="149">
        <f>IF(MOSFET_S=Custom_MOSFET,Table7[[#This Row],[Total MOSFET Loss C]],Table7[[#This Row],[Total MOSFET Loss]])</f>
        <v>2.6246786341315764</v>
      </c>
      <c r="CR193" s="149">
        <f>IF(MOSFET_S=Custom_MOSFET,Table7[[#This Row],[Efficiency C]],Table7[[#This Row],[Efficiency]])</f>
        <v>99.042564479534818</v>
      </c>
      <c r="CS193" s="153"/>
      <c r="CT193" s="149">
        <f>IF(MOSFET_S=Compare_MOSFET, Table7[[#This Row],[Total Sense Loss C]], -100)</f>
        <v>-100</v>
      </c>
      <c r="CU193" s="149">
        <f>IF(MOSFET_S=Compare_MOSFET, Table7[[#This Row],[Total MOSFET Loss C]], -100)</f>
        <v>-100</v>
      </c>
      <c r="CV193" s="149">
        <f>IF(MOSFET_S=Compare_MOSFET, Table7[[#This Row],[Efficiency C]], -100)</f>
        <v>-100</v>
      </c>
      <c r="CW193" s="153"/>
      <c r="CX193" s="149">
        <f ca="1">IF(Save_Sel=CLR_Save,  Table7[[#This Row],[Total Sense Loss P1]], Table7[[#This Row],[Total Sense Loss P1 Saved]])</f>
        <v>2.1138084612476371</v>
      </c>
      <c r="CY193" s="149">
        <f ca="1">IF(Save_Sel=CLR_Save,  Table7[[#This Row],[Total MOSFET Loss P1]], Table7[[#This Row],[Total MOSFET Loss P1 Saved]] )</f>
        <v>2.6246786341315764</v>
      </c>
      <c r="CZ193" s="149">
        <f ca="1">IF(Save_Sel=CLR_Save, Table7[[#This Row],[Efficiency P1]], Table7[[#This Row],[Efficiency P1 Saved]])</f>
        <v>99.042564479534818</v>
      </c>
      <c r="DA193" s="153"/>
      <c r="DB193" s="149">
        <f ca="1">IF(Save_Sel=CLR_Save,  Table7[[#This Row],[Total Sense Loss P2]], Table7[[#This Row],[Total Sense Loss P2 Saved]])</f>
        <v>-100</v>
      </c>
      <c r="DC193" s="149">
        <f ca="1">IF(Save_Sel=CLR_Save,  Table7[[#This Row],[Total MOSFET Loss P2]], Table7[[#This Row],[Total MOSFET Loss P2 Saved]] )</f>
        <v>-100</v>
      </c>
      <c r="DD193" s="149">
        <f ca="1">IF(Save_Sel=CLR_Save, Table7[[#This Row],[Efficiency P2]], Table7[[#This Row],[Efficiency P2 Saved]])</f>
        <v>-100</v>
      </c>
      <c r="DE193" s="153"/>
      <c r="DF193" s="19"/>
      <c r="DG193" s="19"/>
      <c r="DH193" s="19"/>
      <c r="DI193" s="19"/>
      <c r="DJ193" s="19"/>
      <c r="DK193" s="19"/>
      <c r="DL193" s="19"/>
      <c r="DM193" s="19"/>
      <c r="DN193" s="19"/>
      <c r="DO193" s="19"/>
      <c r="DP193" s="19"/>
      <c r="DQ193" s="19"/>
      <c r="DR193" s="19"/>
      <c r="DS193" s="19"/>
      <c r="DT193" s="19"/>
      <c r="DU193" s="19"/>
      <c r="DV193" s="19"/>
      <c r="DW193" s="19"/>
      <c r="DX193" s="19"/>
      <c r="DY193" s="19"/>
      <c r="DZ193" s="19"/>
      <c r="EA193" s="19"/>
      <c r="EB193" s="19"/>
      <c r="EC193" s="19"/>
      <c r="ED193" s="19"/>
      <c r="EE193" s="19"/>
      <c r="EF193" s="19"/>
      <c r="EG193" s="19"/>
      <c r="EH193" s="19"/>
      <c r="EI193" s="19"/>
      <c r="EJ193" s="19"/>
      <c r="EK193" s="19"/>
      <c r="EL193" s="19"/>
      <c r="EM193" s="19"/>
      <c r="EN193" s="19"/>
      <c r="EO193" s="19"/>
      <c r="EP193" s="19"/>
      <c r="EQ193" s="19"/>
      <c r="ER193" s="19"/>
      <c r="ES193" s="19"/>
      <c r="ET193" s="19"/>
      <c r="EU193" s="19"/>
      <c r="EV193" s="19"/>
      <c r="EW193" s="19"/>
      <c r="EX193" s="19"/>
      <c r="EY193" s="19"/>
      <c r="EZ193" s="19"/>
      <c r="FA193" s="19"/>
      <c r="FB193" s="19"/>
      <c r="FC193" s="19"/>
      <c r="FD193" s="19"/>
      <c r="FE193" s="19"/>
      <c r="FF193" s="19"/>
      <c r="FG193" s="19"/>
      <c r="FH193" s="19"/>
      <c r="FI193" s="19"/>
    </row>
    <row r="194" spans="1:165" x14ac:dyDescent="0.25">
      <c r="A194" s="32"/>
      <c r="B194" s="49"/>
      <c r="C194" s="49"/>
      <c r="D194" s="32"/>
      <c r="E194" s="66"/>
      <c r="F194" s="66"/>
      <c r="G194" s="49"/>
      <c r="H194" s="29"/>
      <c r="I194" s="29"/>
      <c r="J194" s="29"/>
      <c r="K194" s="29"/>
      <c r="L194" s="29"/>
      <c r="M194" s="29"/>
      <c r="N194" s="29"/>
      <c r="O194" s="29"/>
      <c r="P194" s="29"/>
      <c r="Q194" s="29"/>
      <c r="R194" s="29"/>
      <c r="S194" s="30"/>
      <c r="T194" s="18"/>
      <c r="U194" s="19"/>
      <c r="V194" s="19"/>
      <c r="W194" s="19"/>
      <c r="X194" s="19"/>
      <c r="Y194" s="19"/>
      <c r="Z194" s="19"/>
      <c r="AA194" s="19"/>
      <c r="AB194" s="19"/>
      <c r="AC194" s="19"/>
      <c r="AD194" s="19"/>
      <c r="AE194" s="19"/>
      <c r="AF194" s="143">
        <f t="shared" si="17"/>
        <v>38</v>
      </c>
      <c r="AG194" s="143">
        <f t="shared" si="39"/>
        <v>13.68</v>
      </c>
      <c r="AH194" s="144">
        <f t="shared" si="28"/>
        <v>503.42399999999998</v>
      </c>
      <c r="AI194" s="145">
        <f t="shared" si="29"/>
        <v>0.97826086956521752</v>
      </c>
      <c r="AJ194" s="145">
        <f t="shared" si="30"/>
        <v>13.382608695652175</v>
      </c>
      <c r="AK194" s="145">
        <f t="shared" si="26"/>
        <v>0.39130434782608459</v>
      </c>
      <c r="AL194" s="145">
        <f t="shared" si="27"/>
        <v>13.38308542247754</v>
      </c>
      <c r="AM194" s="146"/>
      <c r="AN194" s="145">
        <f>MAX(0,Table7[[#This Row],[I_L]]-0.5*Table7[[#This Row],[I_L pkpk]])</f>
        <v>13.186956521739132</v>
      </c>
      <c r="AO194" s="145">
        <f>Table7[[#This Row],[I_L]]+0.5*Table7[[#This Row],[I_L pkpk]]</f>
        <v>13.578260869565218</v>
      </c>
      <c r="AP194" s="145">
        <f ca="1">IF(VACnom&gt;Vbat, (VGS_S-(TI_MOSFET_S_VTH_H_BU+Table7[[#This Row],[I_L]]/TI_MOSFET_S_gFS_H_BU))/3.4, (VGS_S-(TI_MOSFET_S_VTH_L_BO+Table7[[#This Row],[I_L]]/TI_MOSFET_S_gFS_L_BO))/3.4 )</f>
        <v>2.9844284871139091</v>
      </c>
      <c r="AQ194" s="145">
        <f ca="1">IF(VACnom&gt;Vbat, ((TI_MOSFET_S_VTH_H_BU+Table7[[#This Row],[I_L]]/TI_MOSFET_S_gFS_H_BU))/1, ((TI_MOSFET_S_VTH_L_BO+Table7[[#This Row],[I_L]]/TI_MOSFET_S_gFS_L_BO))/1 )</f>
        <v>1.8529431438127091</v>
      </c>
      <c r="AR194" s="145">
        <f ca="1">IF(VACnom&gt;Vbat, (TI_MOSFET_S_QGD_H_BU+TI_MOSFET_S_QGS_H_BU)*10^-9/Table7[[#This Row],[Ion (A)]], (TI_MOSFET_S_QGD_L_BO+TI_MOSFET_S_QGS_L_BO)*10^-9/Table7[[#This Row],[Ion (A)]])/10^-9</f>
        <v>9.6500888275098298</v>
      </c>
      <c r="AS194" s="145">
        <f ca="1">IF(VACnom&gt;Vbat, (TI_MOSFET_S_QGD_H_BU+TI_MOSFET_S_QGS_H_BU)*10^-9/Table7[[#This Row],[Ioff (A)]], (TI_MOSFET_S_QGD_L_BO+TI_MOSFET_S_QGS_L_BO)*10^-9/Table7[[#This Row],[Ioff (A)]])/10^-9</f>
        <v>15.542840640398536</v>
      </c>
      <c r="AT194" s="145">
        <f ca="1" xml:space="preserve"> 0.5*VACnom*Table7[[#This Row],[Ivalley (A)]]*Table7[[#This Row],[ton (ns)]]*10^-9*Fsw*10^3+0.5*VACnom*Table7[[#This Row],[Ipeak (A)]]*Table7[[#This Row],[toff (ns)]]*10^-9*Fsw*10^3/10^-3</f>
        <v>777.11296063005568</v>
      </c>
      <c r="AU194" s="145">
        <f t="shared" ca="1" si="31"/>
        <v>268.64000000000004</v>
      </c>
      <c r="AV194" s="145" t="e">
        <f t="shared" si="32"/>
        <v>#VALUE!</v>
      </c>
      <c r="AW194" s="145">
        <f t="shared" ca="1" si="33"/>
        <v>566.72000000000025</v>
      </c>
      <c r="AX194" s="145">
        <f ca="1">IF(VACnom&gt;Vbat, TI_MOSFET_S_VSD_L_BU*Table7[[#This Row],[Ivalley (A)]]*Fsw*10^3*40*10^-9+TI_MOSFET_S_VSD_L_BU*Table7[[#This Row],[Ipeak (A)]]*Fsw*10^3*30*10^-9, TI_MOSFET_S_VSD_H_BO*Table7[[#This Row],[Ivalley (A)]]*Fsw*10^3*40*10^-9+TI_MOSFET_S_VSD_H_BO*Table7[[#This Row],[Ipeak (A)]]*Fsw*10^3*30*10^-9)/10^-3</f>
        <v>134.61495652173917</v>
      </c>
      <c r="AY194" s="145" t="e">
        <f t="shared" si="34"/>
        <v>#VALUE!</v>
      </c>
      <c r="AZ194" s="145" t="e">
        <f>IF(VACnom&lt;Vbat, Table7[[#This Row],[Duty Cycle]]*Table7[[#This Row],[I_L RMS]]^2*TI_MOSFET_S_RDSON_H_BU*10^-3, (1-Table7[[#This Row],[Duty Cycle]])*Table7[[#This Row],[I_L RMS]]^2*TI_MOSFET_S_RDSON_H_BO*10^-3)/10^-3</f>
        <v>#VALUE!</v>
      </c>
      <c r="BA194" s="145" t="e">
        <f ca="1">IF(VACnom&gt;Vbat, Table7[[#This Row],[PIV (mW)]]+Table7[[#This Row],[Pqoss (mW)]]+Table7[[#This Row],[Pgate_top (mW)]], Table7[[#This Row],[PRR (mW)]]+Table7[[#This Row],[Pdead (mW)]]+Table7[[#This Row],[Pgate_top (mW)]])</f>
        <v>#VALUE!</v>
      </c>
      <c r="BB194" s="145" t="e">
        <f ca="1">Table7[[#This Row],[Pcon_top (mW)]]+Table7[[#This Row],[Psw_top (mW)]]</f>
        <v>#VALUE!</v>
      </c>
      <c r="BC194" s="145" t="e">
        <f>IF(VACnom&gt;Vbat, (1-Table7[[#This Row],[Duty Cycle]])*Table7[[#This Row],[I_L RMS]]^2*TI_MOSFET_S_RDSON_L_BU*10^-3, Table7[[#This Row],[Duty Cycle]]*Table7[[#This Row],[I_L RMS]]^2*TI_MOSFET_S_RDSON_L_BO*10^-3)/10^-3</f>
        <v>#VALUE!</v>
      </c>
      <c r="BD194" s="145" t="e">
        <f ca="1">IF(VACnom&gt;Vbat, Table7[[#This Row],[PRR (mW)]]+Table7[[#This Row],[Pdead (mW)]]+Table7[[#This Row],[Pgate_bottom (mW)]], Table7[[#This Row],[PIV (mW)]]+Table7[[#This Row],[Pqoss (mW)]]+Table7[[#This Row],[Pgate_bottom (mW)]])</f>
        <v>#VALUE!</v>
      </c>
      <c r="BE194" s="147" t="e">
        <f ca="1">Table7[[#This Row],[Pcon_bottom (mW)]]+Table7[[#This Row],[Psw_bottom (mW)]]</f>
        <v>#VALUE!</v>
      </c>
      <c r="BF194" s="145" t="e">
        <f ca="1">Table7[[#This Row],[Pbottom (mW)]]+Table7[[#This Row],[Ptop (mW)]]</f>
        <v>#VALUE!</v>
      </c>
      <c r="BG194" s="142"/>
      <c r="BH194" s="145">
        <f>MAX(0,Table7[[#This Row],[I_L]]-0.5*Table7[[#This Row],[I_L pkpk]])</f>
        <v>13.186956521739132</v>
      </c>
      <c r="BI194" s="145">
        <f>Table7[[#This Row],[I_L]]+0.5*Table7[[#This Row],[I_L pkpk]]</f>
        <v>13.578260869565218</v>
      </c>
      <c r="BJ194" s="145">
        <f>IF(VACnom&gt;Vbat, (VGS_S-(C_MOSFET_S_VTH_H_BU+Table7[[#This Row],[I_L]]/C_MOSFET_S_gFS_H_BU))/3.4, (VGS_S-(C_MOSFET_S_VTH_L_BO+Table7[[#This Row],[I_L]]/C_MOSFET_S_gFS_L_BO))/3.4 )</f>
        <v>2.936656671664168</v>
      </c>
      <c r="BK194" s="145">
        <f>IF(VACnom&gt;Vbat, ((C_MOSFET_S_VTH_H_BU+Table7[[#This Row],[I_L]]/C_MOSFET_S_gFS_H_BU))/1, ((C_MOSFET_S_VTH_L_BO+Table7[[#This Row],[I_L]]/C_MOSFET_S_gFS_L_BO))/1 )</f>
        <v>2.0153673163418291</v>
      </c>
      <c r="BL194" s="145">
        <f>IF(VACnom&gt;Vbat, (C_MOSFET_S_QGD_H_BU+C_MOSFET_S_QGS_H_BU)*10^-9/Table7[[#This Row],[Ion (A) C]], (C_MOSFET_S_QGD_L_BO+C_MOSFET_S_QGS_L_BO)*10^-9/Table7[[#This Row],[Ion (A) C]])/10^-9</f>
        <v>5.2781110402042115</v>
      </c>
      <c r="BM194" s="145">
        <f>IF(VACnom&gt;Vbat, (C_MOSFET_S_QGD_H_BU+C_MOSFET_S_QGS_H_BU)*10^-9/Table7[[#This Row],[Ioff (A) C]], (C_MOSFET_S_QGD_L_BO+C_MOSFET_S_QGS_L_BO)*10^-9/Table7[[#This Row],[Ioff (A) C]])/10^-9</f>
        <v>7.6909057095034399</v>
      </c>
      <c r="BN194" s="145">
        <f xml:space="preserve"> 0.5*VACnom*Table7[[#This Row],[Ivalley (A) C]]*Table7[[#This Row],[ton (ns) C]]*10^-9*Fsw*10^3+0.5*VACnom*Table7[[#This Row],[Ipeak (A) C]]*Table7[[#This Row],[toff (ns) C]]*10^-9*Fsw*10^3/10^-3</f>
        <v>384.55531266502703</v>
      </c>
      <c r="BO194" s="145">
        <f t="shared" si="35"/>
        <v>305.44000000000011</v>
      </c>
      <c r="BP194" s="145">
        <f t="shared" si="36"/>
        <v>357.69600000000014</v>
      </c>
      <c r="BQ194" s="145">
        <f t="shared" si="37"/>
        <v>1067.2000000000003</v>
      </c>
      <c r="BR194" s="145">
        <f>IF(VACnom&gt;Vbat, C_MOSFET_S_VSD_L_BU*Table7[[#This Row],[Ivalley (A) C]]*Fsw*10^3*40*10^-9+C_MOSFET_S_VSD_L_BU*Table7[[#This Row],[Ipeak (A) C]]*Fsw*10^3*30*10^-9, C_MOSFET_S_VSD_H_BO*Table7[[#This Row],[Ivalley (A) C]]*Fsw*10^3*40*10^-9+C_MOSFET_S_VSD_H_BO*Table7[[#This Row],[Ipeak (A) C]]*Fsw*10^3*30*10^-9)/10^-3</f>
        <v>149.57217391304357</v>
      </c>
      <c r="BS194" s="145">
        <f t="shared" si="38"/>
        <v>357.69600000000014</v>
      </c>
      <c r="BT194" s="145">
        <f>IF(VACnom&lt;Vbat, Table7[[#This Row],[Duty Cycle]]*Table7[[#This Row],[I_L RMS]]^2*C_MOSFET_S_RDSON_H_BU*10^-3, (1-Table7[[#This Row],[Duty Cycle]])*Table7[[#This Row],[I_L RMS]]^2*C_MOSFET_S_RDSON_H_BO*10^-3)/10^-3</f>
        <v>10.123437741431687</v>
      </c>
      <c r="BU194" s="145">
        <f>IF(VACnom&gt;Vbat, Table7[[#This Row],[PIV (mW) C]]+Table7[[#This Row],[PQoss (mW) C]]+Table7[[#This Row],[Pgate_top (mW) C]], Table7[[#This Row],[PRR (mW) C]]+Table7[[#This Row],[Pdead (mW) C]]+Table7[[#This Row],[Pgate_top (mW) C]])</f>
        <v>1047.6913126650272</v>
      </c>
      <c r="BV194" s="145">
        <f>Table7[[#This Row],[Pcon_top (mW) C]]+Table7[[#This Row],[Psw_top (mW) C]]</f>
        <v>1057.8147504064589</v>
      </c>
      <c r="BW194" s="145">
        <f>IF(VACnom&gt;Vbat, (1-Table7[[#This Row],[Duty Cycle]])*Table7[[#This Row],[I_L RMS]]^2*C_MOSFET_S_RDSON_L_BU*10^-3, Table7[[#This Row],[Duty Cycle]]*Table7[[#This Row],[I_L RMS]]^2*C_MOSFET_S_RDSON_L_BO*10^-3)/10^-3</f>
        <v>6.6191708309361026</v>
      </c>
      <c r="BX194" s="145">
        <f>IF(VACnom&gt;Vbat, Table7[[#This Row],[PRR (mW) C]]+Table7[[#This Row],[Pdead (mW) C]]+Table7[[#This Row],[Pgate_bottom (mW) C]], Table7[[#This Row],[PIV (mW) C]]+Table7[[#This Row],[PQoss (mW) C]]+Table7[[#This Row],[Pgate_bottom (mW) C]])</f>
        <v>1574.468173913044</v>
      </c>
      <c r="BY194" s="145">
        <f>Table7[[#This Row],[Pcon_bottom (mW) C]]+Table7[[#This Row],[Psw_bottom (mV) C]]</f>
        <v>1581.0873447439801</v>
      </c>
      <c r="BZ194" s="145">
        <f>Table7[[#This Row],[Pbottom (mW) C]]+Table7[[#This Row],[Ptop (mW) C]]</f>
        <v>2638.902095150439</v>
      </c>
      <c r="CA194" s="148"/>
      <c r="CB194" s="144">
        <f>(RAC_SNS*10^-3*(Table7[[#This Row],[IOUT (A)]]*Vbat/VACnom)^2/10^-3)</f>
        <v>358.18843100189042</v>
      </c>
      <c r="CC194" s="144">
        <f>(RBAT_SNS*10^-3*Table7[[#This Row],[IOUT (A)]]^2)/10^-3</f>
        <v>935.71199999999988</v>
      </c>
      <c r="CD194" s="144">
        <f>IF(VACnom&gt;Vbat,(L_DRC*10^-3*(Table7[[#This Row],[IOUT (A)]])^2/10^-3),(L_DRC*10^-3*(Table7[[#This Row],[IOUT (A)]]*Vbat/VACnom)^2/10^-3))</f>
        <v>935.71199999999988</v>
      </c>
      <c r="CE194" s="152"/>
      <c r="CF194" s="145">
        <f>(Table7[[#This Row],[R_AC (mW)]]+Table7[[#This Row],[R_SR (mW)]]+Table7[[#This Row],[Inductor Loss (mW)]])/10^3</f>
        <v>2.2296124310018905</v>
      </c>
      <c r="CG194" s="145" t="e">
        <f ca="1">Table7[[#This Row],[Total TI (mW)]]/10^3</f>
        <v>#VALUE!</v>
      </c>
      <c r="CH194" s="145" t="e">
        <f ca="1">Table7[[#This Row],[Total Sense Loss]]+Table7[[#This Row],[Total MOSFET Loss]]</f>
        <v>#VALUE!</v>
      </c>
      <c r="CI194" s="149" t="e">
        <f ca="1">IF(Table7[[#This Row],[POUT (W)]]=0,0,(Table7[[#This Row],[POUT (W)]])/(Table7[[#This Row],[POUT (W)]]+Table7[[#This Row],[Total Power Loss (W)]]))*100</f>
        <v>#VALUE!</v>
      </c>
      <c r="CJ194" s="153"/>
      <c r="CK194" s="145">
        <f>(Table7[[#This Row],[R_AC (mW)]]+Table7[[#This Row],[R_SR (mW)]]+Table7[[#This Row],[Inductor Loss (mW)]])/10^3</f>
        <v>2.2296124310018905</v>
      </c>
      <c r="CL194" s="145">
        <f>Table7[[#This Row],[Total (mW) C]]/10^3</f>
        <v>2.6389020951504389</v>
      </c>
      <c r="CM194" s="145">
        <f>Table7[[#This Row],[Total Sense Loss C]]+Table7[[#This Row],[Total MOSFET Loss C]]</f>
        <v>4.8685145261523299</v>
      </c>
      <c r="CN194" s="149">
        <f>IF(Table7[[#This Row],[POUT (W)]]=0,0,(Table7[[#This Row],[POUT (W)]])/(Table7[[#This Row],[POUT (W)]]+Table7[[#This Row],[Total Power Loss (W) C]]))*100</f>
        <v>99.042182525412372</v>
      </c>
      <c r="CO194" s="153"/>
      <c r="CP194" s="149">
        <f>IF(MOSFET_S=Custom_MOSFET,Table7[[#This Row],[Total Sense Loss C]],Table7[[#This Row],[Total Sense Loss]])</f>
        <v>2.2296124310018905</v>
      </c>
      <c r="CQ194" s="149">
        <f>IF(MOSFET_S=Custom_MOSFET,Table7[[#This Row],[Total MOSFET Loss C]],Table7[[#This Row],[Total MOSFET Loss]])</f>
        <v>2.6389020951504389</v>
      </c>
      <c r="CR194" s="149">
        <f>IF(MOSFET_S=Custom_MOSFET,Table7[[#This Row],[Efficiency C]],Table7[[#This Row],[Efficiency]])</f>
        <v>99.042182525412372</v>
      </c>
      <c r="CS194" s="153"/>
      <c r="CT194" s="149">
        <f>IF(MOSFET_S=Compare_MOSFET, Table7[[#This Row],[Total Sense Loss C]], -100)</f>
        <v>-100</v>
      </c>
      <c r="CU194" s="149">
        <f>IF(MOSFET_S=Compare_MOSFET, Table7[[#This Row],[Total MOSFET Loss C]], -100)</f>
        <v>-100</v>
      </c>
      <c r="CV194" s="149">
        <f>IF(MOSFET_S=Compare_MOSFET, Table7[[#This Row],[Efficiency C]], -100)</f>
        <v>-100</v>
      </c>
      <c r="CW194" s="153"/>
      <c r="CX194" s="149">
        <f ca="1">IF(Save_Sel=CLR_Save,  Table7[[#This Row],[Total Sense Loss P1]], Table7[[#This Row],[Total Sense Loss P1 Saved]])</f>
        <v>2.2296124310018905</v>
      </c>
      <c r="CY194" s="149">
        <f ca="1">IF(Save_Sel=CLR_Save,  Table7[[#This Row],[Total MOSFET Loss P1]], Table7[[#This Row],[Total MOSFET Loss P1 Saved]] )</f>
        <v>2.6389020951504389</v>
      </c>
      <c r="CZ194" s="149">
        <f ca="1">IF(Save_Sel=CLR_Save, Table7[[#This Row],[Efficiency P1]], Table7[[#This Row],[Efficiency P1 Saved]])</f>
        <v>99.042182525412372</v>
      </c>
      <c r="DA194" s="153"/>
      <c r="DB194" s="149">
        <f ca="1">IF(Save_Sel=CLR_Save,  Table7[[#This Row],[Total Sense Loss P2]], Table7[[#This Row],[Total Sense Loss P2 Saved]])</f>
        <v>-100</v>
      </c>
      <c r="DC194" s="149">
        <f ca="1">IF(Save_Sel=CLR_Save,  Table7[[#This Row],[Total MOSFET Loss P2]], Table7[[#This Row],[Total MOSFET Loss P2 Saved]] )</f>
        <v>-100</v>
      </c>
      <c r="DD194" s="149">
        <f ca="1">IF(Save_Sel=CLR_Save, Table7[[#This Row],[Efficiency P2]], Table7[[#This Row],[Efficiency P2 Saved]])</f>
        <v>-100</v>
      </c>
      <c r="DE194" s="153"/>
      <c r="DF194" s="19"/>
      <c r="DG194" s="19"/>
      <c r="DH194" s="19"/>
      <c r="DI194" s="19"/>
      <c r="DJ194" s="19"/>
      <c r="DK194" s="19"/>
      <c r="DL194" s="19"/>
      <c r="DM194" s="19"/>
      <c r="DN194" s="19"/>
      <c r="DO194" s="19"/>
      <c r="DP194" s="19"/>
      <c r="DQ194" s="19"/>
      <c r="DR194" s="19"/>
      <c r="DS194" s="19"/>
      <c r="DT194" s="19"/>
      <c r="DU194" s="19"/>
      <c r="DV194" s="19"/>
      <c r="DW194" s="19"/>
      <c r="DX194" s="19"/>
      <c r="DY194" s="19"/>
      <c r="DZ194" s="19"/>
      <c r="EA194" s="19"/>
      <c r="EB194" s="19"/>
      <c r="EC194" s="19"/>
      <c r="ED194" s="19"/>
      <c r="EE194" s="19"/>
      <c r="EF194" s="19"/>
      <c r="EG194" s="19"/>
      <c r="EH194" s="19"/>
      <c r="EI194" s="19"/>
      <c r="EJ194" s="19"/>
      <c r="EK194" s="19"/>
      <c r="EL194" s="19"/>
      <c r="EM194" s="19"/>
      <c r="EN194" s="19"/>
      <c r="EO194" s="19"/>
      <c r="EP194" s="19"/>
      <c r="EQ194" s="19"/>
      <c r="ER194" s="19"/>
      <c r="ES194" s="19"/>
      <c r="ET194" s="19"/>
      <c r="EU194" s="19"/>
      <c r="EV194" s="19"/>
      <c r="EW194" s="19"/>
      <c r="EX194" s="19"/>
      <c r="EY194" s="19"/>
      <c r="EZ194" s="19"/>
      <c r="FA194" s="19"/>
      <c r="FB194" s="19"/>
      <c r="FC194" s="19"/>
      <c r="FD194" s="19"/>
      <c r="FE194" s="19"/>
      <c r="FF194" s="19"/>
      <c r="FG194" s="19"/>
      <c r="FH194" s="19"/>
      <c r="FI194" s="19"/>
    </row>
    <row r="195" spans="1:165" x14ac:dyDescent="0.25">
      <c r="A195" s="32"/>
      <c r="B195" s="49"/>
      <c r="C195" s="49"/>
      <c r="D195" s="32"/>
      <c r="E195" s="66"/>
      <c r="F195" s="66"/>
      <c r="G195" s="49"/>
      <c r="H195" s="29"/>
      <c r="I195" s="29"/>
      <c r="J195" s="29"/>
      <c r="K195" s="29"/>
      <c r="L195" s="29"/>
      <c r="M195" s="29"/>
      <c r="N195" s="29"/>
      <c r="O195" s="29"/>
      <c r="P195" s="29"/>
      <c r="Q195" s="29"/>
      <c r="R195" s="29"/>
      <c r="S195" s="30"/>
      <c r="T195" s="18"/>
      <c r="U195" s="19"/>
      <c r="V195" s="19"/>
      <c r="W195" s="19"/>
      <c r="X195" s="19"/>
      <c r="Y195" s="19"/>
      <c r="Z195" s="19"/>
      <c r="AA195" s="19"/>
      <c r="AB195" s="19"/>
      <c r="AC195" s="19"/>
      <c r="AD195" s="19"/>
      <c r="AE195" s="19"/>
      <c r="AF195" s="143">
        <f t="shared" si="17"/>
        <v>39</v>
      </c>
      <c r="AG195" s="143">
        <f t="shared" si="39"/>
        <v>14.04</v>
      </c>
      <c r="AH195" s="144">
        <f t="shared" si="28"/>
        <v>516.67199999999991</v>
      </c>
      <c r="AI195" s="145">
        <f t="shared" si="29"/>
        <v>0.97826086956521752</v>
      </c>
      <c r="AJ195" s="145">
        <f t="shared" si="30"/>
        <v>13.734782608695653</v>
      </c>
      <c r="AK195" s="145">
        <f t="shared" si="26"/>
        <v>0.39130434782608459</v>
      </c>
      <c r="AL195" s="145">
        <f t="shared" si="27"/>
        <v>13.735247112175092</v>
      </c>
      <c r="AM195" s="146"/>
      <c r="AN195" s="145">
        <f>MAX(0,Table7[[#This Row],[I_L]]-0.5*Table7[[#This Row],[I_L pkpk]])</f>
        <v>13.53913043478261</v>
      </c>
      <c r="AO195" s="145">
        <f>Table7[[#This Row],[I_L]]+0.5*Table7[[#This Row],[I_L pkpk]]</f>
        <v>13.930434782608696</v>
      </c>
      <c r="AP195" s="145">
        <f ca="1">IF(VACnom&gt;Vbat, (VGS_S-(TI_MOSFET_S_VTH_H_BU+Table7[[#This Row],[I_L]]/TI_MOSFET_S_gFS_H_BU))/3.4, (VGS_S-(TI_MOSFET_S_VTH_L_BO+Table7[[#This Row],[I_L]]/TI_MOSFET_S_gFS_L_BO))/3.4 )</f>
        <v>2.9836317135549875</v>
      </c>
      <c r="AQ195" s="145">
        <f ca="1">IF(VACnom&gt;Vbat, ((TI_MOSFET_S_VTH_H_BU+Table7[[#This Row],[I_L]]/TI_MOSFET_S_gFS_H_BU))/1, ((TI_MOSFET_S_VTH_L_BO+Table7[[#This Row],[I_L]]/TI_MOSFET_S_gFS_L_BO))/1 )</f>
        <v>1.8556521739130436</v>
      </c>
      <c r="AR195" s="145">
        <f ca="1">IF(VACnom&gt;Vbat, (TI_MOSFET_S_QGD_H_BU+TI_MOSFET_S_QGS_H_BU)*10^-9/Table7[[#This Row],[Ion (A)]], (TI_MOSFET_S_QGD_L_BO+TI_MOSFET_S_QGS_L_BO)*10^-9/Table7[[#This Row],[Ion (A)]])/10^-9</f>
        <v>9.6526658666209482</v>
      </c>
      <c r="AS195" s="145">
        <f ca="1">IF(VACnom&gt;Vbat, (TI_MOSFET_S_QGD_H_BU+TI_MOSFET_S_QGS_H_BU)*10^-9/Table7[[#This Row],[Ioff (A)]], (TI_MOSFET_S_QGD_L_BO+TI_MOSFET_S_QGS_L_BO)*10^-9/Table7[[#This Row],[Ioff (A)]])/10^-9</f>
        <v>15.520149953139642</v>
      </c>
      <c r="AT195" s="145">
        <f ca="1" xml:space="preserve"> 0.5*VACnom*Table7[[#This Row],[Ivalley (A)]]*Table7[[#This Row],[ton (ns)]]*10^-9*Fsw*10^3+0.5*VACnom*Table7[[#This Row],[Ipeak (A)]]*Table7[[#This Row],[toff (ns)]]*10^-9*Fsw*10^3/10^-3</f>
        <v>796.10590162188919</v>
      </c>
      <c r="AU195" s="145">
        <f t="shared" ca="1" si="31"/>
        <v>268.64000000000004</v>
      </c>
      <c r="AV195" s="145" t="e">
        <f t="shared" si="32"/>
        <v>#VALUE!</v>
      </c>
      <c r="AW195" s="145">
        <f t="shared" ca="1" si="33"/>
        <v>566.72000000000025</v>
      </c>
      <c r="AX195" s="145">
        <f ca="1">IF(VACnom&gt;Vbat, TI_MOSFET_S_VSD_L_BU*Table7[[#This Row],[Ivalley (A)]]*Fsw*10^3*40*10^-9+TI_MOSFET_S_VSD_L_BU*Table7[[#This Row],[Ipeak (A)]]*Fsw*10^3*30*10^-9, TI_MOSFET_S_VSD_H_BO*Table7[[#This Row],[Ivalley (A)]]*Fsw*10^3*40*10^-9+TI_MOSFET_S_VSD_H_BO*Table7[[#This Row],[Ipeak (A)]]*Fsw*10^3*30*10^-9)/10^-3</f>
        <v>138.16486956521746</v>
      </c>
      <c r="AY195" s="145" t="e">
        <f t="shared" si="34"/>
        <v>#VALUE!</v>
      </c>
      <c r="AZ195" s="145" t="e">
        <f>IF(VACnom&lt;Vbat, Table7[[#This Row],[Duty Cycle]]*Table7[[#This Row],[I_L RMS]]^2*TI_MOSFET_S_RDSON_H_BU*10^-3, (1-Table7[[#This Row],[Duty Cycle]])*Table7[[#This Row],[I_L RMS]]^2*TI_MOSFET_S_RDSON_H_BO*10^-3)/10^-3</f>
        <v>#VALUE!</v>
      </c>
      <c r="BA195" s="145" t="e">
        <f ca="1">IF(VACnom&gt;Vbat, Table7[[#This Row],[PIV (mW)]]+Table7[[#This Row],[Pqoss (mW)]]+Table7[[#This Row],[Pgate_top (mW)]], Table7[[#This Row],[PRR (mW)]]+Table7[[#This Row],[Pdead (mW)]]+Table7[[#This Row],[Pgate_top (mW)]])</f>
        <v>#VALUE!</v>
      </c>
      <c r="BB195" s="145" t="e">
        <f ca="1">Table7[[#This Row],[Pcon_top (mW)]]+Table7[[#This Row],[Psw_top (mW)]]</f>
        <v>#VALUE!</v>
      </c>
      <c r="BC195" s="145" t="e">
        <f>IF(VACnom&gt;Vbat, (1-Table7[[#This Row],[Duty Cycle]])*Table7[[#This Row],[I_L RMS]]^2*TI_MOSFET_S_RDSON_L_BU*10^-3, Table7[[#This Row],[Duty Cycle]]*Table7[[#This Row],[I_L RMS]]^2*TI_MOSFET_S_RDSON_L_BO*10^-3)/10^-3</f>
        <v>#VALUE!</v>
      </c>
      <c r="BD195" s="145" t="e">
        <f ca="1">IF(VACnom&gt;Vbat, Table7[[#This Row],[PRR (mW)]]+Table7[[#This Row],[Pdead (mW)]]+Table7[[#This Row],[Pgate_bottom (mW)]], Table7[[#This Row],[PIV (mW)]]+Table7[[#This Row],[Pqoss (mW)]]+Table7[[#This Row],[Pgate_bottom (mW)]])</f>
        <v>#VALUE!</v>
      </c>
      <c r="BE195" s="147" t="e">
        <f ca="1">Table7[[#This Row],[Pcon_bottom (mW)]]+Table7[[#This Row],[Psw_bottom (mW)]]</f>
        <v>#VALUE!</v>
      </c>
      <c r="BF195" s="145" t="e">
        <f ca="1">Table7[[#This Row],[Pbottom (mW)]]+Table7[[#This Row],[Ptop (mW)]]</f>
        <v>#VALUE!</v>
      </c>
      <c r="BG195" s="142"/>
      <c r="BH195" s="145">
        <f>MAX(0,Table7[[#This Row],[I_L]]-0.5*Table7[[#This Row],[I_L pkpk]])</f>
        <v>13.53913043478261</v>
      </c>
      <c r="BI195" s="145">
        <f>Table7[[#This Row],[I_L]]+0.5*Table7[[#This Row],[I_L pkpk]]</f>
        <v>13.930434782608696</v>
      </c>
      <c r="BJ195" s="145">
        <f>IF(VACnom&gt;Vbat, (VGS_S-(C_MOSFET_S_VTH_H_BU+Table7[[#This Row],[I_L]]/C_MOSFET_S_gFS_H_BU))/3.4, (VGS_S-(C_MOSFET_S_VTH_L_BO+Table7[[#This Row],[I_L]]/C_MOSFET_S_gFS_L_BO))/3.4 )</f>
        <v>2.9357637357791693</v>
      </c>
      <c r="BK195" s="145">
        <f>IF(VACnom&gt;Vbat, ((C_MOSFET_S_VTH_H_BU+Table7[[#This Row],[I_L]]/C_MOSFET_S_gFS_H_BU))/1, ((C_MOSFET_S_VTH_L_BO+Table7[[#This Row],[I_L]]/C_MOSFET_S_gFS_L_BO))/1 )</f>
        <v>2.0184032983508247</v>
      </c>
      <c r="BL195" s="145">
        <f>IF(VACnom&gt;Vbat, (C_MOSFET_S_QGD_H_BU+C_MOSFET_S_QGS_H_BU)*10^-9/Table7[[#This Row],[Ion (A) C]], (C_MOSFET_S_QGD_L_BO+C_MOSFET_S_QGS_L_BO)*10^-9/Table7[[#This Row],[Ion (A) C]])/10^-9</f>
        <v>5.279716419647853</v>
      </c>
      <c r="BM195" s="145">
        <f>IF(VACnom&gt;Vbat, (C_MOSFET_S_QGD_H_BU+C_MOSFET_S_QGS_H_BU)*10^-9/Table7[[#This Row],[Ioff (A) C]], (C_MOSFET_S_QGD_L_BO+C_MOSFET_S_QGS_L_BO)*10^-9/Table7[[#This Row],[Ioff (A) C]])/10^-9</f>
        <v>7.6793374310597748</v>
      </c>
      <c r="BN195" s="145">
        <f xml:space="preserve"> 0.5*VACnom*Table7[[#This Row],[Ivalley (A) C]]*Table7[[#This Row],[ton (ns) C]]*10^-9*Fsw*10^3+0.5*VACnom*Table7[[#This Row],[Ipeak (A) C]]*Table7[[#This Row],[toff (ns) C]]*10^-9*Fsw*10^3/10^-3</f>
        <v>393.93661065674092</v>
      </c>
      <c r="BO195" s="145">
        <f t="shared" si="35"/>
        <v>305.44000000000011</v>
      </c>
      <c r="BP195" s="145">
        <f t="shared" si="36"/>
        <v>357.69600000000014</v>
      </c>
      <c r="BQ195" s="145">
        <f t="shared" si="37"/>
        <v>1067.2000000000003</v>
      </c>
      <c r="BR195" s="145">
        <f>IF(VACnom&gt;Vbat, C_MOSFET_S_VSD_L_BU*Table7[[#This Row],[Ivalley (A) C]]*Fsw*10^3*40*10^-9+C_MOSFET_S_VSD_L_BU*Table7[[#This Row],[Ipeak (A) C]]*Fsw*10^3*30*10^-9, C_MOSFET_S_VSD_H_BO*Table7[[#This Row],[Ivalley (A) C]]*Fsw*10^3*40*10^-9+C_MOSFET_S_VSD_H_BO*Table7[[#This Row],[Ipeak (A) C]]*Fsw*10^3*30*10^-9)/10^-3</f>
        <v>153.5165217391305</v>
      </c>
      <c r="BS195" s="145">
        <f t="shared" si="38"/>
        <v>357.69600000000014</v>
      </c>
      <c r="BT195" s="145">
        <f>IF(VACnom&lt;Vbat, Table7[[#This Row],[Duty Cycle]]*Table7[[#This Row],[I_L RMS]]^2*C_MOSFET_S_RDSON_H_BU*10^-3, (1-Table7[[#This Row],[Duty Cycle]])*Table7[[#This Row],[I_L RMS]]^2*C_MOSFET_S_RDSON_H_BO*10^-3)/10^-3</f>
        <v>10.663222487055091</v>
      </c>
      <c r="BU195" s="145">
        <f>IF(VACnom&gt;Vbat, Table7[[#This Row],[PIV (mW) C]]+Table7[[#This Row],[PQoss (mW) C]]+Table7[[#This Row],[Pgate_top (mW) C]], Table7[[#This Row],[PRR (mW) C]]+Table7[[#This Row],[Pdead (mW) C]]+Table7[[#This Row],[Pgate_top (mW) C]])</f>
        <v>1057.0726106567413</v>
      </c>
      <c r="BV195" s="145">
        <f>Table7[[#This Row],[Pcon_top (mW) C]]+Table7[[#This Row],[Psw_top (mW) C]]</f>
        <v>1067.7358331437963</v>
      </c>
      <c r="BW195" s="145">
        <f>IF(VACnom&gt;Vbat, (1-Table7[[#This Row],[Duty Cycle]])*Table7[[#This Row],[I_L RMS]]^2*C_MOSFET_S_RDSON_L_BU*10^-3, Table7[[#This Row],[Duty Cycle]]*Table7[[#This Row],[I_L RMS]]^2*C_MOSFET_S_RDSON_L_BO*10^-3)/10^-3</f>
        <v>6.9721070107667886</v>
      </c>
      <c r="BX195" s="145">
        <f>IF(VACnom&gt;Vbat, Table7[[#This Row],[PRR (mW) C]]+Table7[[#This Row],[Pdead (mW) C]]+Table7[[#This Row],[Pgate_bottom (mW) C]], Table7[[#This Row],[PIV (mW) C]]+Table7[[#This Row],[PQoss (mW) C]]+Table7[[#This Row],[Pgate_bottom (mW) C]])</f>
        <v>1578.4125217391309</v>
      </c>
      <c r="BY195" s="145">
        <f>Table7[[#This Row],[Pcon_bottom (mW) C]]+Table7[[#This Row],[Psw_bottom (mV) C]]</f>
        <v>1585.3846287498977</v>
      </c>
      <c r="BZ195" s="145">
        <f>Table7[[#This Row],[Pbottom (mW) C]]+Table7[[#This Row],[Ptop (mW) C]]</f>
        <v>2653.120461893694</v>
      </c>
      <c r="CA195" s="148"/>
      <c r="CB195" s="144">
        <f>(RAC_SNS*10^-3*(Table7[[#This Row],[IOUT (A)]]*Vbat/VACnom)^2/10^-3)</f>
        <v>377.28850661625705</v>
      </c>
      <c r="CC195" s="144">
        <f>(RBAT_SNS*10^-3*Table7[[#This Row],[IOUT (A)]]^2)/10^-3</f>
        <v>985.60799999999995</v>
      </c>
      <c r="CD195" s="144">
        <f>IF(VACnom&gt;Vbat,(L_DRC*10^-3*(Table7[[#This Row],[IOUT (A)]])^2/10^-3),(L_DRC*10^-3*(Table7[[#This Row],[IOUT (A)]]*Vbat/VACnom)^2/10^-3))</f>
        <v>985.60799999999995</v>
      </c>
      <c r="CE195" s="152"/>
      <c r="CF195" s="145">
        <f>(Table7[[#This Row],[R_AC (mW)]]+Table7[[#This Row],[R_SR (mW)]]+Table7[[#This Row],[Inductor Loss (mW)]])/10^3</f>
        <v>2.3485045066162571</v>
      </c>
      <c r="CG195" s="145" t="e">
        <f ca="1">Table7[[#This Row],[Total TI (mW)]]/10^3</f>
        <v>#VALUE!</v>
      </c>
      <c r="CH195" s="145" t="e">
        <f ca="1">Table7[[#This Row],[Total Sense Loss]]+Table7[[#This Row],[Total MOSFET Loss]]</f>
        <v>#VALUE!</v>
      </c>
      <c r="CI195" s="149" t="e">
        <f ca="1">IF(Table7[[#This Row],[POUT (W)]]=0,0,(Table7[[#This Row],[POUT (W)]])/(Table7[[#This Row],[POUT (W)]]+Table7[[#This Row],[Total Power Loss (W)]]))*100</f>
        <v>#VALUE!</v>
      </c>
      <c r="CJ195" s="153"/>
      <c r="CK195" s="145">
        <f>(Table7[[#This Row],[R_AC (mW)]]+Table7[[#This Row],[R_SR (mW)]]+Table7[[#This Row],[Inductor Loss (mW)]])/10^3</f>
        <v>2.3485045066162571</v>
      </c>
      <c r="CL195" s="145">
        <f>Table7[[#This Row],[Total (mW) C]]/10^3</f>
        <v>2.6531204618936939</v>
      </c>
      <c r="CM195" s="145">
        <f>Table7[[#This Row],[Total Sense Loss C]]+Table7[[#This Row],[Total MOSFET Loss C]]</f>
        <v>5.001624968509951</v>
      </c>
      <c r="CN195" s="149">
        <f>IF(Table7[[#This Row],[POUT (W)]]=0,0,(Table7[[#This Row],[POUT (W)]])/(Table7[[#This Row],[POUT (W)]]+Table7[[#This Row],[Total Power Loss (W) C]]))*100</f>
        <v>99.041234839347709</v>
      </c>
      <c r="CO195" s="153"/>
      <c r="CP195" s="149">
        <f>IF(MOSFET_S=Custom_MOSFET,Table7[[#This Row],[Total Sense Loss C]],Table7[[#This Row],[Total Sense Loss]])</f>
        <v>2.3485045066162571</v>
      </c>
      <c r="CQ195" s="149">
        <f>IF(MOSFET_S=Custom_MOSFET,Table7[[#This Row],[Total MOSFET Loss C]],Table7[[#This Row],[Total MOSFET Loss]])</f>
        <v>2.6531204618936939</v>
      </c>
      <c r="CR195" s="149">
        <f>IF(MOSFET_S=Custom_MOSFET,Table7[[#This Row],[Efficiency C]],Table7[[#This Row],[Efficiency]])</f>
        <v>99.041234839347709</v>
      </c>
      <c r="CS195" s="153"/>
      <c r="CT195" s="149">
        <f>IF(MOSFET_S=Compare_MOSFET, Table7[[#This Row],[Total Sense Loss C]], -100)</f>
        <v>-100</v>
      </c>
      <c r="CU195" s="149">
        <f>IF(MOSFET_S=Compare_MOSFET, Table7[[#This Row],[Total MOSFET Loss C]], -100)</f>
        <v>-100</v>
      </c>
      <c r="CV195" s="149">
        <f>IF(MOSFET_S=Compare_MOSFET, Table7[[#This Row],[Efficiency C]], -100)</f>
        <v>-100</v>
      </c>
      <c r="CW195" s="153"/>
      <c r="CX195" s="149">
        <f ca="1">IF(Save_Sel=CLR_Save,  Table7[[#This Row],[Total Sense Loss P1]], Table7[[#This Row],[Total Sense Loss P1 Saved]])</f>
        <v>2.3485045066162571</v>
      </c>
      <c r="CY195" s="149">
        <f ca="1">IF(Save_Sel=CLR_Save,  Table7[[#This Row],[Total MOSFET Loss P1]], Table7[[#This Row],[Total MOSFET Loss P1 Saved]] )</f>
        <v>2.6531204618936939</v>
      </c>
      <c r="CZ195" s="149">
        <f ca="1">IF(Save_Sel=CLR_Save, Table7[[#This Row],[Efficiency P1]], Table7[[#This Row],[Efficiency P1 Saved]])</f>
        <v>99.041234839347709</v>
      </c>
      <c r="DA195" s="153"/>
      <c r="DB195" s="149">
        <f ca="1">IF(Save_Sel=CLR_Save,  Table7[[#This Row],[Total Sense Loss P2]], Table7[[#This Row],[Total Sense Loss P2 Saved]])</f>
        <v>-100</v>
      </c>
      <c r="DC195" s="149">
        <f ca="1">IF(Save_Sel=CLR_Save,  Table7[[#This Row],[Total MOSFET Loss P2]], Table7[[#This Row],[Total MOSFET Loss P2 Saved]] )</f>
        <v>-100</v>
      </c>
      <c r="DD195" s="149">
        <f ca="1">IF(Save_Sel=CLR_Save, Table7[[#This Row],[Efficiency P2]], Table7[[#This Row],[Efficiency P2 Saved]])</f>
        <v>-100</v>
      </c>
      <c r="DE195" s="153"/>
      <c r="DF195" s="19"/>
      <c r="DG195" s="19"/>
      <c r="DH195" s="19"/>
      <c r="DI195" s="19"/>
      <c r="DJ195" s="19"/>
      <c r="DK195" s="19"/>
      <c r="DL195" s="19"/>
      <c r="DM195" s="19"/>
      <c r="DN195" s="19"/>
      <c r="DO195" s="19"/>
      <c r="DP195" s="19"/>
      <c r="DQ195" s="19"/>
      <c r="DR195" s="19"/>
      <c r="DS195" s="19"/>
      <c r="DT195" s="19"/>
      <c r="DU195" s="19"/>
      <c r="DV195" s="19"/>
      <c r="DW195" s="19"/>
      <c r="DX195" s="19"/>
      <c r="DY195" s="19"/>
      <c r="DZ195" s="19"/>
      <c r="EA195" s="19"/>
      <c r="EB195" s="19"/>
      <c r="EC195" s="19"/>
      <c r="ED195" s="19"/>
      <c r="EE195" s="19"/>
      <c r="EF195" s="19"/>
      <c r="EG195" s="19"/>
      <c r="EH195" s="19"/>
      <c r="EI195" s="19"/>
      <c r="EJ195" s="19"/>
      <c r="EK195" s="19"/>
      <c r="EL195" s="19"/>
      <c r="EM195" s="19"/>
      <c r="EN195" s="19"/>
      <c r="EO195" s="19"/>
      <c r="EP195" s="19"/>
      <c r="EQ195" s="19"/>
      <c r="ER195" s="19"/>
      <c r="ES195" s="19"/>
      <c r="ET195" s="19"/>
      <c r="EU195" s="19"/>
      <c r="EV195" s="19"/>
      <c r="EW195" s="19"/>
      <c r="EX195" s="19"/>
      <c r="EY195" s="19"/>
      <c r="EZ195" s="19"/>
      <c r="FA195" s="19"/>
      <c r="FB195" s="19"/>
      <c r="FC195" s="19"/>
      <c r="FD195" s="19"/>
      <c r="FE195" s="19"/>
      <c r="FF195" s="19"/>
      <c r="FG195" s="19"/>
      <c r="FH195" s="19"/>
      <c r="FI195" s="19"/>
    </row>
    <row r="196" spans="1:165" x14ac:dyDescent="0.25">
      <c r="A196" s="32"/>
      <c r="B196" s="49"/>
      <c r="C196" s="49"/>
      <c r="D196" s="32"/>
      <c r="E196" s="66"/>
      <c r="F196" s="66"/>
      <c r="G196" s="49"/>
      <c r="H196" s="29"/>
      <c r="I196" s="29"/>
      <c r="J196" s="29"/>
      <c r="K196" s="29"/>
      <c r="L196" s="29"/>
      <c r="M196" s="29"/>
      <c r="N196" s="29"/>
      <c r="O196" s="29"/>
      <c r="P196" s="29"/>
      <c r="Q196" s="29"/>
      <c r="R196" s="29"/>
      <c r="S196" s="30"/>
      <c r="T196" s="18"/>
      <c r="U196" s="19"/>
      <c r="V196" s="19"/>
      <c r="W196" s="19"/>
      <c r="X196" s="19"/>
      <c r="Y196" s="19"/>
      <c r="Z196" s="19"/>
      <c r="AA196" s="19"/>
      <c r="AB196" s="19"/>
      <c r="AC196" s="19"/>
      <c r="AD196" s="19"/>
      <c r="AE196" s="19"/>
      <c r="AF196" s="143">
        <f t="shared" si="17"/>
        <v>40</v>
      </c>
      <c r="AG196" s="143">
        <f t="shared" si="39"/>
        <v>14.4</v>
      </c>
      <c r="AH196" s="144">
        <f t="shared" si="28"/>
        <v>529.91999999999996</v>
      </c>
      <c r="AI196" s="145">
        <f t="shared" si="29"/>
        <v>0.97826086956521752</v>
      </c>
      <c r="AJ196" s="145">
        <f t="shared" si="30"/>
        <v>14.086956521739133</v>
      </c>
      <c r="AK196" s="145">
        <f t="shared" si="26"/>
        <v>0.39130434782608459</v>
      </c>
      <c r="AL196" s="145">
        <f t="shared" si="27"/>
        <v>14.0874094130097</v>
      </c>
      <c r="AM196" s="146"/>
      <c r="AN196" s="145">
        <f>MAX(0,Table7[[#This Row],[I_L]]-0.5*Table7[[#This Row],[I_L pkpk]])</f>
        <v>13.89130434782609</v>
      </c>
      <c r="AO196" s="145">
        <f>Table7[[#This Row],[I_L]]+0.5*Table7[[#This Row],[I_L pkpk]]</f>
        <v>14.282608695652176</v>
      </c>
      <c r="AP196" s="145">
        <f ca="1">IF(VACnom&gt;Vbat, (VGS_S-(TI_MOSFET_S_VTH_H_BU+Table7[[#This Row],[I_L]]/TI_MOSFET_S_gFS_H_BU))/3.4, (VGS_S-(TI_MOSFET_S_VTH_L_BO+Table7[[#This Row],[I_L]]/TI_MOSFET_S_gFS_L_BO))/3.4 )</f>
        <v>2.9828349399960654</v>
      </c>
      <c r="AQ196" s="145">
        <f ca="1">IF(VACnom&gt;Vbat, ((TI_MOSFET_S_VTH_H_BU+Table7[[#This Row],[I_L]]/TI_MOSFET_S_gFS_H_BU))/1, ((TI_MOSFET_S_VTH_L_BO+Table7[[#This Row],[I_L]]/TI_MOSFET_S_gFS_L_BO))/1 )</f>
        <v>1.8583612040133779</v>
      </c>
      <c r="AR196" s="145">
        <f ca="1">IF(VACnom&gt;Vbat, (TI_MOSFET_S_QGD_H_BU+TI_MOSFET_S_QGS_H_BU)*10^-9/Table7[[#This Row],[Ion (A)]], (TI_MOSFET_S_QGD_L_BO+TI_MOSFET_S_QGS_L_BO)*10^-9/Table7[[#This Row],[Ion (A)]])/10^-9</f>
        <v>9.65524428248718</v>
      </c>
      <c r="AS196" s="145">
        <f ca="1">IF(VACnom&gt;Vbat, (TI_MOSFET_S_QGD_H_BU+TI_MOSFET_S_QGS_H_BU)*10^-9/Table7[[#This Row],[Ioff (A)]], (TI_MOSFET_S_QGD_L_BO+TI_MOSFET_S_QGS_L_BO)*10^-9/Table7[[#This Row],[Ioff (A)]])/10^-9</f>
        <v>15.497525420678487</v>
      </c>
      <c r="AT196" s="145">
        <f ca="1" xml:space="preserve"> 0.5*VACnom*Table7[[#This Row],[Ivalley (A)]]*Table7[[#This Row],[ton (ns)]]*10^-9*Fsw*10^3+0.5*VACnom*Table7[[#This Row],[Ipeak (A)]]*Table7[[#This Row],[toff (ns)]]*10^-9*Fsw*10^3/10^-3</f>
        <v>815.04351219858233</v>
      </c>
      <c r="AU196" s="145">
        <f t="shared" ca="1" si="31"/>
        <v>268.64000000000004</v>
      </c>
      <c r="AV196" s="145" t="e">
        <f t="shared" si="32"/>
        <v>#VALUE!</v>
      </c>
      <c r="AW196" s="145">
        <f t="shared" ca="1" si="33"/>
        <v>566.72000000000025</v>
      </c>
      <c r="AX196" s="145">
        <f ca="1">IF(VACnom&gt;Vbat, TI_MOSFET_S_VSD_L_BU*Table7[[#This Row],[Ivalley (A)]]*Fsw*10^3*40*10^-9+TI_MOSFET_S_VSD_L_BU*Table7[[#This Row],[Ipeak (A)]]*Fsw*10^3*30*10^-9, TI_MOSFET_S_VSD_H_BO*Table7[[#This Row],[Ivalley (A)]]*Fsw*10^3*40*10^-9+TI_MOSFET_S_VSD_H_BO*Table7[[#This Row],[Ipeak (A)]]*Fsw*10^3*30*10^-9)/10^-3</f>
        <v>141.71478260869571</v>
      </c>
      <c r="AY196" s="145" t="e">
        <f t="shared" si="34"/>
        <v>#VALUE!</v>
      </c>
      <c r="AZ196" s="145" t="e">
        <f>IF(VACnom&lt;Vbat, Table7[[#This Row],[Duty Cycle]]*Table7[[#This Row],[I_L RMS]]^2*TI_MOSFET_S_RDSON_H_BU*10^-3, (1-Table7[[#This Row],[Duty Cycle]])*Table7[[#This Row],[I_L RMS]]^2*TI_MOSFET_S_RDSON_H_BO*10^-3)/10^-3</f>
        <v>#VALUE!</v>
      </c>
      <c r="BA196" s="145" t="e">
        <f ca="1">IF(VACnom&gt;Vbat, Table7[[#This Row],[PIV (mW)]]+Table7[[#This Row],[Pqoss (mW)]]+Table7[[#This Row],[Pgate_top (mW)]], Table7[[#This Row],[PRR (mW)]]+Table7[[#This Row],[Pdead (mW)]]+Table7[[#This Row],[Pgate_top (mW)]])</f>
        <v>#VALUE!</v>
      </c>
      <c r="BB196" s="145" t="e">
        <f ca="1">Table7[[#This Row],[Pcon_top (mW)]]+Table7[[#This Row],[Psw_top (mW)]]</f>
        <v>#VALUE!</v>
      </c>
      <c r="BC196" s="145" t="e">
        <f>IF(VACnom&gt;Vbat, (1-Table7[[#This Row],[Duty Cycle]])*Table7[[#This Row],[I_L RMS]]^2*TI_MOSFET_S_RDSON_L_BU*10^-3, Table7[[#This Row],[Duty Cycle]]*Table7[[#This Row],[I_L RMS]]^2*TI_MOSFET_S_RDSON_L_BO*10^-3)/10^-3</f>
        <v>#VALUE!</v>
      </c>
      <c r="BD196" s="145" t="e">
        <f ca="1">IF(VACnom&gt;Vbat, Table7[[#This Row],[PRR (mW)]]+Table7[[#This Row],[Pdead (mW)]]+Table7[[#This Row],[Pgate_bottom (mW)]], Table7[[#This Row],[PIV (mW)]]+Table7[[#This Row],[Pqoss (mW)]]+Table7[[#This Row],[Pgate_bottom (mW)]])</f>
        <v>#VALUE!</v>
      </c>
      <c r="BE196" s="147" t="e">
        <f ca="1">Table7[[#This Row],[Pcon_bottom (mW)]]+Table7[[#This Row],[Psw_bottom (mW)]]</f>
        <v>#VALUE!</v>
      </c>
      <c r="BF196" s="145" t="e">
        <f ca="1">Table7[[#This Row],[Pbottom (mW)]]+Table7[[#This Row],[Ptop (mW)]]</f>
        <v>#VALUE!</v>
      </c>
      <c r="BG196" s="142"/>
      <c r="BH196" s="145">
        <f>MAX(0,Table7[[#This Row],[I_L]]-0.5*Table7[[#This Row],[I_L pkpk]])</f>
        <v>13.89130434782609</v>
      </c>
      <c r="BI196" s="145">
        <f>Table7[[#This Row],[I_L]]+0.5*Table7[[#This Row],[I_L pkpk]]</f>
        <v>14.282608695652176</v>
      </c>
      <c r="BJ196" s="145">
        <f>IF(VACnom&gt;Vbat, (VGS_S-(C_MOSFET_S_VTH_H_BU+Table7[[#This Row],[I_L]]/C_MOSFET_S_gFS_H_BU))/3.4, (VGS_S-(C_MOSFET_S_VTH_L_BO+Table7[[#This Row],[I_L]]/C_MOSFET_S_gFS_L_BO))/3.4 )</f>
        <v>2.9348707998941705</v>
      </c>
      <c r="BK196" s="145">
        <f>IF(VACnom&gt;Vbat, ((C_MOSFET_S_VTH_H_BU+Table7[[#This Row],[I_L]]/C_MOSFET_S_gFS_H_BU))/1, ((C_MOSFET_S_VTH_L_BO+Table7[[#This Row],[I_L]]/C_MOSFET_S_gFS_L_BO))/1 )</f>
        <v>2.0214392803598202</v>
      </c>
      <c r="BL196" s="145">
        <f>IF(VACnom&gt;Vbat, (C_MOSFET_S_QGD_H_BU+C_MOSFET_S_QGS_H_BU)*10^-9/Table7[[#This Row],[Ion (A) C]], (C_MOSFET_S_QGD_L_BO+C_MOSFET_S_QGS_L_BO)*10^-9/Table7[[#This Row],[Ion (A) C]])/10^-9</f>
        <v>5.2813227759664647</v>
      </c>
      <c r="BM196" s="145">
        <f>IF(VACnom&gt;Vbat, (C_MOSFET_S_QGD_H_BU+C_MOSFET_S_QGS_H_BU)*10^-9/Table7[[#This Row],[Ioff (A) C]], (C_MOSFET_S_QGD_L_BO+C_MOSFET_S_QGS_L_BO)*10^-9/Table7[[#This Row],[Ioff (A) C]])/10^-9</f>
        <v>7.667803901208929</v>
      </c>
      <c r="BN196" s="145">
        <f xml:space="preserve"> 0.5*VACnom*Table7[[#This Row],[Ivalley (A) C]]*Table7[[#This Row],[ton (ns) C]]*10^-9*Fsw*10^3+0.5*VACnom*Table7[[#This Row],[Ipeak (A) C]]*Table7[[#This Row],[toff (ns) C]]*10^-9*Fsw*10^3/10^-3</f>
        <v>403.28975426784882</v>
      </c>
      <c r="BO196" s="145">
        <f t="shared" si="35"/>
        <v>305.44000000000011</v>
      </c>
      <c r="BP196" s="145">
        <f t="shared" si="36"/>
        <v>357.69600000000014</v>
      </c>
      <c r="BQ196" s="145">
        <f t="shared" si="37"/>
        <v>1067.2000000000003</v>
      </c>
      <c r="BR196" s="145">
        <f>IF(VACnom&gt;Vbat, C_MOSFET_S_VSD_L_BU*Table7[[#This Row],[Ivalley (A) C]]*Fsw*10^3*40*10^-9+C_MOSFET_S_VSD_L_BU*Table7[[#This Row],[Ipeak (A) C]]*Fsw*10^3*30*10^-9, C_MOSFET_S_VSD_H_BO*Table7[[#This Row],[Ivalley (A) C]]*Fsw*10^3*40*10^-9+C_MOSFET_S_VSD_H_BO*Table7[[#This Row],[Ipeak (A) C]]*Fsw*10^3*30*10^-9)/10^-3</f>
        <v>157.46086956521748</v>
      </c>
      <c r="BS196" s="145">
        <f t="shared" si="38"/>
        <v>357.69600000000014</v>
      </c>
      <c r="BT196" s="145">
        <f>IF(VACnom&lt;Vbat, Table7[[#This Row],[Duty Cycle]]*Table7[[#This Row],[I_L RMS]]^2*C_MOSFET_S_RDSON_H_BU*10^-3, (1-Table7[[#This Row],[Duty Cycle]])*Table7[[#This Row],[I_L RMS]]^2*C_MOSFET_S_RDSON_H_BO*10^-3)/10^-3</f>
        <v>11.217027615681701</v>
      </c>
      <c r="BU196" s="145">
        <f>IF(VACnom&gt;Vbat, Table7[[#This Row],[PIV (mW) C]]+Table7[[#This Row],[PQoss (mW) C]]+Table7[[#This Row],[Pgate_top (mW) C]], Table7[[#This Row],[PRR (mW) C]]+Table7[[#This Row],[Pdead (mW) C]]+Table7[[#This Row],[Pgate_top (mW) C]])</f>
        <v>1066.425754267849</v>
      </c>
      <c r="BV196" s="145">
        <f>Table7[[#This Row],[Pcon_top (mW) C]]+Table7[[#This Row],[Psw_top (mW) C]]</f>
        <v>1077.6427818835307</v>
      </c>
      <c r="BW196" s="145">
        <f>IF(VACnom&gt;Vbat, (1-Table7[[#This Row],[Duty Cycle]])*Table7[[#This Row],[I_L RMS]]^2*C_MOSFET_S_RDSON_L_BU*10^-3, Table7[[#This Row],[Duty Cycle]]*Table7[[#This Row],[I_L RMS]]^2*C_MOSFET_S_RDSON_L_BO*10^-3)/10^-3</f>
        <v>7.3342103640995742</v>
      </c>
      <c r="BX196" s="145">
        <f>IF(VACnom&gt;Vbat, Table7[[#This Row],[PRR (mW) C]]+Table7[[#This Row],[Pdead (mW) C]]+Table7[[#This Row],[Pgate_bottom (mW) C]], Table7[[#This Row],[PIV (mW) C]]+Table7[[#This Row],[PQoss (mW) C]]+Table7[[#This Row],[Pgate_bottom (mW) C]])</f>
        <v>1582.3568695652179</v>
      </c>
      <c r="BY196" s="145">
        <f>Table7[[#This Row],[Pcon_bottom (mW) C]]+Table7[[#This Row],[Psw_bottom (mV) C]]</f>
        <v>1589.6910799293175</v>
      </c>
      <c r="BZ196" s="145">
        <f>Table7[[#This Row],[Pbottom (mW) C]]+Table7[[#This Row],[Ptop (mW) C]]</f>
        <v>2667.3338618128482</v>
      </c>
      <c r="CA196" s="148"/>
      <c r="CB196" s="144">
        <f>(RAC_SNS*10^-3*(Table7[[#This Row],[IOUT (A)]]*Vbat/VACnom)^2/10^-3)</f>
        <v>396.88468809073726</v>
      </c>
      <c r="CC196" s="144">
        <f>(RBAT_SNS*10^-3*Table7[[#This Row],[IOUT (A)]]^2)/10^-3</f>
        <v>1036.8000000000002</v>
      </c>
      <c r="CD196" s="144">
        <f>IF(VACnom&gt;Vbat,(L_DRC*10^-3*(Table7[[#This Row],[IOUT (A)]])^2/10^-3),(L_DRC*10^-3*(Table7[[#This Row],[IOUT (A)]]*Vbat/VACnom)^2/10^-3))</f>
        <v>1036.8000000000002</v>
      </c>
      <c r="CE196" s="152"/>
      <c r="CF196" s="145">
        <f>(Table7[[#This Row],[R_AC (mW)]]+Table7[[#This Row],[R_SR (mW)]]+Table7[[#This Row],[Inductor Loss (mW)]])/10^3</f>
        <v>2.4704846880907376</v>
      </c>
      <c r="CG196" s="145" t="e">
        <f ca="1">Table7[[#This Row],[Total TI (mW)]]/10^3</f>
        <v>#VALUE!</v>
      </c>
      <c r="CH196" s="145" t="e">
        <f ca="1">Table7[[#This Row],[Total Sense Loss]]+Table7[[#This Row],[Total MOSFET Loss]]</f>
        <v>#VALUE!</v>
      </c>
      <c r="CI196" s="149" t="e">
        <f ca="1">IF(Table7[[#This Row],[POUT (W)]]=0,0,(Table7[[#This Row],[POUT (W)]])/(Table7[[#This Row],[POUT (W)]]+Table7[[#This Row],[Total Power Loss (W)]]))*100</f>
        <v>#VALUE!</v>
      </c>
      <c r="CJ196" s="153"/>
      <c r="CK196" s="145">
        <f>(Table7[[#This Row],[R_AC (mW)]]+Table7[[#This Row],[R_SR (mW)]]+Table7[[#This Row],[Inductor Loss (mW)]])/10^3</f>
        <v>2.4704846880907376</v>
      </c>
      <c r="CL196" s="145">
        <f>Table7[[#This Row],[Total (mW) C]]/10^3</f>
        <v>2.6673338618128484</v>
      </c>
      <c r="CM196" s="145">
        <f>Table7[[#This Row],[Total Sense Loss C]]+Table7[[#This Row],[Total MOSFET Loss C]]</f>
        <v>5.137818549903586</v>
      </c>
      <c r="CN196" s="149">
        <f>IF(Table7[[#This Row],[POUT (W)]]=0,0,(Table7[[#This Row],[POUT (W)]])/(Table7[[#This Row],[POUT (W)]]+Table7[[#This Row],[Total Power Loss (W) C]]))*100</f>
        <v>99.039763858824088</v>
      </c>
      <c r="CO196" s="153"/>
      <c r="CP196" s="149">
        <f>IF(MOSFET_S=Custom_MOSFET,Table7[[#This Row],[Total Sense Loss C]],Table7[[#This Row],[Total Sense Loss]])</f>
        <v>2.4704846880907376</v>
      </c>
      <c r="CQ196" s="149">
        <f>IF(MOSFET_S=Custom_MOSFET,Table7[[#This Row],[Total MOSFET Loss C]],Table7[[#This Row],[Total MOSFET Loss]])</f>
        <v>2.6673338618128484</v>
      </c>
      <c r="CR196" s="149">
        <f>IF(MOSFET_S=Custom_MOSFET,Table7[[#This Row],[Efficiency C]],Table7[[#This Row],[Efficiency]])</f>
        <v>99.039763858824088</v>
      </c>
      <c r="CS196" s="153"/>
      <c r="CT196" s="149">
        <f>IF(MOSFET_S=Compare_MOSFET, Table7[[#This Row],[Total Sense Loss C]], -100)</f>
        <v>-100</v>
      </c>
      <c r="CU196" s="149">
        <f>IF(MOSFET_S=Compare_MOSFET, Table7[[#This Row],[Total MOSFET Loss C]], -100)</f>
        <v>-100</v>
      </c>
      <c r="CV196" s="149">
        <f>IF(MOSFET_S=Compare_MOSFET, Table7[[#This Row],[Efficiency C]], -100)</f>
        <v>-100</v>
      </c>
      <c r="CW196" s="153"/>
      <c r="CX196" s="149">
        <f ca="1">IF(Save_Sel=CLR_Save,  Table7[[#This Row],[Total Sense Loss P1]], Table7[[#This Row],[Total Sense Loss P1 Saved]])</f>
        <v>2.4704846880907376</v>
      </c>
      <c r="CY196" s="149">
        <f ca="1">IF(Save_Sel=CLR_Save,  Table7[[#This Row],[Total MOSFET Loss P1]], Table7[[#This Row],[Total MOSFET Loss P1 Saved]] )</f>
        <v>2.6673338618128484</v>
      </c>
      <c r="CZ196" s="149">
        <f ca="1">IF(Save_Sel=CLR_Save, Table7[[#This Row],[Efficiency P1]], Table7[[#This Row],[Efficiency P1 Saved]])</f>
        <v>99.039763858824088</v>
      </c>
      <c r="DA196" s="153"/>
      <c r="DB196" s="149">
        <f ca="1">IF(Save_Sel=CLR_Save,  Table7[[#This Row],[Total Sense Loss P2]], Table7[[#This Row],[Total Sense Loss P2 Saved]])</f>
        <v>-100</v>
      </c>
      <c r="DC196" s="149">
        <f ca="1">IF(Save_Sel=CLR_Save,  Table7[[#This Row],[Total MOSFET Loss P2]], Table7[[#This Row],[Total MOSFET Loss P2 Saved]] )</f>
        <v>-100</v>
      </c>
      <c r="DD196" s="149">
        <f ca="1">IF(Save_Sel=CLR_Save, Table7[[#This Row],[Efficiency P2]], Table7[[#This Row],[Efficiency P2 Saved]])</f>
        <v>-100</v>
      </c>
      <c r="DE196" s="153"/>
      <c r="DF196" s="19"/>
      <c r="DG196" s="19"/>
      <c r="DH196" s="19"/>
      <c r="DI196" s="19"/>
      <c r="DJ196" s="19"/>
      <c r="DK196" s="19"/>
      <c r="DL196" s="19"/>
      <c r="DM196" s="19"/>
      <c r="DN196" s="19"/>
      <c r="DO196" s="19"/>
      <c r="DP196" s="19"/>
      <c r="DQ196" s="19"/>
      <c r="DR196" s="19"/>
      <c r="DS196" s="19"/>
      <c r="DT196" s="19"/>
      <c r="DU196" s="19"/>
      <c r="DV196" s="19"/>
      <c r="DW196" s="19"/>
      <c r="DX196" s="19"/>
      <c r="DY196" s="19"/>
      <c r="DZ196" s="19"/>
      <c r="EA196" s="19"/>
      <c r="EB196" s="19"/>
      <c r="EC196" s="19"/>
      <c r="ED196" s="19"/>
      <c r="EE196" s="19"/>
      <c r="EF196" s="19"/>
      <c r="EG196" s="19"/>
      <c r="EH196" s="19"/>
      <c r="EI196" s="19"/>
      <c r="EJ196" s="19"/>
      <c r="EK196" s="19"/>
      <c r="EL196" s="19"/>
      <c r="EM196" s="19"/>
      <c r="EN196" s="19"/>
      <c r="EO196" s="19"/>
      <c r="EP196" s="19"/>
      <c r="EQ196" s="19"/>
      <c r="ER196" s="19"/>
      <c r="ES196" s="19"/>
      <c r="ET196" s="19"/>
      <c r="EU196" s="19"/>
      <c r="EV196" s="19"/>
      <c r="EW196" s="19"/>
      <c r="EX196" s="19"/>
      <c r="EY196" s="19"/>
      <c r="EZ196" s="19"/>
      <c r="FA196" s="19"/>
      <c r="FB196" s="19"/>
      <c r="FC196" s="19"/>
      <c r="FD196" s="19"/>
      <c r="FE196" s="19"/>
      <c r="FF196" s="19"/>
      <c r="FG196" s="19"/>
      <c r="FH196" s="19"/>
      <c r="FI196" s="19"/>
    </row>
    <row r="197" spans="1:165" x14ac:dyDescent="0.25">
      <c r="A197" s="32"/>
      <c r="B197" s="49"/>
      <c r="C197" s="49"/>
      <c r="D197" s="32"/>
      <c r="E197" s="66"/>
      <c r="F197" s="66"/>
      <c r="G197" s="49"/>
      <c r="H197" s="29"/>
      <c r="I197" s="29"/>
      <c r="J197" s="29"/>
      <c r="K197" s="29"/>
      <c r="L197" s="29"/>
      <c r="M197" s="29"/>
      <c r="N197" s="29"/>
      <c r="O197" s="29"/>
      <c r="P197" s="29"/>
      <c r="Q197" s="29"/>
      <c r="R197" s="29"/>
      <c r="S197" s="30"/>
      <c r="T197" s="18"/>
      <c r="U197" s="19"/>
      <c r="V197" s="19"/>
      <c r="W197" s="19"/>
      <c r="X197" s="19"/>
      <c r="Y197" s="19"/>
      <c r="Z197" s="19"/>
      <c r="AA197" s="19"/>
      <c r="AB197" s="19"/>
      <c r="AC197" s="19"/>
      <c r="AD197" s="19"/>
      <c r="AE197" s="19"/>
      <c r="AF197" s="143">
        <f t="shared" si="17"/>
        <v>41</v>
      </c>
      <c r="AG197" s="143">
        <f t="shared" si="39"/>
        <v>14.76</v>
      </c>
      <c r="AH197" s="144">
        <f t="shared" si="28"/>
        <v>543.16800000000001</v>
      </c>
      <c r="AI197" s="145">
        <f t="shared" si="29"/>
        <v>0.97826086956521752</v>
      </c>
      <c r="AJ197" s="145">
        <f t="shared" si="30"/>
        <v>14.43913043478261</v>
      </c>
      <c r="AK197" s="145">
        <f t="shared" si="26"/>
        <v>0.39130434782608459</v>
      </c>
      <c r="AL197" s="145">
        <f t="shared" si="27"/>
        <v>14.43957228026686</v>
      </c>
      <c r="AM197" s="146"/>
      <c r="AN197" s="145">
        <f>MAX(0,Table7[[#This Row],[I_L]]-0.5*Table7[[#This Row],[I_L pkpk]])</f>
        <v>14.243478260869567</v>
      </c>
      <c r="AO197" s="145">
        <f>Table7[[#This Row],[I_L]]+0.5*Table7[[#This Row],[I_L pkpk]]</f>
        <v>14.634782608695653</v>
      </c>
      <c r="AP197" s="145">
        <f ca="1">IF(VACnom&gt;Vbat, (VGS_S-(TI_MOSFET_S_VTH_H_BU+Table7[[#This Row],[I_L]]/TI_MOSFET_S_gFS_H_BU))/3.4, (VGS_S-(TI_MOSFET_S_VTH_L_BO+Table7[[#This Row],[I_L]]/TI_MOSFET_S_gFS_L_BO))/3.4 )</f>
        <v>2.9820381664371434</v>
      </c>
      <c r="AQ197" s="145">
        <f ca="1">IF(VACnom&gt;Vbat, ((TI_MOSFET_S_VTH_H_BU+Table7[[#This Row],[I_L]]/TI_MOSFET_S_gFS_H_BU))/1, ((TI_MOSFET_S_VTH_L_BO+Table7[[#This Row],[I_L]]/TI_MOSFET_S_gFS_L_BO))/1 )</f>
        <v>1.8610702341137124</v>
      </c>
      <c r="AR197" s="145">
        <f ca="1">IF(VACnom&gt;Vbat, (TI_MOSFET_S_QGD_H_BU+TI_MOSFET_S_QGS_H_BU)*10^-9/Table7[[#This Row],[Ion (A)]], (TI_MOSFET_S_QGD_L_BO+TI_MOSFET_S_QGS_L_BO)*10^-9/Table7[[#This Row],[Ion (A)]])/10^-9</f>
        <v>9.6578240762120906</v>
      </c>
      <c r="AS197" s="145">
        <f ca="1">IF(VACnom&gt;Vbat, (TI_MOSFET_S_QGD_H_BU+TI_MOSFET_S_QGS_H_BU)*10^-9/Table7[[#This Row],[Ioff (A)]], (TI_MOSFET_S_QGD_L_BO+TI_MOSFET_S_QGS_L_BO)*10^-9/Table7[[#This Row],[Ioff (A)]])/10^-9</f>
        <v>15.474966754124285</v>
      </c>
      <c r="AT197" s="145">
        <f ca="1" xml:space="preserve"> 0.5*VACnom*Table7[[#This Row],[Ivalley (A)]]*Table7[[#This Row],[ton (ns)]]*10^-9*Fsw*10^3+0.5*VACnom*Table7[[#This Row],[Ipeak (A)]]*Table7[[#This Row],[toff (ns)]]*10^-9*Fsw*10^3/10^-3</f>
        <v>833.92603401689655</v>
      </c>
      <c r="AU197" s="145">
        <f t="shared" ca="1" si="31"/>
        <v>268.64000000000004</v>
      </c>
      <c r="AV197" s="145" t="e">
        <f t="shared" si="32"/>
        <v>#VALUE!</v>
      </c>
      <c r="AW197" s="145">
        <f t="shared" ca="1" si="33"/>
        <v>566.72000000000025</v>
      </c>
      <c r="AX197" s="145">
        <f ca="1">IF(VACnom&gt;Vbat, TI_MOSFET_S_VSD_L_BU*Table7[[#This Row],[Ivalley (A)]]*Fsw*10^3*40*10^-9+TI_MOSFET_S_VSD_L_BU*Table7[[#This Row],[Ipeak (A)]]*Fsw*10^3*30*10^-9, TI_MOSFET_S_VSD_H_BO*Table7[[#This Row],[Ivalley (A)]]*Fsw*10^3*40*10^-9+TI_MOSFET_S_VSD_H_BO*Table7[[#This Row],[Ipeak (A)]]*Fsw*10^3*30*10^-9)/10^-3</f>
        <v>145.26469565217397</v>
      </c>
      <c r="AY197" s="145" t="e">
        <f t="shared" si="34"/>
        <v>#VALUE!</v>
      </c>
      <c r="AZ197" s="145" t="e">
        <f>IF(VACnom&lt;Vbat, Table7[[#This Row],[Duty Cycle]]*Table7[[#This Row],[I_L RMS]]^2*TI_MOSFET_S_RDSON_H_BU*10^-3, (1-Table7[[#This Row],[Duty Cycle]])*Table7[[#This Row],[I_L RMS]]^2*TI_MOSFET_S_RDSON_H_BO*10^-3)/10^-3</f>
        <v>#VALUE!</v>
      </c>
      <c r="BA197" s="145" t="e">
        <f ca="1">IF(VACnom&gt;Vbat, Table7[[#This Row],[PIV (mW)]]+Table7[[#This Row],[Pqoss (mW)]]+Table7[[#This Row],[Pgate_top (mW)]], Table7[[#This Row],[PRR (mW)]]+Table7[[#This Row],[Pdead (mW)]]+Table7[[#This Row],[Pgate_top (mW)]])</f>
        <v>#VALUE!</v>
      </c>
      <c r="BB197" s="145" t="e">
        <f ca="1">Table7[[#This Row],[Pcon_top (mW)]]+Table7[[#This Row],[Psw_top (mW)]]</f>
        <v>#VALUE!</v>
      </c>
      <c r="BC197" s="145" t="e">
        <f>IF(VACnom&gt;Vbat, (1-Table7[[#This Row],[Duty Cycle]])*Table7[[#This Row],[I_L RMS]]^2*TI_MOSFET_S_RDSON_L_BU*10^-3, Table7[[#This Row],[Duty Cycle]]*Table7[[#This Row],[I_L RMS]]^2*TI_MOSFET_S_RDSON_L_BO*10^-3)/10^-3</f>
        <v>#VALUE!</v>
      </c>
      <c r="BD197" s="145" t="e">
        <f ca="1">IF(VACnom&gt;Vbat, Table7[[#This Row],[PRR (mW)]]+Table7[[#This Row],[Pdead (mW)]]+Table7[[#This Row],[Pgate_bottom (mW)]], Table7[[#This Row],[PIV (mW)]]+Table7[[#This Row],[Pqoss (mW)]]+Table7[[#This Row],[Pgate_bottom (mW)]])</f>
        <v>#VALUE!</v>
      </c>
      <c r="BE197" s="147" t="e">
        <f ca="1">Table7[[#This Row],[Pcon_bottom (mW)]]+Table7[[#This Row],[Psw_bottom (mW)]]</f>
        <v>#VALUE!</v>
      </c>
      <c r="BF197" s="145" t="e">
        <f ca="1">Table7[[#This Row],[Pbottom (mW)]]+Table7[[#This Row],[Ptop (mW)]]</f>
        <v>#VALUE!</v>
      </c>
      <c r="BG197" s="142"/>
      <c r="BH197" s="145">
        <f>MAX(0,Table7[[#This Row],[I_L]]-0.5*Table7[[#This Row],[I_L pkpk]])</f>
        <v>14.243478260869567</v>
      </c>
      <c r="BI197" s="145">
        <f>Table7[[#This Row],[I_L]]+0.5*Table7[[#This Row],[I_L pkpk]]</f>
        <v>14.634782608695653</v>
      </c>
      <c r="BJ197" s="145">
        <f>IF(VACnom&gt;Vbat, (VGS_S-(C_MOSFET_S_VTH_H_BU+Table7[[#This Row],[I_L]]/C_MOSFET_S_gFS_H_BU))/3.4, (VGS_S-(C_MOSFET_S_VTH_L_BO+Table7[[#This Row],[I_L]]/C_MOSFET_S_gFS_L_BO))/3.4 )</f>
        <v>2.9339778640091718</v>
      </c>
      <c r="BK197" s="145">
        <f>IF(VACnom&gt;Vbat, ((C_MOSFET_S_VTH_H_BU+Table7[[#This Row],[I_L]]/C_MOSFET_S_gFS_H_BU))/1, ((C_MOSFET_S_VTH_L_BO+Table7[[#This Row],[I_L]]/C_MOSFET_S_gFS_L_BO))/1 )</f>
        <v>2.0244752623688154</v>
      </c>
      <c r="BL197" s="145">
        <f>IF(VACnom&gt;Vbat, (C_MOSFET_S_QGD_H_BU+C_MOSFET_S_QGS_H_BU)*10^-9/Table7[[#This Row],[Ion (A) C]], (C_MOSFET_S_QGD_L_BO+C_MOSFET_S_QGS_L_BO)*10^-9/Table7[[#This Row],[Ion (A) C]])/10^-9</f>
        <v>5.2829301100519634</v>
      </c>
      <c r="BM197" s="145">
        <f>IF(VACnom&gt;Vbat, (C_MOSFET_S_QGD_H_BU+C_MOSFET_S_QGS_H_BU)*10^-9/Table7[[#This Row],[Ioff (A) C]], (C_MOSFET_S_QGD_L_BO+C_MOSFET_S_QGS_L_BO)*10^-9/Table7[[#This Row],[Ioff (A) C]])/10^-9</f>
        <v>7.6563049636198706</v>
      </c>
      <c r="BN197" s="145">
        <f xml:space="preserve"> 0.5*VACnom*Table7[[#This Row],[Ivalley (A) C]]*Table7[[#This Row],[ton (ns) C]]*10^-9*Fsw*10^3+0.5*VACnom*Table7[[#This Row],[Ipeak (A) C]]*Table7[[#This Row],[toff (ns) C]]*10^-9*Fsw*10^3/10^-3</f>
        <v>412.61487018536047</v>
      </c>
      <c r="BO197" s="145">
        <f t="shared" si="35"/>
        <v>305.44000000000011</v>
      </c>
      <c r="BP197" s="145">
        <f t="shared" si="36"/>
        <v>357.69600000000014</v>
      </c>
      <c r="BQ197" s="145">
        <f t="shared" si="37"/>
        <v>1067.2000000000003</v>
      </c>
      <c r="BR197" s="145">
        <f>IF(VACnom&gt;Vbat, C_MOSFET_S_VSD_L_BU*Table7[[#This Row],[Ivalley (A) C]]*Fsw*10^3*40*10^-9+C_MOSFET_S_VSD_L_BU*Table7[[#This Row],[Ipeak (A) C]]*Fsw*10^3*30*10^-9, C_MOSFET_S_VSD_H_BO*Table7[[#This Row],[Ivalley (A) C]]*Fsw*10^3*40*10^-9+C_MOSFET_S_VSD_H_BO*Table7[[#This Row],[Ipeak (A) C]]*Fsw*10^3*30*10^-9)/10^-3</f>
        <v>161.40521739130446</v>
      </c>
      <c r="BS197" s="145">
        <f t="shared" si="38"/>
        <v>357.69600000000014</v>
      </c>
      <c r="BT197" s="145">
        <f>IF(VACnom&lt;Vbat, Table7[[#This Row],[Duty Cycle]]*Table7[[#This Row],[I_L RMS]]^2*C_MOSFET_S_RDSON_H_BU*10^-3, (1-Table7[[#This Row],[Duty Cycle]])*Table7[[#This Row],[I_L RMS]]^2*C_MOSFET_S_RDSON_H_BO*10^-3)/10^-3</f>
        <v>11.784853127311516</v>
      </c>
      <c r="BU197" s="145">
        <f>IF(VACnom&gt;Vbat, Table7[[#This Row],[PIV (mW) C]]+Table7[[#This Row],[PQoss (mW) C]]+Table7[[#This Row],[Pgate_top (mW) C]], Table7[[#This Row],[PRR (mW) C]]+Table7[[#This Row],[Pdead (mW) C]]+Table7[[#This Row],[Pgate_top (mW) C]])</f>
        <v>1075.7508701853608</v>
      </c>
      <c r="BV197" s="145">
        <f>Table7[[#This Row],[Pcon_top (mW) C]]+Table7[[#This Row],[Psw_top (mW) C]]</f>
        <v>1087.5357233126722</v>
      </c>
      <c r="BW197" s="145">
        <f>IF(VACnom&gt;Vbat, (1-Table7[[#This Row],[Duty Cycle]])*Table7[[#This Row],[I_L RMS]]^2*C_MOSFET_S_RDSON_L_BU*10^-3, Table7[[#This Row],[Duty Cycle]]*Table7[[#This Row],[I_L RMS]]^2*C_MOSFET_S_RDSON_L_BO*10^-3)/10^-3</f>
        <v>7.705480890934453</v>
      </c>
      <c r="BX197" s="145">
        <f>IF(VACnom&gt;Vbat, Table7[[#This Row],[PRR (mW) C]]+Table7[[#This Row],[Pdead (mW) C]]+Table7[[#This Row],[Pgate_bottom (mW) C]], Table7[[#This Row],[PIV (mW) C]]+Table7[[#This Row],[PQoss (mW) C]]+Table7[[#This Row],[Pgate_bottom (mW) C]])</f>
        <v>1586.3012173913048</v>
      </c>
      <c r="BY197" s="145">
        <f>Table7[[#This Row],[Pcon_bottom (mW) C]]+Table7[[#This Row],[Psw_bottom (mV) C]]</f>
        <v>1594.0066982822393</v>
      </c>
      <c r="BZ197" s="145">
        <f>Table7[[#This Row],[Pbottom (mW) C]]+Table7[[#This Row],[Ptop (mW) C]]</f>
        <v>2681.5424215949115</v>
      </c>
      <c r="CA197" s="148"/>
      <c r="CB197" s="144">
        <f>(RAC_SNS*10^-3*(Table7[[#This Row],[IOUT (A)]]*Vbat/VACnom)^2/10^-3)</f>
        <v>416.97697542533092</v>
      </c>
      <c r="CC197" s="144">
        <f>(RBAT_SNS*10^-3*Table7[[#This Row],[IOUT (A)]]^2)/10^-3</f>
        <v>1089.288</v>
      </c>
      <c r="CD197" s="144">
        <f>IF(VACnom&gt;Vbat,(L_DRC*10^-3*(Table7[[#This Row],[IOUT (A)]])^2/10^-3),(L_DRC*10^-3*(Table7[[#This Row],[IOUT (A)]]*Vbat/VACnom)^2/10^-3))</f>
        <v>1089.288</v>
      </c>
      <c r="CE197" s="152"/>
      <c r="CF197" s="145">
        <f>(Table7[[#This Row],[R_AC (mW)]]+Table7[[#This Row],[R_SR (mW)]]+Table7[[#This Row],[Inductor Loss (mW)]])/10^3</f>
        <v>2.5955529754253313</v>
      </c>
      <c r="CG197" s="145" t="e">
        <f ca="1">Table7[[#This Row],[Total TI (mW)]]/10^3</f>
        <v>#VALUE!</v>
      </c>
      <c r="CH197" s="145" t="e">
        <f ca="1">Table7[[#This Row],[Total Sense Loss]]+Table7[[#This Row],[Total MOSFET Loss]]</f>
        <v>#VALUE!</v>
      </c>
      <c r="CI197" s="149" t="e">
        <f ca="1">IF(Table7[[#This Row],[POUT (W)]]=0,0,(Table7[[#This Row],[POUT (W)]])/(Table7[[#This Row],[POUT (W)]]+Table7[[#This Row],[Total Power Loss (W)]]))*100</f>
        <v>#VALUE!</v>
      </c>
      <c r="CJ197" s="153"/>
      <c r="CK197" s="145">
        <f>(Table7[[#This Row],[R_AC (mW)]]+Table7[[#This Row],[R_SR (mW)]]+Table7[[#This Row],[Inductor Loss (mW)]])/10^3</f>
        <v>2.5955529754253313</v>
      </c>
      <c r="CL197" s="145">
        <f>Table7[[#This Row],[Total (mW) C]]/10^3</f>
        <v>2.6815424215949113</v>
      </c>
      <c r="CM197" s="145">
        <f>Table7[[#This Row],[Total Sense Loss C]]+Table7[[#This Row],[Total MOSFET Loss C]]</f>
        <v>5.2770953970202426</v>
      </c>
      <c r="CN197" s="149">
        <f>IF(Table7[[#This Row],[POUT (W)]]=0,0,(Table7[[#This Row],[POUT (W)]])/(Table7[[#This Row],[POUT (W)]]+Table7[[#This Row],[Total Power Loss (W) C]]))*100</f>
        <v>99.037807897032934</v>
      </c>
      <c r="CO197" s="153"/>
      <c r="CP197" s="149">
        <f>IF(MOSFET_S=Custom_MOSFET,Table7[[#This Row],[Total Sense Loss C]],Table7[[#This Row],[Total Sense Loss]])</f>
        <v>2.5955529754253313</v>
      </c>
      <c r="CQ197" s="149">
        <f>IF(MOSFET_S=Custom_MOSFET,Table7[[#This Row],[Total MOSFET Loss C]],Table7[[#This Row],[Total MOSFET Loss]])</f>
        <v>2.6815424215949113</v>
      </c>
      <c r="CR197" s="149">
        <f>IF(MOSFET_S=Custom_MOSFET,Table7[[#This Row],[Efficiency C]],Table7[[#This Row],[Efficiency]])</f>
        <v>99.037807897032934</v>
      </c>
      <c r="CS197" s="153"/>
      <c r="CT197" s="149">
        <f>IF(MOSFET_S=Compare_MOSFET, Table7[[#This Row],[Total Sense Loss C]], -100)</f>
        <v>-100</v>
      </c>
      <c r="CU197" s="149">
        <f>IF(MOSFET_S=Compare_MOSFET, Table7[[#This Row],[Total MOSFET Loss C]], -100)</f>
        <v>-100</v>
      </c>
      <c r="CV197" s="149">
        <f>IF(MOSFET_S=Compare_MOSFET, Table7[[#This Row],[Efficiency C]], -100)</f>
        <v>-100</v>
      </c>
      <c r="CW197" s="153"/>
      <c r="CX197" s="149">
        <f ca="1">IF(Save_Sel=CLR_Save,  Table7[[#This Row],[Total Sense Loss P1]], Table7[[#This Row],[Total Sense Loss P1 Saved]])</f>
        <v>2.5955529754253313</v>
      </c>
      <c r="CY197" s="149">
        <f ca="1">IF(Save_Sel=CLR_Save,  Table7[[#This Row],[Total MOSFET Loss P1]], Table7[[#This Row],[Total MOSFET Loss P1 Saved]] )</f>
        <v>2.6815424215949113</v>
      </c>
      <c r="CZ197" s="149">
        <f ca="1">IF(Save_Sel=CLR_Save, Table7[[#This Row],[Efficiency P1]], Table7[[#This Row],[Efficiency P1 Saved]])</f>
        <v>99.037807897032934</v>
      </c>
      <c r="DA197" s="153"/>
      <c r="DB197" s="149">
        <f ca="1">IF(Save_Sel=CLR_Save,  Table7[[#This Row],[Total Sense Loss P2]], Table7[[#This Row],[Total Sense Loss P2 Saved]])</f>
        <v>-100</v>
      </c>
      <c r="DC197" s="149">
        <f ca="1">IF(Save_Sel=CLR_Save,  Table7[[#This Row],[Total MOSFET Loss P2]], Table7[[#This Row],[Total MOSFET Loss P2 Saved]] )</f>
        <v>-100</v>
      </c>
      <c r="DD197" s="149">
        <f ca="1">IF(Save_Sel=CLR_Save, Table7[[#This Row],[Efficiency P2]], Table7[[#This Row],[Efficiency P2 Saved]])</f>
        <v>-100</v>
      </c>
      <c r="DE197" s="153"/>
      <c r="DF197" s="19"/>
      <c r="DG197" s="19"/>
      <c r="DH197" s="19"/>
      <c r="DI197" s="19"/>
      <c r="DJ197" s="19"/>
      <c r="DK197" s="19"/>
      <c r="DL197" s="19"/>
      <c r="DM197" s="19"/>
      <c r="DN197" s="19"/>
      <c r="DO197" s="19"/>
      <c r="DP197" s="19"/>
      <c r="DQ197" s="19"/>
      <c r="DR197" s="19"/>
      <c r="DS197" s="19"/>
      <c r="DT197" s="19"/>
      <c r="DU197" s="19"/>
      <c r="DV197" s="19"/>
      <c r="DW197" s="19"/>
      <c r="DX197" s="19"/>
      <c r="DY197" s="19"/>
      <c r="DZ197" s="19"/>
      <c r="EA197" s="19"/>
      <c r="EB197" s="19"/>
      <c r="EC197" s="19"/>
      <c r="ED197" s="19"/>
      <c r="EE197" s="19"/>
      <c r="EF197" s="19"/>
      <c r="EG197" s="19"/>
      <c r="EH197" s="19"/>
      <c r="EI197" s="19"/>
      <c r="EJ197" s="19"/>
      <c r="EK197" s="19"/>
      <c r="EL197" s="19"/>
      <c r="EM197" s="19"/>
      <c r="EN197" s="19"/>
      <c r="EO197" s="19"/>
      <c r="EP197" s="19"/>
      <c r="EQ197" s="19"/>
      <c r="ER197" s="19"/>
      <c r="ES197" s="19"/>
      <c r="ET197" s="19"/>
      <c r="EU197" s="19"/>
      <c r="EV197" s="19"/>
      <c r="EW197" s="19"/>
      <c r="EX197" s="19"/>
      <c r="EY197" s="19"/>
      <c r="EZ197" s="19"/>
      <c r="FA197" s="19"/>
      <c r="FB197" s="19"/>
      <c r="FC197" s="19"/>
      <c r="FD197" s="19"/>
      <c r="FE197" s="19"/>
      <c r="FF197" s="19"/>
      <c r="FG197" s="19"/>
      <c r="FH197" s="19"/>
      <c r="FI197" s="19"/>
    </row>
    <row r="198" spans="1:165" x14ac:dyDescent="0.25">
      <c r="A198" s="32"/>
      <c r="B198" s="49"/>
      <c r="C198" s="49"/>
      <c r="D198" s="32"/>
      <c r="E198" s="66"/>
      <c r="F198" s="66"/>
      <c r="G198" s="49"/>
      <c r="H198" s="29"/>
      <c r="I198" s="29"/>
      <c r="J198" s="29"/>
      <c r="K198" s="29"/>
      <c r="L198" s="29"/>
      <c r="M198" s="29"/>
      <c r="N198" s="29"/>
      <c r="O198" s="29"/>
      <c r="P198" s="29"/>
      <c r="Q198" s="29"/>
      <c r="R198" s="29"/>
      <c r="S198" s="30"/>
      <c r="T198" s="18"/>
      <c r="U198" s="19"/>
      <c r="V198" s="19"/>
      <c r="W198" s="19"/>
      <c r="X198" s="19"/>
      <c r="Y198" s="19"/>
      <c r="Z198" s="19"/>
      <c r="AA198" s="19"/>
      <c r="AB198" s="19"/>
      <c r="AC198" s="19"/>
      <c r="AD198" s="19"/>
      <c r="AE198" s="19"/>
      <c r="AF198" s="143">
        <f t="shared" si="17"/>
        <v>42</v>
      </c>
      <c r="AG198" s="143">
        <f t="shared" si="39"/>
        <v>15.12</v>
      </c>
      <c r="AH198" s="144">
        <f t="shared" si="28"/>
        <v>556.41599999999994</v>
      </c>
      <c r="AI198" s="145">
        <f t="shared" si="29"/>
        <v>0.97826086956521752</v>
      </c>
      <c r="AJ198" s="145">
        <f t="shared" si="30"/>
        <v>14.791304347826088</v>
      </c>
      <c r="AK198" s="145">
        <f t="shared" si="26"/>
        <v>0.39130434782608459</v>
      </c>
      <c r="AL198" s="145">
        <f t="shared" si="27"/>
        <v>14.791735673490267</v>
      </c>
      <c r="AM198" s="146"/>
      <c r="AN198" s="145">
        <f>MAX(0,Table7[[#This Row],[I_L]]-0.5*Table7[[#This Row],[I_L pkpk]])</f>
        <v>14.595652173913045</v>
      </c>
      <c r="AO198" s="145">
        <f>Table7[[#This Row],[I_L]]+0.5*Table7[[#This Row],[I_L pkpk]]</f>
        <v>14.986956521739131</v>
      </c>
      <c r="AP198" s="145">
        <f ca="1">IF(VACnom&gt;Vbat, (VGS_S-(TI_MOSFET_S_VTH_H_BU+Table7[[#This Row],[I_L]]/TI_MOSFET_S_gFS_H_BU))/3.4, (VGS_S-(TI_MOSFET_S_VTH_L_BO+Table7[[#This Row],[I_L]]/TI_MOSFET_S_gFS_L_BO))/3.4 )</f>
        <v>2.9812413928782213</v>
      </c>
      <c r="AQ198" s="145">
        <f ca="1">IF(VACnom&gt;Vbat, ((TI_MOSFET_S_VTH_H_BU+Table7[[#This Row],[I_L]]/TI_MOSFET_S_gFS_H_BU))/1, ((TI_MOSFET_S_VTH_L_BO+Table7[[#This Row],[I_L]]/TI_MOSFET_S_gFS_L_BO))/1 )</f>
        <v>1.8637792642140467</v>
      </c>
      <c r="AR198" s="145">
        <f ca="1">IF(VACnom&gt;Vbat, (TI_MOSFET_S_QGD_H_BU+TI_MOSFET_S_QGS_H_BU)*10^-9/Table7[[#This Row],[Ion (A)]], (TI_MOSFET_S_QGD_L_BO+TI_MOSFET_S_QGS_L_BO)*10^-9/Table7[[#This Row],[Ion (A)]])/10^-9</f>
        <v>9.6604052489004317</v>
      </c>
      <c r="AS198" s="145">
        <f ca="1">IF(VACnom&gt;Vbat, (TI_MOSFET_S_QGD_H_BU+TI_MOSFET_S_QGS_H_BU)*10^-9/Table7[[#This Row],[Ioff (A)]], (TI_MOSFET_S_QGD_L_BO+TI_MOSFET_S_QGS_L_BO)*10^-9/Table7[[#This Row],[Ioff (A)]])/10^-9</f>
        <v>15.452473666265904</v>
      </c>
      <c r="AT198" s="145">
        <f ca="1" xml:space="preserve"> 0.5*VACnom*Table7[[#This Row],[Ivalley (A)]]*Table7[[#This Row],[ton (ns)]]*10^-9*Fsw*10^3+0.5*VACnom*Table7[[#This Row],[Ipeak (A)]]*Table7[[#This Row],[toff (ns)]]*10^-9*Fsw*10^3/10^-3</f>
        <v>852.75370732862632</v>
      </c>
      <c r="AU198" s="145">
        <f t="shared" ca="1" si="31"/>
        <v>268.64000000000004</v>
      </c>
      <c r="AV198" s="145" t="e">
        <f t="shared" si="32"/>
        <v>#VALUE!</v>
      </c>
      <c r="AW198" s="145">
        <f t="shared" ca="1" si="33"/>
        <v>566.72000000000025</v>
      </c>
      <c r="AX198" s="145">
        <f ca="1">IF(VACnom&gt;Vbat, TI_MOSFET_S_VSD_L_BU*Table7[[#This Row],[Ivalley (A)]]*Fsw*10^3*40*10^-9+TI_MOSFET_S_VSD_L_BU*Table7[[#This Row],[Ipeak (A)]]*Fsw*10^3*30*10^-9, TI_MOSFET_S_VSD_H_BO*Table7[[#This Row],[Ivalley (A)]]*Fsw*10^3*40*10^-9+TI_MOSFET_S_VSD_H_BO*Table7[[#This Row],[Ipeak (A)]]*Fsw*10^3*30*10^-9)/10^-3</f>
        <v>148.81460869565223</v>
      </c>
      <c r="AY198" s="145" t="e">
        <f t="shared" si="34"/>
        <v>#VALUE!</v>
      </c>
      <c r="AZ198" s="145" t="e">
        <f>IF(VACnom&lt;Vbat, Table7[[#This Row],[Duty Cycle]]*Table7[[#This Row],[I_L RMS]]^2*TI_MOSFET_S_RDSON_H_BU*10^-3, (1-Table7[[#This Row],[Duty Cycle]])*Table7[[#This Row],[I_L RMS]]^2*TI_MOSFET_S_RDSON_H_BO*10^-3)/10^-3</f>
        <v>#VALUE!</v>
      </c>
      <c r="BA198" s="145" t="e">
        <f ca="1">IF(VACnom&gt;Vbat, Table7[[#This Row],[PIV (mW)]]+Table7[[#This Row],[Pqoss (mW)]]+Table7[[#This Row],[Pgate_top (mW)]], Table7[[#This Row],[PRR (mW)]]+Table7[[#This Row],[Pdead (mW)]]+Table7[[#This Row],[Pgate_top (mW)]])</f>
        <v>#VALUE!</v>
      </c>
      <c r="BB198" s="145" t="e">
        <f ca="1">Table7[[#This Row],[Pcon_top (mW)]]+Table7[[#This Row],[Psw_top (mW)]]</f>
        <v>#VALUE!</v>
      </c>
      <c r="BC198" s="145" t="e">
        <f>IF(VACnom&gt;Vbat, (1-Table7[[#This Row],[Duty Cycle]])*Table7[[#This Row],[I_L RMS]]^2*TI_MOSFET_S_RDSON_L_BU*10^-3, Table7[[#This Row],[Duty Cycle]]*Table7[[#This Row],[I_L RMS]]^2*TI_MOSFET_S_RDSON_L_BO*10^-3)/10^-3</f>
        <v>#VALUE!</v>
      </c>
      <c r="BD198" s="145" t="e">
        <f ca="1">IF(VACnom&gt;Vbat, Table7[[#This Row],[PRR (mW)]]+Table7[[#This Row],[Pdead (mW)]]+Table7[[#This Row],[Pgate_bottom (mW)]], Table7[[#This Row],[PIV (mW)]]+Table7[[#This Row],[Pqoss (mW)]]+Table7[[#This Row],[Pgate_bottom (mW)]])</f>
        <v>#VALUE!</v>
      </c>
      <c r="BE198" s="147" t="e">
        <f ca="1">Table7[[#This Row],[Pcon_bottom (mW)]]+Table7[[#This Row],[Psw_bottom (mW)]]</f>
        <v>#VALUE!</v>
      </c>
      <c r="BF198" s="145" t="e">
        <f ca="1">Table7[[#This Row],[Pbottom (mW)]]+Table7[[#This Row],[Ptop (mW)]]</f>
        <v>#VALUE!</v>
      </c>
      <c r="BG198" s="142"/>
      <c r="BH198" s="145">
        <f>MAX(0,Table7[[#This Row],[I_L]]-0.5*Table7[[#This Row],[I_L pkpk]])</f>
        <v>14.595652173913045</v>
      </c>
      <c r="BI198" s="145">
        <f>Table7[[#This Row],[I_L]]+0.5*Table7[[#This Row],[I_L pkpk]]</f>
        <v>14.986956521739131</v>
      </c>
      <c r="BJ198" s="145">
        <f>IF(VACnom&gt;Vbat, (VGS_S-(C_MOSFET_S_VTH_H_BU+Table7[[#This Row],[I_L]]/C_MOSFET_S_gFS_H_BU))/3.4, (VGS_S-(C_MOSFET_S_VTH_L_BO+Table7[[#This Row],[I_L]]/C_MOSFET_S_gFS_L_BO))/3.4 )</f>
        <v>2.9330849281241735</v>
      </c>
      <c r="BK198" s="145">
        <f>IF(VACnom&gt;Vbat, ((C_MOSFET_S_VTH_H_BU+Table7[[#This Row],[I_L]]/C_MOSFET_S_gFS_H_BU))/1, ((C_MOSFET_S_VTH_L_BO+Table7[[#This Row],[I_L]]/C_MOSFET_S_gFS_L_BO))/1 )</f>
        <v>2.0275112443778109</v>
      </c>
      <c r="BL198" s="145">
        <f>IF(VACnom&gt;Vbat, (C_MOSFET_S_QGD_H_BU+C_MOSFET_S_QGS_H_BU)*10^-9/Table7[[#This Row],[Ion (A) C]], (C_MOSFET_S_QGD_L_BO+C_MOSFET_S_QGS_L_BO)*10^-9/Table7[[#This Row],[Ion (A) C]])/10^-9</f>
        <v>5.2845384227973504</v>
      </c>
      <c r="BM198" s="145">
        <f>IF(VACnom&gt;Vbat, (C_MOSFET_S_QGD_H_BU+C_MOSFET_S_QGS_H_BU)*10^-9/Table7[[#This Row],[Ioff (A) C]], (C_MOSFET_S_QGD_L_BO+C_MOSFET_S_QGS_L_BO)*10^-9/Table7[[#This Row],[Ioff (A) C]])/10^-9</f>
        <v>7.6448404628979185</v>
      </c>
      <c r="BN198" s="145">
        <f xml:space="preserve"> 0.5*VACnom*Table7[[#This Row],[Ivalley (A) C]]*Table7[[#This Row],[ton (ns) C]]*10^-9*Fsw*10^3+0.5*VACnom*Table7[[#This Row],[Ipeak (A) C]]*Table7[[#This Row],[toff (ns) C]]*10^-9*Fsw*10^3/10^-3</f>
        <v>421.91208433751143</v>
      </c>
      <c r="BO198" s="145">
        <f t="shared" si="35"/>
        <v>305.44000000000011</v>
      </c>
      <c r="BP198" s="145">
        <f t="shared" si="36"/>
        <v>357.69600000000014</v>
      </c>
      <c r="BQ198" s="145">
        <f t="shared" si="37"/>
        <v>1067.2000000000003</v>
      </c>
      <c r="BR198" s="145">
        <f>IF(VACnom&gt;Vbat, C_MOSFET_S_VSD_L_BU*Table7[[#This Row],[Ivalley (A) C]]*Fsw*10^3*40*10^-9+C_MOSFET_S_VSD_L_BU*Table7[[#This Row],[Ipeak (A) C]]*Fsw*10^3*30*10^-9, C_MOSFET_S_VSD_H_BO*Table7[[#This Row],[Ivalley (A) C]]*Fsw*10^3*40*10^-9+C_MOSFET_S_VSD_H_BO*Table7[[#This Row],[Ipeak (A) C]]*Fsw*10^3*30*10^-9)/10^-3</f>
        <v>165.34956521739136</v>
      </c>
      <c r="BS198" s="145">
        <f t="shared" si="38"/>
        <v>357.69600000000014</v>
      </c>
      <c r="BT198" s="145">
        <f>IF(VACnom&lt;Vbat, Table7[[#This Row],[Duty Cycle]]*Table7[[#This Row],[I_L RMS]]^2*C_MOSFET_S_RDSON_H_BU*10^-3, (1-Table7[[#This Row],[Duty Cycle]])*Table7[[#This Row],[I_L RMS]]^2*C_MOSFET_S_RDSON_H_BO*10^-3)/10^-3</f>
        <v>12.366699021944534</v>
      </c>
      <c r="BU198" s="145">
        <f>IF(VACnom&gt;Vbat, Table7[[#This Row],[PIV (mW) C]]+Table7[[#This Row],[PQoss (mW) C]]+Table7[[#This Row],[Pgate_top (mW) C]], Table7[[#This Row],[PRR (mW) C]]+Table7[[#This Row],[Pdead (mW) C]]+Table7[[#This Row],[Pgate_top (mW) C]])</f>
        <v>1085.0480843375117</v>
      </c>
      <c r="BV198" s="145">
        <f>Table7[[#This Row],[Pcon_top (mW) C]]+Table7[[#This Row],[Psw_top (mW) C]]</f>
        <v>1097.4147833594561</v>
      </c>
      <c r="BW198" s="145">
        <f>IF(VACnom&gt;Vbat, (1-Table7[[#This Row],[Duty Cycle]])*Table7[[#This Row],[I_L RMS]]^2*C_MOSFET_S_RDSON_L_BU*10^-3, Table7[[#This Row],[Duty Cycle]]*Table7[[#This Row],[I_L RMS]]^2*C_MOSFET_S_RDSON_L_BO*10^-3)/10^-3</f>
        <v>8.085918591271426</v>
      </c>
      <c r="BX198" s="145">
        <f>IF(VACnom&gt;Vbat, Table7[[#This Row],[PRR (mW) C]]+Table7[[#This Row],[Pdead (mW) C]]+Table7[[#This Row],[Pgate_bottom (mW) C]], Table7[[#This Row],[PIV (mW) C]]+Table7[[#This Row],[PQoss (mW) C]]+Table7[[#This Row],[Pgate_bottom (mW) C]])</f>
        <v>1590.2455652173917</v>
      </c>
      <c r="BY198" s="145">
        <f>Table7[[#This Row],[Pcon_bottom (mW) C]]+Table7[[#This Row],[Psw_bottom (mV) C]]</f>
        <v>1598.3314838086631</v>
      </c>
      <c r="BZ198" s="145">
        <f>Table7[[#This Row],[Pbottom (mW) C]]+Table7[[#This Row],[Ptop (mW) C]]</f>
        <v>2695.7462671681192</v>
      </c>
      <c r="CA198" s="148"/>
      <c r="CB198" s="144">
        <f>(RAC_SNS*10^-3*(Table7[[#This Row],[IOUT (A)]]*Vbat/VACnom)^2/10^-3)</f>
        <v>437.56536862003776</v>
      </c>
      <c r="CC198" s="144">
        <f>(RBAT_SNS*10^-3*Table7[[#This Row],[IOUT (A)]]^2)/10^-3</f>
        <v>1143.0719999999999</v>
      </c>
      <c r="CD198" s="144">
        <f>IF(VACnom&gt;Vbat,(L_DRC*10^-3*(Table7[[#This Row],[IOUT (A)]])^2/10^-3),(L_DRC*10^-3*(Table7[[#This Row],[IOUT (A)]]*Vbat/VACnom)^2/10^-3))</f>
        <v>1143.0719999999999</v>
      </c>
      <c r="CE198" s="152"/>
      <c r="CF198" s="145">
        <f>(Table7[[#This Row],[R_AC (mW)]]+Table7[[#This Row],[R_SR (mW)]]+Table7[[#This Row],[Inductor Loss (mW)]])/10^3</f>
        <v>2.723709368620038</v>
      </c>
      <c r="CG198" s="145" t="e">
        <f ca="1">Table7[[#This Row],[Total TI (mW)]]/10^3</f>
        <v>#VALUE!</v>
      </c>
      <c r="CH198" s="145" t="e">
        <f ca="1">Table7[[#This Row],[Total Sense Loss]]+Table7[[#This Row],[Total MOSFET Loss]]</f>
        <v>#VALUE!</v>
      </c>
      <c r="CI198" s="149" t="e">
        <f ca="1">IF(Table7[[#This Row],[POUT (W)]]=0,0,(Table7[[#This Row],[POUT (W)]])/(Table7[[#This Row],[POUT (W)]]+Table7[[#This Row],[Total Power Loss (W)]]))*100</f>
        <v>#VALUE!</v>
      </c>
      <c r="CJ198" s="153"/>
      <c r="CK198" s="145">
        <f>(Table7[[#This Row],[R_AC (mW)]]+Table7[[#This Row],[R_SR (mW)]]+Table7[[#This Row],[Inductor Loss (mW)]])/10^3</f>
        <v>2.723709368620038</v>
      </c>
      <c r="CL198" s="145">
        <f>Table7[[#This Row],[Total (mW) C]]/10^3</f>
        <v>2.6957462671681194</v>
      </c>
      <c r="CM198" s="145">
        <f>Table7[[#This Row],[Total Sense Loss C]]+Table7[[#This Row],[Total MOSFET Loss C]]</f>
        <v>5.4194556357881574</v>
      </c>
      <c r="CN198" s="149">
        <f>IF(Table7[[#This Row],[POUT (W)]]=0,0,(Table7[[#This Row],[POUT (W)]])/(Table7[[#This Row],[POUT (W)]]+Table7[[#This Row],[Total Power Loss (W) C]]))*100</f>
        <v>99.035401632021362</v>
      </c>
      <c r="CO198" s="153"/>
      <c r="CP198" s="149">
        <f>IF(MOSFET_S=Custom_MOSFET,Table7[[#This Row],[Total Sense Loss C]],Table7[[#This Row],[Total Sense Loss]])</f>
        <v>2.723709368620038</v>
      </c>
      <c r="CQ198" s="149">
        <f>IF(MOSFET_S=Custom_MOSFET,Table7[[#This Row],[Total MOSFET Loss C]],Table7[[#This Row],[Total MOSFET Loss]])</f>
        <v>2.6957462671681194</v>
      </c>
      <c r="CR198" s="149">
        <f>IF(MOSFET_S=Custom_MOSFET,Table7[[#This Row],[Efficiency C]],Table7[[#This Row],[Efficiency]])</f>
        <v>99.035401632021362</v>
      </c>
      <c r="CS198" s="153"/>
      <c r="CT198" s="149">
        <f>IF(MOSFET_S=Compare_MOSFET, Table7[[#This Row],[Total Sense Loss C]], -100)</f>
        <v>-100</v>
      </c>
      <c r="CU198" s="149">
        <f>IF(MOSFET_S=Compare_MOSFET, Table7[[#This Row],[Total MOSFET Loss C]], -100)</f>
        <v>-100</v>
      </c>
      <c r="CV198" s="149">
        <f>IF(MOSFET_S=Compare_MOSFET, Table7[[#This Row],[Efficiency C]], -100)</f>
        <v>-100</v>
      </c>
      <c r="CW198" s="153"/>
      <c r="CX198" s="149">
        <f ca="1">IF(Save_Sel=CLR_Save,  Table7[[#This Row],[Total Sense Loss P1]], Table7[[#This Row],[Total Sense Loss P1 Saved]])</f>
        <v>2.723709368620038</v>
      </c>
      <c r="CY198" s="149">
        <f ca="1">IF(Save_Sel=CLR_Save,  Table7[[#This Row],[Total MOSFET Loss P1]], Table7[[#This Row],[Total MOSFET Loss P1 Saved]] )</f>
        <v>2.6957462671681194</v>
      </c>
      <c r="CZ198" s="149">
        <f ca="1">IF(Save_Sel=CLR_Save, Table7[[#This Row],[Efficiency P1]], Table7[[#This Row],[Efficiency P1 Saved]])</f>
        <v>99.035401632021362</v>
      </c>
      <c r="DA198" s="153"/>
      <c r="DB198" s="149">
        <f ca="1">IF(Save_Sel=CLR_Save,  Table7[[#This Row],[Total Sense Loss P2]], Table7[[#This Row],[Total Sense Loss P2 Saved]])</f>
        <v>-100</v>
      </c>
      <c r="DC198" s="149">
        <f ca="1">IF(Save_Sel=CLR_Save,  Table7[[#This Row],[Total MOSFET Loss P2]], Table7[[#This Row],[Total MOSFET Loss P2 Saved]] )</f>
        <v>-100</v>
      </c>
      <c r="DD198" s="149">
        <f ca="1">IF(Save_Sel=CLR_Save, Table7[[#This Row],[Efficiency P2]], Table7[[#This Row],[Efficiency P2 Saved]])</f>
        <v>-100</v>
      </c>
      <c r="DE198" s="153"/>
      <c r="DF198" s="19"/>
      <c r="DG198" s="19"/>
      <c r="DH198" s="19"/>
      <c r="DI198" s="19"/>
      <c r="DJ198" s="19"/>
      <c r="DK198" s="19"/>
      <c r="DL198" s="19"/>
      <c r="DM198" s="19"/>
      <c r="DN198" s="19"/>
      <c r="DO198" s="19"/>
      <c r="DP198" s="19"/>
      <c r="DQ198" s="19"/>
      <c r="DR198" s="19"/>
      <c r="DS198" s="19"/>
      <c r="DT198" s="19"/>
      <c r="DU198" s="19"/>
      <c r="DV198" s="19"/>
      <c r="DW198" s="19"/>
      <c r="DX198" s="19"/>
      <c r="DY198" s="19"/>
      <c r="DZ198" s="19"/>
      <c r="EA198" s="19"/>
      <c r="EB198" s="19"/>
      <c r="EC198" s="19"/>
      <c r="ED198" s="19"/>
      <c r="EE198" s="19"/>
      <c r="EF198" s="19"/>
      <c r="EG198" s="19"/>
      <c r="EH198" s="19"/>
      <c r="EI198" s="19"/>
      <c r="EJ198" s="19"/>
      <c r="EK198" s="19"/>
      <c r="EL198" s="19"/>
      <c r="EM198" s="19"/>
      <c r="EN198" s="19"/>
      <c r="EO198" s="19"/>
      <c r="EP198" s="19"/>
      <c r="EQ198" s="19"/>
      <c r="ER198" s="19"/>
      <c r="ES198" s="19"/>
      <c r="ET198" s="19"/>
      <c r="EU198" s="19"/>
      <c r="EV198" s="19"/>
      <c r="EW198" s="19"/>
      <c r="EX198" s="19"/>
      <c r="EY198" s="19"/>
      <c r="EZ198" s="19"/>
      <c r="FA198" s="19"/>
      <c r="FB198" s="19"/>
      <c r="FC198" s="19"/>
      <c r="FD198" s="19"/>
      <c r="FE198" s="19"/>
      <c r="FF198" s="19"/>
      <c r="FG198" s="19"/>
      <c r="FH198" s="19"/>
      <c r="FI198" s="19"/>
    </row>
    <row r="199" spans="1:165" x14ac:dyDescent="0.25">
      <c r="A199" s="32"/>
      <c r="B199" s="49"/>
      <c r="C199" s="49"/>
      <c r="D199" s="32"/>
      <c r="E199" s="66"/>
      <c r="F199" s="66"/>
      <c r="G199" s="49"/>
      <c r="H199" s="29"/>
      <c r="I199" s="29"/>
      <c r="J199" s="29"/>
      <c r="K199" s="29"/>
      <c r="L199" s="29"/>
      <c r="M199" s="29"/>
      <c r="N199" s="29"/>
      <c r="O199" s="29"/>
      <c r="P199" s="29"/>
      <c r="Q199" s="29"/>
      <c r="R199" s="29"/>
      <c r="S199" s="30"/>
      <c r="T199" s="18"/>
      <c r="U199" s="19"/>
      <c r="V199" s="19"/>
      <c r="W199" s="19"/>
      <c r="X199" s="19"/>
      <c r="Y199" s="19"/>
      <c r="Z199" s="19"/>
      <c r="AA199" s="19"/>
      <c r="AB199" s="19"/>
      <c r="AC199" s="19"/>
      <c r="AD199" s="19"/>
      <c r="AE199" s="19"/>
      <c r="AF199" s="143">
        <f t="shared" si="17"/>
        <v>43</v>
      </c>
      <c r="AG199" s="143">
        <f t="shared" si="39"/>
        <v>15.48</v>
      </c>
      <c r="AH199" s="144">
        <f t="shared" si="28"/>
        <v>569.66399999999999</v>
      </c>
      <c r="AI199" s="145">
        <f t="shared" si="29"/>
        <v>0.97826086956521752</v>
      </c>
      <c r="AJ199" s="145">
        <f t="shared" si="30"/>
        <v>15.143478260869568</v>
      </c>
      <c r="AK199" s="145">
        <f t="shared" si="26"/>
        <v>0.39130434782608459</v>
      </c>
      <c r="AL199" s="145">
        <f t="shared" si="27"/>
        <v>15.143899555986721</v>
      </c>
      <c r="AM199" s="146"/>
      <c r="AN199" s="145">
        <f>MAX(0,Table7[[#This Row],[I_L]]-0.5*Table7[[#This Row],[I_L pkpk]])</f>
        <v>14.947826086956525</v>
      </c>
      <c r="AO199" s="145">
        <f>Table7[[#This Row],[I_L]]+0.5*Table7[[#This Row],[I_L pkpk]]</f>
        <v>15.339130434782611</v>
      </c>
      <c r="AP199" s="145">
        <f ca="1">IF(VACnom&gt;Vbat, (VGS_S-(TI_MOSFET_S_VTH_H_BU+Table7[[#This Row],[I_L]]/TI_MOSFET_S_gFS_H_BU))/3.4, (VGS_S-(TI_MOSFET_S_VTH_L_BO+Table7[[#This Row],[I_L]]/TI_MOSFET_S_gFS_L_BO))/3.4 )</f>
        <v>2.9804446193192997</v>
      </c>
      <c r="AQ199" s="145">
        <f ca="1">IF(VACnom&gt;Vbat, ((TI_MOSFET_S_VTH_H_BU+Table7[[#This Row],[I_L]]/TI_MOSFET_S_gFS_H_BU))/1, ((TI_MOSFET_S_VTH_L_BO+Table7[[#This Row],[I_L]]/TI_MOSFET_S_gFS_L_BO))/1 )</f>
        <v>1.8664882943143812</v>
      </c>
      <c r="AR199" s="145">
        <f ca="1">IF(VACnom&gt;Vbat, (TI_MOSFET_S_QGD_H_BU+TI_MOSFET_S_QGS_H_BU)*10^-9/Table7[[#This Row],[Ion (A)]], (TI_MOSFET_S_QGD_L_BO+TI_MOSFET_S_QGS_L_BO)*10^-9/Table7[[#This Row],[Ion (A)]])/10^-9</f>
        <v>9.6629878016581312</v>
      </c>
      <c r="AS199" s="145">
        <f ca="1">IF(VACnom&gt;Vbat, (TI_MOSFET_S_QGD_H_BU+TI_MOSFET_S_QGS_H_BU)*10^-9/Table7[[#This Row],[Ioff (A)]], (TI_MOSFET_S_QGD_L_BO+TI_MOSFET_S_QGS_L_BO)*10^-9/Table7[[#This Row],[Ioff (A)]])/10^-9</f>
        <v>15.430045871559633</v>
      </c>
      <c r="AT199" s="145">
        <f ca="1" xml:space="preserve"> 0.5*VACnom*Table7[[#This Row],[Ivalley (A)]]*Table7[[#This Row],[ton (ns)]]*10^-9*Fsw*10^3+0.5*VACnom*Table7[[#This Row],[Ipeak (A)]]*Table7[[#This Row],[toff (ns)]]*10^-9*Fsw*10^3/10^-3</f>
        <v>871.52677099079199</v>
      </c>
      <c r="AU199" s="145">
        <f t="shared" ca="1" si="31"/>
        <v>268.64000000000004</v>
      </c>
      <c r="AV199" s="145" t="e">
        <f t="shared" si="32"/>
        <v>#VALUE!</v>
      </c>
      <c r="AW199" s="145">
        <f t="shared" ca="1" si="33"/>
        <v>566.72000000000025</v>
      </c>
      <c r="AX199" s="145">
        <f ca="1">IF(VACnom&gt;Vbat, TI_MOSFET_S_VSD_L_BU*Table7[[#This Row],[Ivalley (A)]]*Fsw*10^3*40*10^-9+TI_MOSFET_S_VSD_L_BU*Table7[[#This Row],[Ipeak (A)]]*Fsw*10^3*30*10^-9, TI_MOSFET_S_VSD_H_BO*Table7[[#This Row],[Ivalley (A)]]*Fsw*10^3*40*10^-9+TI_MOSFET_S_VSD_H_BO*Table7[[#This Row],[Ipeak (A)]]*Fsw*10^3*30*10^-9)/10^-3</f>
        <v>152.36452173913051</v>
      </c>
      <c r="AY199" s="145" t="e">
        <f t="shared" si="34"/>
        <v>#VALUE!</v>
      </c>
      <c r="AZ199" s="145" t="e">
        <f>IF(VACnom&lt;Vbat, Table7[[#This Row],[Duty Cycle]]*Table7[[#This Row],[I_L RMS]]^2*TI_MOSFET_S_RDSON_H_BU*10^-3, (1-Table7[[#This Row],[Duty Cycle]])*Table7[[#This Row],[I_L RMS]]^2*TI_MOSFET_S_RDSON_H_BO*10^-3)/10^-3</f>
        <v>#VALUE!</v>
      </c>
      <c r="BA199" s="145" t="e">
        <f ca="1">IF(VACnom&gt;Vbat, Table7[[#This Row],[PIV (mW)]]+Table7[[#This Row],[Pqoss (mW)]]+Table7[[#This Row],[Pgate_top (mW)]], Table7[[#This Row],[PRR (mW)]]+Table7[[#This Row],[Pdead (mW)]]+Table7[[#This Row],[Pgate_top (mW)]])</f>
        <v>#VALUE!</v>
      </c>
      <c r="BB199" s="145" t="e">
        <f ca="1">Table7[[#This Row],[Pcon_top (mW)]]+Table7[[#This Row],[Psw_top (mW)]]</f>
        <v>#VALUE!</v>
      </c>
      <c r="BC199" s="145" t="e">
        <f>IF(VACnom&gt;Vbat, (1-Table7[[#This Row],[Duty Cycle]])*Table7[[#This Row],[I_L RMS]]^2*TI_MOSFET_S_RDSON_L_BU*10^-3, Table7[[#This Row],[Duty Cycle]]*Table7[[#This Row],[I_L RMS]]^2*TI_MOSFET_S_RDSON_L_BO*10^-3)/10^-3</f>
        <v>#VALUE!</v>
      </c>
      <c r="BD199" s="145" t="e">
        <f ca="1">IF(VACnom&gt;Vbat, Table7[[#This Row],[PRR (mW)]]+Table7[[#This Row],[Pdead (mW)]]+Table7[[#This Row],[Pgate_bottom (mW)]], Table7[[#This Row],[PIV (mW)]]+Table7[[#This Row],[Pqoss (mW)]]+Table7[[#This Row],[Pgate_bottom (mW)]])</f>
        <v>#VALUE!</v>
      </c>
      <c r="BE199" s="147" t="e">
        <f ca="1">Table7[[#This Row],[Pcon_bottom (mW)]]+Table7[[#This Row],[Psw_bottom (mW)]]</f>
        <v>#VALUE!</v>
      </c>
      <c r="BF199" s="145" t="e">
        <f ca="1">Table7[[#This Row],[Pbottom (mW)]]+Table7[[#This Row],[Ptop (mW)]]</f>
        <v>#VALUE!</v>
      </c>
      <c r="BG199" s="142"/>
      <c r="BH199" s="145">
        <f>MAX(0,Table7[[#This Row],[I_L]]-0.5*Table7[[#This Row],[I_L pkpk]])</f>
        <v>14.947826086956525</v>
      </c>
      <c r="BI199" s="145">
        <f>Table7[[#This Row],[I_L]]+0.5*Table7[[#This Row],[I_L pkpk]]</f>
        <v>15.339130434782611</v>
      </c>
      <c r="BJ199" s="145">
        <f>IF(VACnom&gt;Vbat, (VGS_S-(C_MOSFET_S_VTH_H_BU+Table7[[#This Row],[I_L]]/C_MOSFET_S_gFS_H_BU))/3.4, (VGS_S-(C_MOSFET_S_VTH_L_BO+Table7[[#This Row],[I_L]]/C_MOSFET_S_gFS_L_BO))/3.4 )</f>
        <v>2.9321919922391748</v>
      </c>
      <c r="BK199" s="145">
        <f>IF(VACnom&gt;Vbat, ((C_MOSFET_S_VTH_H_BU+Table7[[#This Row],[I_L]]/C_MOSFET_S_gFS_H_BU))/1, ((C_MOSFET_S_VTH_L_BO+Table7[[#This Row],[I_L]]/C_MOSFET_S_gFS_L_BO))/1 )</f>
        <v>2.0305472263868065</v>
      </c>
      <c r="BL199" s="145">
        <f>IF(VACnom&gt;Vbat, (C_MOSFET_S_QGD_H_BU+C_MOSFET_S_QGS_H_BU)*10^-9/Table7[[#This Row],[Ion (A) C]], (C_MOSFET_S_QGD_L_BO+C_MOSFET_S_QGS_L_BO)*10^-9/Table7[[#This Row],[Ion (A) C]])/10^-9</f>
        <v>5.2861477150967149</v>
      </c>
      <c r="BM199" s="145">
        <f>IF(VACnom&gt;Vbat, (C_MOSFET_S_QGD_H_BU+C_MOSFET_S_QGS_H_BU)*10^-9/Table7[[#This Row],[Ioff (A) C]], (C_MOSFET_S_QGD_L_BO+C_MOSFET_S_QGS_L_BO)*10^-9/Table7[[#This Row],[Ioff (A) C]])/10^-9</f>
        <v>7.6334102445777567</v>
      </c>
      <c r="BN199" s="145">
        <f xml:space="preserve"> 0.5*VACnom*Table7[[#This Row],[Ivalley (A) C]]*Table7[[#This Row],[ton (ns) C]]*10^-9*Fsw*10^3+0.5*VACnom*Table7[[#This Row],[Ipeak (A) C]]*Table7[[#This Row],[toff (ns) C]]*10^-9*Fsw*10^3/10^-3</f>
        <v>431.18152189943748</v>
      </c>
      <c r="BO199" s="145">
        <f t="shared" si="35"/>
        <v>305.44000000000011</v>
      </c>
      <c r="BP199" s="145">
        <f t="shared" si="36"/>
        <v>357.69600000000014</v>
      </c>
      <c r="BQ199" s="145">
        <f t="shared" si="37"/>
        <v>1067.2000000000003</v>
      </c>
      <c r="BR199" s="145">
        <f>IF(VACnom&gt;Vbat, C_MOSFET_S_VSD_L_BU*Table7[[#This Row],[Ivalley (A) C]]*Fsw*10^3*40*10^-9+C_MOSFET_S_VSD_L_BU*Table7[[#This Row],[Ipeak (A) C]]*Fsw*10^3*30*10^-9, C_MOSFET_S_VSD_H_BO*Table7[[#This Row],[Ivalley (A) C]]*Fsw*10^3*40*10^-9+C_MOSFET_S_VSD_H_BO*Table7[[#This Row],[Ipeak (A) C]]*Fsw*10^3*30*10^-9)/10^-3</f>
        <v>169.29391304347834</v>
      </c>
      <c r="BS199" s="145">
        <f t="shared" si="38"/>
        <v>357.69600000000014</v>
      </c>
      <c r="BT199" s="145">
        <f>IF(VACnom&lt;Vbat, Table7[[#This Row],[Duty Cycle]]*Table7[[#This Row],[I_L RMS]]^2*C_MOSFET_S_RDSON_H_BU*10^-3, (1-Table7[[#This Row],[Duty Cycle]])*Table7[[#This Row],[I_L RMS]]^2*C_MOSFET_S_RDSON_H_BO*10^-3)/10^-3</f>
        <v>12.962565299580762</v>
      </c>
      <c r="BU199" s="145">
        <f>IF(VACnom&gt;Vbat, Table7[[#This Row],[PIV (mW) C]]+Table7[[#This Row],[PQoss (mW) C]]+Table7[[#This Row],[Pgate_top (mW) C]], Table7[[#This Row],[PRR (mW) C]]+Table7[[#This Row],[Pdead (mW) C]]+Table7[[#This Row],[Pgate_top (mW) C]])</f>
        <v>1094.3175218994377</v>
      </c>
      <c r="BV199" s="145">
        <f>Table7[[#This Row],[Pcon_top (mW) C]]+Table7[[#This Row],[Psw_top (mW) C]]</f>
        <v>1107.2800871990185</v>
      </c>
      <c r="BW199" s="145">
        <f>IF(VACnom&gt;Vbat, (1-Table7[[#This Row],[Duty Cycle]])*Table7[[#This Row],[I_L RMS]]^2*C_MOSFET_S_RDSON_L_BU*10^-3, Table7[[#This Row],[Duty Cycle]]*Table7[[#This Row],[I_L RMS]]^2*C_MOSFET_S_RDSON_L_BO*10^-3)/10^-3</f>
        <v>8.4755234651104967</v>
      </c>
      <c r="BX199" s="145">
        <f>IF(VACnom&gt;Vbat, Table7[[#This Row],[PRR (mW) C]]+Table7[[#This Row],[Pdead (mW) C]]+Table7[[#This Row],[Pgate_bottom (mW) C]], Table7[[#This Row],[PIV (mW) C]]+Table7[[#This Row],[PQoss (mW) C]]+Table7[[#This Row],[Pgate_bottom (mW) C]])</f>
        <v>1594.1899130434788</v>
      </c>
      <c r="BY199" s="145">
        <f>Table7[[#This Row],[Pcon_bottom (mW) C]]+Table7[[#This Row],[Psw_bottom (mV) C]]</f>
        <v>1602.6654365085892</v>
      </c>
      <c r="BZ199" s="145">
        <f>Table7[[#This Row],[Pbottom (mW) C]]+Table7[[#This Row],[Ptop (mW) C]]</f>
        <v>2709.9455237076077</v>
      </c>
      <c r="CA199" s="148"/>
      <c r="CB199" s="144">
        <f>(RAC_SNS*10^-3*(Table7[[#This Row],[IOUT (A)]]*Vbat/VACnom)^2/10^-3)</f>
        <v>458.64986767485829</v>
      </c>
      <c r="CC199" s="144">
        <f>(RBAT_SNS*10^-3*Table7[[#This Row],[IOUT (A)]]^2)/10^-3</f>
        <v>1198.152</v>
      </c>
      <c r="CD199" s="144">
        <f>IF(VACnom&gt;Vbat,(L_DRC*10^-3*(Table7[[#This Row],[IOUT (A)]])^2/10^-3),(L_DRC*10^-3*(Table7[[#This Row],[IOUT (A)]]*Vbat/VACnom)^2/10^-3))</f>
        <v>1198.152</v>
      </c>
      <c r="CE199" s="152"/>
      <c r="CF199" s="145">
        <f>(Table7[[#This Row],[R_AC (mW)]]+Table7[[#This Row],[R_SR (mW)]]+Table7[[#This Row],[Inductor Loss (mW)]])/10^3</f>
        <v>2.8549538676748583</v>
      </c>
      <c r="CG199" s="145" t="e">
        <f ca="1">Table7[[#This Row],[Total TI (mW)]]/10^3</f>
        <v>#VALUE!</v>
      </c>
      <c r="CH199" s="145" t="e">
        <f ca="1">Table7[[#This Row],[Total Sense Loss]]+Table7[[#This Row],[Total MOSFET Loss]]</f>
        <v>#VALUE!</v>
      </c>
      <c r="CI199" s="149" t="e">
        <f ca="1">IF(Table7[[#This Row],[POUT (W)]]=0,0,(Table7[[#This Row],[POUT (W)]])/(Table7[[#This Row],[POUT (W)]]+Table7[[#This Row],[Total Power Loss (W)]]))*100</f>
        <v>#VALUE!</v>
      </c>
      <c r="CJ199" s="153"/>
      <c r="CK199" s="145">
        <f>(Table7[[#This Row],[R_AC (mW)]]+Table7[[#This Row],[R_SR (mW)]]+Table7[[#This Row],[Inductor Loss (mW)]])/10^3</f>
        <v>2.8549538676748583</v>
      </c>
      <c r="CL199" s="145">
        <f>Table7[[#This Row],[Total (mW) C]]/10^3</f>
        <v>2.7099455237076078</v>
      </c>
      <c r="CM199" s="145">
        <f>Table7[[#This Row],[Total Sense Loss C]]+Table7[[#This Row],[Total MOSFET Loss C]]</f>
        <v>5.5648993913824665</v>
      </c>
      <c r="CN199" s="149">
        <f>IF(Table7[[#This Row],[POUT (W)]]=0,0,(Table7[[#This Row],[POUT (W)]])/(Table7[[#This Row],[POUT (W)]]+Table7[[#This Row],[Total Power Loss (W) C]]))*100</f>
        <v>99.032576527836071</v>
      </c>
      <c r="CO199" s="153"/>
      <c r="CP199" s="149">
        <f>IF(MOSFET_S=Custom_MOSFET,Table7[[#This Row],[Total Sense Loss C]],Table7[[#This Row],[Total Sense Loss]])</f>
        <v>2.8549538676748583</v>
      </c>
      <c r="CQ199" s="149">
        <f>IF(MOSFET_S=Custom_MOSFET,Table7[[#This Row],[Total MOSFET Loss C]],Table7[[#This Row],[Total MOSFET Loss]])</f>
        <v>2.7099455237076078</v>
      </c>
      <c r="CR199" s="149">
        <f>IF(MOSFET_S=Custom_MOSFET,Table7[[#This Row],[Efficiency C]],Table7[[#This Row],[Efficiency]])</f>
        <v>99.032576527836071</v>
      </c>
      <c r="CS199" s="153"/>
      <c r="CT199" s="149">
        <f>IF(MOSFET_S=Compare_MOSFET, Table7[[#This Row],[Total Sense Loss C]], -100)</f>
        <v>-100</v>
      </c>
      <c r="CU199" s="149">
        <f>IF(MOSFET_S=Compare_MOSFET, Table7[[#This Row],[Total MOSFET Loss C]], -100)</f>
        <v>-100</v>
      </c>
      <c r="CV199" s="149">
        <f>IF(MOSFET_S=Compare_MOSFET, Table7[[#This Row],[Efficiency C]], -100)</f>
        <v>-100</v>
      </c>
      <c r="CW199" s="153"/>
      <c r="CX199" s="149">
        <f ca="1">IF(Save_Sel=CLR_Save,  Table7[[#This Row],[Total Sense Loss P1]], Table7[[#This Row],[Total Sense Loss P1 Saved]])</f>
        <v>2.8549538676748583</v>
      </c>
      <c r="CY199" s="149">
        <f ca="1">IF(Save_Sel=CLR_Save,  Table7[[#This Row],[Total MOSFET Loss P1]], Table7[[#This Row],[Total MOSFET Loss P1 Saved]] )</f>
        <v>2.7099455237076078</v>
      </c>
      <c r="CZ199" s="149">
        <f ca="1">IF(Save_Sel=CLR_Save, Table7[[#This Row],[Efficiency P1]], Table7[[#This Row],[Efficiency P1 Saved]])</f>
        <v>99.032576527836071</v>
      </c>
      <c r="DA199" s="153"/>
      <c r="DB199" s="149">
        <f ca="1">IF(Save_Sel=CLR_Save,  Table7[[#This Row],[Total Sense Loss P2]], Table7[[#This Row],[Total Sense Loss P2 Saved]])</f>
        <v>-100</v>
      </c>
      <c r="DC199" s="149">
        <f ca="1">IF(Save_Sel=CLR_Save,  Table7[[#This Row],[Total MOSFET Loss P2]], Table7[[#This Row],[Total MOSFET Loss P2 Saved]] )</f>
        <v>-100</v>
      </c>
      <c r="DD199" s="149">
        <f ca="1">IF(Save_Sel=CLR_Save, Table7[[#This Row],[Efficiency P2]], Table7[[#This Row],[Efficiency P2 Saved]])</f>
        <v>-100</v>
      </c>
      <c r="DE199" s="153"/>
      <c r="DF199" s="19"/>
      <c r="DG199" s="19"/>
      <c r="DH199" s="19"/>
      <c r="DI199" s="19"/>
      <c r="DJ199" s="19"/>
      <c r="DK199" s="19"/>
      <c r="DL199" s="19"/>
      <c r="DM199" s="19"/>
      <c r="DN199" s="19"/>
      <c r="DO199" s="19"/>
      <c r="DP199" s="19"/>
      <c r="DQ199" s="19"/>
      <c r="DR199" s="19"/>
      <c r="DS199" s="19"/>
      <c r="DT199" s="19"/>
      <c r="DU199" s="19"/>
      <c r="DV199" s="19"/>
      <c r="DW199" s="19"/>
      <c r="DX199" s="19"/>
      <c r="DY199" s="19"/>
      <c r="DZ199" s="19"/>
      <c r="EA199" s="19"/>
      <c r="EB199" s="19"/>
      <c r="EC199" s="19"/>
      <c r="ED199" s="19"/>
      <c r="EE199" s="19"/>
      <c r="EF199" s="19"/>
      <c r="EG199" s="19"/>
      <c r="EH199" s="19"/>
      <c r="EI199" s="19"/>
      <c r="EJ199" s="19"/>
      <c r="EK199" s="19"/>
      <c r="EL199" s="19"/>
      <c r="EM199" s="19"/>
      <c r="EN199" s="19"/>
      <c r="EO199" s="19"/>
      <c r="EP199" s="19"/>
      <c r="EQ199" s="19"/>
      <c r="ER199" s="19"/>
      <c r="ES199" s="19"/>
      <c r="ET199" s="19"/>
      <c r="EU199" s="19"/>
      <c r="EV199" s="19"/>
      <c r="EW199" s="19"/>
      <c r="EX199" s="19"/>
      <c r="EY199" s="19"/>
      <c r="EZ199" s="19"/>
      <c r="FA199" s="19"/>
      <c r="FB199" s="19"/>
      <c r="FC199" s="19"/>
      <c r="FD199" s="19"/>
      <c r="FE199" s="19"/>
      <c r="FF199" s="19"/>
      <c r="FG199" s="19"/>
      <c r="FH199" s="19"/>
      <c r="FI199" s="19"/>
    </row>
    <row r="200" spans="1:165" x14ac:dyDescent="0.25">
      <c r="A200" s="32"/>
      <c r="B200" s="49"/>
      <c r="C200" s="49"/>
      <c r="D200" s="32"/>
      <c r="E200" s="66"/>
      <c r="F200" s="66"/>
      <c r="G200" s="49"/>
      <c r="H200" s="29"/>
      <c r="I200" s="29"/>
      <c r="J200" s="29"/>
      <c r="K200" s="29"/>
      <c r="L200" s="29"/>
      <c r="M200" s="29"/>
      <c r="N200" s="29"/>
      <c r="O200" s="29"/>
      <c r="P200" s="29"/>
      <c r="Q200" s="29"/>
      <c r="R200" s="29"/>
      <c r="S200" s="30"/>
      <c r="T200" s="18"/>
      <c r="U200" s="19"/>
      <c r="V200" s="19"/>
      <c r="W200" s="19"/>
      <c r="X200" s="19"/>
      <c r="Y200" s="19"/>
      <c r="Z200" s="19"/>
      <c r="AA200" s="19"/>
      <c r="AB200" s="19"/>
      <c r="AC200" s="19"/>
      <c r="AD200" s="19"/>
      <c r="AE200" s="19"/>
      <c r="AF200" s="143">
        <f t="shared" si="17"/>
        <v>44</v>
      </c>
      <c r="AG200" s="143">
        <f t="shared" si="39"/>
        <v>15.84</v>
      </c>
      <c r="AH200" s="144">
        <f t="shared" si="28"/>
        <v>582.91199999999992</v>
      </c>
      <c r="AI200" s="145">
        <f t="shared" si="29"/>
        <v>0.97826086956521752</v>
      </c>
      <c r="AJ200" s="145">
        <f t="shared" si="30"/>
        <v>15.495652173913046</v>
      </c>
      <c r="AK200" s="145">
        <f t="shared" si="26"/>
        <v>0.39130434782608459</v>
      </c>
      <c r="AL200" s="145">
        <f t="shared" si="27"/>
        <v>15.49606389439853</v>
      </c>
      <c r="AM200" s="146"/>
      <c r="AN200" s="145">
        <f>MAX(0,Table7[[#This Row],[I_L]]-0.5*Table7[[#This Row],[I_L pkpk]])</f>
        <v>15.300000000000002</v>
      </c>
      <c r="AO200" s="145">
        <f>Table7[[#This Row],[I_L]]+0.5*Table7[[#This Row],[I_L pkpk]]</f>
        <v>15.691304347826089</v>
      </c>
      <c r="AP200" s="145">
        <f ca="1">IF(VACnom&gt;Vbat, (VGS_S-(TI_MOSFET_S_VTH_H_BU+Table7[[#This Row],[I_L]]/TI_MOSFET_S_gFS_H_BU))/3.4, (VGS_S-(TI_MOSFET_S_VTH_L_BO+Table7[[#This Row],[I_L]]/TI_MOSFET_S_gFS_L_BO))/3.4 )</f>
        <v>2.9796478457603781</v>
      </c>
      <c r="AQ200" s="145">
        <f ca="1">IF(VACnom&gt;Vbat, ((TI_MOSFET_S_VTH_H_BU+Table7[[#This Row],[I_L]]/TI_MOSFET_S_gFS_H_BU))/1, ((TI_MOSFET_S_VTH_L_BO+Table7[[#This Row],[I_L]]/TI_MOSFET_S_gFS_L_BO))/1 )</f>
        <v>1.8691973244147158</v>
      </c>
      <c r="AR200" s="145">
        <f ca="1">IF(VACnom&gt;Vbat, (TI_MOSFET_S_QGD_H_BU+TI_MOSFET_S_QGS_H_BU)*10^-9/Table7[[#This Row],[Ion (A)]], (TI_MOSFET_S_QGD_L_BO+TI_MOSFET_S_QGS_L_BO)*10^-9/Table7[[#This Row],[Ion (A)]])/10^-9</f>
        <v>9.6655717355923016</v>
      </c>
      <c r="AS200" s="145">
        <f ca="1">IF(VACnom&gt;Vbat, (TI_MOSFET_S_QGD_H_BU+TI_MOSFET_S_QGS_H_BU)*10^-9/Table7[[#This Row],[Ioff (A)]], (TI_MOSFET_S_QGD_L_BO+TI_MOSFET_S_QGS_L_BO)*10^-9/Table7[[#This Row],[Ioff (A)]])/10^-9</f>
        <v>15.407683086117126</v>
      </c>
      <c r="AT200" s="145">
        <f ca="1" xml:space="preserve"> 0.5*VACnom*Table7[[#This Row],[Ivalley (A)]]*Table7[[#This Row],[ton (ns)]]*10^-9*Fsw*10^3+0.5*VACnom*Table7[[#This Row],[Ipeak (A)]]*Table7[[#This Row],[toff (ns)]]*10^-9*Fsw*10^3/10^-3</f>
        <v>890.24546247574847</v>
      </c>
      <c r="AU200" s="145">
        <f t="shared" ca="1" si="31"/>
        <v>268.64000000000004</v>
      </c>
      <c r="AV200" s="145" t="e">
        <f t="shared" si="32"/>
        <v>#VALUE!</v>
      </c>
      <c r="AW200" s="145">
        <f t="shared" ca="1" si="33"/>
        <v>566.72000000000025</v>
      </c>
      <c r="AX200" s="145">
        <f ca="1">IF(VACnom&gt;Vbat, TI_MOSFET_S_VSD_L_BU*Table7[[#This Row],[Ivalley (A)]]*Fsw*10^3*40*10^-9+TI_MOSFET_S_VSD_L_BU*Table7[[#This Row],[Ipeak (A)]]*Fsw*10^3*30*10^-9, TI_MOSFET_S_VSD_H_BO*Table7[[#This Row],[Ivalley (A)]]*Fsw*10^3*40*10^-9+TI_MOSFET_S_VSD_H_BO*Table7[[#This Row],[Ipeak (A)]]*Fsw*10^3*30*10^-9)/10^-3</f>
        <v>155.91443478260879</v>
      </c>
      <c r="AY200" s="145" t="e">
        <f t="shared" si="34"/>
        <v>#VALUE!</v>
      </c>
      <c r="AZ200" s="145" t="e">
        <f>IF(VACnom&lt;Vbat, Table7[[#This Row],[Duty Cycle]]*Table7[[#This Row],[I_L RMS]]^2*TI_MOSFET_S_RDSON_H_BU*10^-3, (1-Table7[[#This Row],[Duty Cycle]])*Table7[[#This Row],[I_L RMS]]^2*TI_MOSFET_S_RDSON_H_BO*10^-3)/10^-3</f>
        <v>#VALUE!</v>
      </c>
      <c r="BA200" s="145" t="e">
        <f ca="1">IF(VACnom&gt;Vbat, Table7[[#This Row],[PIV (mW)]]+Table7[[#This Row],[Pqoss (mW)]]+Table7[[#This Row],[Pgate_top (mW)]], Table7[[#This Row],[PRR (mW)]]+Table7[[#This Row],[Pdead (mW)]]+Table7[[#This Row],[Pgate_top (mW)]])</f>
        <v>#VALUE!</v>
      </c>
      <c r="BB200" s="145" t="e">
        <f ca="1">Table7[[#This Row],[Pcon_top (mW)]]+Table7[[#This Row],[Psw_top (mW)]]</f>
        <v>#VALUE!</v>
      </c>
      <c r="BC200" s="145" t="e">
        <f>IF(VACnom&gt;Vbat, (1-Table7[[#This Row],[Duty Cycle]])*Table7[[#This Row],[I_L RMS]]^2*TI_MOSFET_S_RDSON_L_BU*10^-3, Table7[[#This Row],[Duty Cycle]]*Table7[[#This Row],[I_L RMS]]^2*TI_MOSFET_S_RDSON_L_BO*10^-3)/10^-3</f>
        <v>#VALUE!</v>
      </c>
      <c r="BD200" s="145" t="e">
        <f ca="1">IF(VACnom&gt;Vbat, Table7[[#This Row],[PRR (mW)]]+Table7[[#This Row],[Pdead (mW)]]+Table7[[#This Row],[Pgate_bottom (mW)]], Table7[[#This Row],[PIV (mW)]]+Table7[[#This Row],[Pqoss (mW)]]+Table7[[#This Row],[Pgate_bottom (mW)]])</f>
        <v>#VALUE!</v>
      </c>
      <c r="BE200" s="147" t="e">
        <f ca="1">Table7[[#This Row],[Pcon_bottom (mW)]]+Table7[[#This Row],[Psw_bottom (mW)]]</f>
        <v>#VALUE!</v>
      </c>
      <c r="BF200" s="145" t="e">
        <f ca="1">Table7[[#This Row],[Pbottom (mW)]]+Table7[[#This Row],[Ptop (mW)]]</f>
        <v>#VALUE!</v>
      </c>
      <c r="BG200" s="142"/>
      <c r="BH200" s="145">
        <f>MAX(0,Table7[[#This Row],[I_L]]-0.5*Table7[[#This Row],[I_L pkpk]])</f>
        <v>15.300000000000002</v>
      </c>
      <c r="BI200" s="145">
        <f>Table7[[#This Row],[I_L]]+0.5*Table7[[#This Row],[I_L pkpk]]</f>
        <v>15.691304347826089</v>
      </c>
      <c r="BJ200" s="145">
        <f>IF(VACnom&gt;Vbat, (VGS_S-(C_MOSFET_S_VTH_H_BU+Table7[[#This Row],[I_L]]/C_MOSFET_S_gFS_H_BU))/3.4, (VGS_S-(C_MOSFET_S_VTH_L_BO+Table7[[#This Row],[I_L]]/C_MOSFET_S_gFS_L_BO))/3.4 )</f>
        <v>2.9312990563541761</v>
      </c>
      <c r="BK200" s="145">
        <f>IF(VACnom&gt;Vbat, ((C_MOSFET_S_VTH_H_BU+Table7[[#This Row],[I_L]]/C_MOSFET_S_gFS_H_BU))/1, ((C_MOSFET_S_VTH_L_BO+Table7[[#This Row],[I_L]]/C_MOSFET_S_gFS_L_BO))/1 )</f>
        <v>2.0335832083958021</v>
      </c>
      <c r="BL200" s="145">
        <f>IF(VACnom&gt;Vbat, (C_MOSFET_S_QGD_H_BU+C_MOSFET_S_QGS_H_BU)*10^-9/Table7[[#This Row],[Ion (A) C]], (C_MOSFET_S_QGD_L_BO+C_MOSFET_S_QGS_L_BO)*10^-9/Table7[[#This Row],[Ion (A) C]])/10^-9</f>
        <v>5.2877579878452359</v>
      </c>
      <c r="BM200" s="145">
        <f>IF(VACnom&gt;Vbat, (C_MOSFET_S_QGD_H_BU+C_MOSFET_S_QGS_H_BU)*10^-9/Table7[[#This Row],[Ioff (A) C]], (C_MOSFET_S_QGD_L_BO+C_MOSFET_S_QGS_L_BO)*10^-9/Table7[[#This Row],[Ioff (A) C]])/10^-9</f>
        <v>7.6220141551164842</v>
      </c>
      <c r="BN200" s="145">
        <f xml:space="preserve"> 0.5*VACnom*Table7[[#This Row],[Ivalley (A) C]]*Table7[[#This Row],[ton (ns) C]]*10^-9*Fsw*10^3+0.5*VACnom*Table7[[#This Row],[Ipeak (A) C]]*Table7[[#This Row],[toff (ns) C]]*10^-9*Fsw*10^3/10^-3</f>
        <v>440.42330729879404</v>
      </c>
      <c r="BO200" s="145">
        <f t="shared" si="35"/>
        <v>305.44000000000011</v>
      </c>
      <c r="BP200" s="145">
        <f t="shared" si="36"/>
        <v>357.69600000000014</v>
      </c>
      <c r="BQ200" s="145">
        <f t="shared" si="37"/>
        <v>1067.2000000000003</v>
      </c>
      <c r="BR200" s="145">
        <f>IF(VACnom&gt;Vbat, C_MOSFET_S_VSD_L_BU*Table7[[#This Row],[Ivalley (A) C]]*Fsw*10^3*40*10^-9+C_MOSFET_S_VSD_L_BU*Table7[[#This Row],[Ipeak (A) C]]*Fsw*10^3*30*10^-9, C_MOSFET_S_VSD_H_BO*Table7[[#This Row],[Ivalley (A) C]]*Fsw*10^3*40*10^-9+C_MOSFET_S_VSD_H_BO*Table7[[#This Row],[Ipeak (A) C]]*Fsw*10^3*30*10^-9)/10^-3</f>
        <v>173.23826086956529</v>
      </c>
      <c r="BS200" s="145">
        <f t="shared" si="38"/>
        <v>357.69600000000014</v>
      </c>
      <c r="BT200" s="145">
        <f>IF(VACnom&lt;Vbat, Table7[[#This Row],[Duty Cycle]]*Table7[[#This Row],[I_L RMS]]^2*C_MOSFET_S_RDSON_H_BU*10^-3, (1-Table7[[#This Row],[Duty Cycle]])*Table7[[#This Row],[I_L RMS]]^2*C_MOSFET_S_RDSON_H_BO*10^-3)/10^-3</f>
        <v>13.572451960220194</v>
      </c>
      <c r="BU200" s="145">
        <f>IF(VACnom&gt;Vbat, Table7[[#This Row],[PIV (mW) C]]+Table7[[#This Row],[PQoss (mW) C]]+Table7[[#This Row],[Pgate_top (mW) C]], Table7[[#This Row],[PRR (mW) C]]+Table7[[#This Row],[Pdead (mW) C]]+Table7[[#This Row],[Pgate_top (mW) C]])</f>
        <v>1103.5593072987942</v>
      </c>
      <c r="BV200" s="145">
        <f>Table7[[#This Row],[Pcon_top (mW) C]]+Table7[[#This Row],[Psw_top (mW) C]]</f>
        <v>1117.1317592590144</v>
      </c>
      <c r="BW200" s="145">
        <f>IF(VACnom&gt;Vbat, (1-Table7[[#This Row],[Duty Cycle]])*Table7[[#This Row],[I_L RMS]]^2*C_MOSFET_S_RDSON_L_BU*10^-3, Table7[[#This Row],[Duty Cycle]]*Table7[[#This Row],[I_L RMS]]^2*C_MOSFET_S_RDSON_L_BO*10^-3)/10^-3</f>
        <v>8.8742955124516651</v>
      </c>
      <c r="BX200" s="145">
        <f>IF(VACnom&gt;Vbat, Table7[[#This Row],[PRR (mW) C]]+Table7[[#This Row],[Pdead (mW) C]]+Table7[[#This Row],[Pgate_bottom (mW) C]], Table7[[#This Row],[PIV (mW) C]]+Table7[[#This Row],[PQoss (mW) C]]+Table7[[#This Row],[Pgate_bottom (mW) C]])</f>
        <v>1598.1342608695657</v>
      </c>
      <c r="BY200" s="145">
        <f>Table7[[#This Row],[Pcon_bottom (mW) C]]+Table7[[#This Row],[Psw_bottom (mV) C]]</f>
        <v>1607.0085563820173</v>
      </c>
      <c r="BZ200" s="145">
        <f>Table7[[#This Row],[Pbottom (mW) C]]+Table7[[#This Row],[Ptop (mW) C]]</f>
        <v>2724.1403156410315</v>
      </c>
      <c r="CA200" s="148"/>
      <c r="CB200" s="144">
        <f>(RAC_SNS*10^-3*(Table7[[#This Row],[IOUT (A)]]*Vbat/VACnom)^2/10^-3)</f>
        <v>480.23047258979221</v>
      </c>
      <c r="CC200" s="144">
        <f>(RBAT_SNS*10^-3*Table7[[#This Row],[IOUT (A)]]^2)/10^-3</f>
        <v>1254.528</v>
      </c>
      <c r="CD200" s="144">
        <f>IF(VACnom&gt;Vbat,(L_DRC*10^-3*(Table7[[#This Row],[IOUT (A)]])^2/10^-3),(L_DRC*10^-3*(Table7[[#This Row],[IOUT (A)]]*Vbat/VACnom)^2/10^-3))</f>
        <v>1254.528</v>
      </c>
      <c r="CE200" s="152"/>
      <c r="CF200" s="145">
        <f>(Table7[[#This Row],[R_AC (mW)]]+Table7[[#This Row],[R_SR (mW)]]+Table7[[#This Row],[Inductor Loss (mW)]])/10^3</f>
        <v>2.9892864725897925</v>
      </c>
      <c r="CG200" s="145" t="e">
        <f ca="1">Table7[[#This Row],[Total TI (mW)]]/10^3</f>
        <v>#VALUE!</v>
      </c>
      <c r="CH200" s="145" t="e">
        <f ca="1">Table7[[#This Row],[Total Sense Loss]]+Table7[[#This Row],[Total MOSFET Loss]]</f>
        <v>#VALUE!</v>
      </c>
      <c r="CI200" s="149" t="e">
        <f ca="1">IF(Table7[[#This Row],[POUT (W)]]=0,0,(Table7[[#This Row],[POUT (W)]])/(Table7[[#This Row],[POUT (W)]]+Table7[[#This Row],[Total Power Loss (W)]]))*100</f>
        <v>#VALUE!</v>
      </c>
      <c r="CJ200" s="153"/>
      <c r="CK200" s="145">
        <f>(Table7[[#This Row],[R_AC (mW)]]+Table7[[#This Row],[R_SR (mW)]]+Table7[[#This Row],[Inductor Loss (mW)]])/10^3</f>
        <v>2.9892864725897925</v>
      </c>
      <c r="CL200" s="145">
        <f>Table7[[#This Row],[Total (mW) C]]/10^3</f>
        <v>2.7241403156410313</v>
      </c>
      <c r="CM200" s="145">
        <f>Table7[[#This Row],[Total Sense Loss C]]+Table7[[#This Row],[Total MOSFET Loss C]]</f>
        <v>5.7134267882308238</v>
      </c>
      <c r="CN200" s="149">
        <f>IF(Table7[[#This Row],[POUT (W)]]=0,0,(Table7[[#This Row],[POUT (W)]])/(Table7[[#This Row],[POUT (W)]]+Table7[[#This Row],[Total Power Loss (W) C]]))*100</f>
        <v>99.029361198444064</v>
      </c>
      <c r="CO200" s="153"/>
      <c r="CP200" s="149">
        <f>IF(MOSFET_S=Custom_MOSFET,Table7[[#This Row],[Total Sense Loss C]],Table7[[#This Row],[Total Sense Loss]])</f>
        <v>2.9892864725897925</v>
      </c>
      <c r="CQ200" s="149">
        <f>IF(MOSFET_S=Custom_MOSFET,Table7[[#This Row],[Total MOSFET Loss C]],Table7[[#This Row],[Total MOSFET Loss]])</f>
        <v>2.7241403156410313</v>
      </c>
      <c r="CR200" s="149">
        <f>IF(MOSFET_S=Custom_MOSFET,Table7[[#This Row],[Efficiency C]],Table7[[#This Row],[Efficiency]])</f>
        <v>99.029361198444064</v>
      </c>
      <c r="CS200" s="153"/>
      <c r="CT200" s="149">
        <f>IF(MOSFET_S=Compare_MOSFET, Table7[[#This Row],[Total Sense Loss C]], -100)</f>
        <v>-100</v>
      </c>
      <c r="CU200" s="149">
        <f>IF(MOSFET_S=Compare_MOSFET, Table7[[#This Row],[Total MOSFET Loss C]], -100)</f>
        <v>-100</v>
      </c>
      <c r="CV200" s="149">
        <f>IF(MOSFET_S=Compare_MOSFET, Table7[[#This Row],[Efficiency C]], -100)</f>
        <v>-100</v>
      </c>
      <c r="CW200" s="153"/>
      <c r="CX200" s="149">
        <f ca="1">IF(Save_Sel=CLR_Save,  Table7[[#This Row],[Total Sense Loss P1]], Table7[[#This Row],[Total Sense Loss P1 Saved]])</f>
        <v>2.9892864725897925</v>
      </c>
      <c r="CY200" s="149">
        <f ca="1">IF(Save_Sel=CLR_Save,  Table7[[#This Row],[Total MOSFET Loss P1]], Table7[[#This Row],[Total MOSFET Loss P1 Saved]] )</f>
        <v>2.7241403156410313</v>
      </c>
      <c r="CZ200" s="149">
        <f ca="1">IF(Save_Sel=CLR_Save, Table7[[#This Row],[Efficiency P1]], Table7[[#This Row],[Efficiency P1 Saved]])</f>
        <v>99.029361198444064</v>
      </c>
      <c r="DA200" s="153"/>
      <c r="DB200" s="149">
        <f ca="1">IF(Save_Sel=CLR_Save,  Table7[[#This Row],[Total Sense Loss P2]], Table7[[#This Row],[Total Sense Loss P2 Saved]])</f>
        <v>-100</v>
      </c>
      <c r="DC200" s="149">
        <f ca="1">IF(Save_Sel=CLR_Save,  Table7[[#This Row],[Total MOSFET Loss P2]], Table7[[#This Row],[Total MOSFET Loss P2 Saved]] )</f>
        <v>-100</v>
      </c>
      <c r="DD200" s="149">
        <f ca="1">IF(Save_Sel=CLR_Save, Table7[[#This Row],[Efficiency P2]], Table7[[#This Row],[Efficiency P2 Saved]])</f>
        <v>-100</v>
      </c>
      <c r="DE200" s="153"/>
      <c r="DF200" s="19"/>
      <c r="DG200" s="19"/>
      <c r="DH200" s="19"/>
      <c r="DI200" s="19"/>
      <c r="DJ200" s="19"/>
      <c r="DK200" s="19"/>
      <c r="DL200" s="19"/>
      <c r="DM200" s="19"/>
      <c r="DN200" s="19"/>
      <c r="DO200" s="19"/>
      <c r="DP200" s="19"/>
      <c r="DQ200" s="19"/>
      <c r="DR200" s="19"/>
      <c r="DS200" s="19"/>
      <c r="DT200" s="19"/>
      <c r="DU200" s="19"/>
      <c r="DV200" s="19"/>
      <c r="DW200" s="19"/>
      <c r="DX200" s="19"/>
      <c r="DY200" s="19"/>
      <c r="DZ200" s="19"/>
      <c r="EA200" s="19"/>
      <c r="EB200" s="19"/>
      <c r="EC200" s="19"/>
      <c r="ED200" s="19"/>
      <c r="EE200" s="19"/>
      <c r="EF200" s="19"/>
      <c r="EG200" s="19"/>
      <c r="EH200" s="19"/>
      <c r="EI200" s="19"/>
      <c r="EJ200" s="19"/>
      <c r="EK200" s="19"/>
      <c r="EL200" s="19"/>
      <c r="EM200" s="19"/>
      <c r="EN200" s="19"/>
      <c r="EO200" s="19"/>
      <c r="EP200" s="19"/>
      <c r="EQ200" s="19"/>
      <c r="ER200" s="19"/>
      <c r="ES200" s="19"/>
      <c r="ET200" s="19"/>
      <c r="EU200" s="19"/>
      <c r="EV200" s="19"/>
      <c r="EW200" s="19"/>
      <c r="EX200" s="19"/>
      <c r="EY200" s="19"/>
      <c r="EZ200" s="19"/>
      <c r="FA200" s="19"/>
      <c r="FB200" s="19"/>
      <c r="FC200" s="19"/>
      <c r="FD200" s="19"/>
      <c r="FE200" s="19"/>
      <c r="FF200" s="19"/>
      <c r="FG200" s="19"/>
      <c r="FH200" s="19"/>
      <c r="FI200" s="19"/>
    </row>
    <row r="201" spans="1:165" x14ac:dyDescent="0.25">
      <c r="A201" s="32"/>
      <c r="B201" s="49"/>
      <c r="C201" s="49"/>
      <c r="D201" s="32"/>
      <c r="E201" s="66"/>
      <c r="F201" s="66"/>
      <c r="G201" s="49"/>
      <c r="H201" s="29"/>
      <c r="I201" s="29"/>
      <c r="J201" s="29"/>
      <c r="K201" s="29"/>
      <c r="L201" s="29"/>
      <c r="M201" s="29"/>
      <c r="N201" s="29"/>
      <c r="O201" s="29"/>
      <c r="P201" s="29"/>
      <c r="Q201" s="29"/>
      <c r="R201" s="29"/>
      <c r="S201" s="30"/>
      <c r="T201" s="18"/>
      <c r="U201" s="19"/>
      <c r="V201" s="19"/>
      <c r="W201" s="19"/>
      <c r="X201" s="19"/>
      <c r="Y201" s="19"/>
      <c r="Z201" s="19"/>
      <c r="AA201" s="19"/>
      <c r="AB201" s="19"/>
      <c r="AC201" s="19"/>
      <c r="AD201" s="19"/>
      <c r="AE201" s="19"/>
      <c r="AF201" s="143">
        <f t="shared" si="17"/>
        <v>45</v>
      </c>
      <c r="AG201" s="143">
        <f t="shared" si="39"/>
        <v>16.2</v>
      </c>
      <c r="AH201" s="144">
        <f t="shared" si="28"/>
        <v>596.16</v>
      </c>
      <c r="AI201" s="145">
        <f t="shared" si="29"/>
        <v>0.97826086956521752</v>
      </c>
      <c r="AJ201" s="145">
        <f t="shared" si="30"/>
        <v>15.847826086956523</v>
      </c>
      <c r="AK201" s="145">
        <f t="shared" si="26"/>
        <v>0.39130434782608459</v>
      </c>
      <c r="AL201" s="145">
        <f t="shared" si="27"/>
        <v>15.848228658332935</v>
      </c>
      <c r="AM201" s="146"/>
      <c r="AN201" s="145">
        <f>MAX(0,Table7[[#This Row],[I_L]]-0.5*Table7[[#This Row],[I_L pkpk]])</f>
        <v>15.65217391304348</v>
      </c>
      <c r="AO201" s="145">
        <f>Table7[[#This Row],[I_L]]+0.5*Table7[[#This Row],[I_L pkpk]]</f>
        <v>16.043478260869566</v>
      </c>
      <c r="AP201" s="145">
        <f ca="1">IF(VACnom&gt;Vbat, (VGS_S-(TI_MOSFET_S_VTH_H_BU+Table7[[#This Row],[I_L]]/TI_MOSFET_S_gFS_H_BU))/3.4, (VGS_S-(TI_MOSFET_S_VTH_L_BO+Table7[[#This Row],[I_L]]/TI_MOSFET_S_gFS_L_BO))/3.4 )</f>
        <v>2.9788510722014556</v>
      </c>
      <c r="AQ201" s="145">
        <f ca="1">IF(VACnom&gt;Vbat, ((TI_MOSFET_S_VTH_H_BU+Table7[[#This Row],[I_L]]/TI_MOSFET_S_gFS_H_BU))/1, ((TI_MOSFET_S_VTH_L_BO+Table7[[#This Row],[I_L]]/TI_MOSFET_S_gFS_L_BO))/1 )</f>
        <v>1.8719063545150503</v>
      </c>
      <c r="AR201" s="145">
        <f ca="1">IF(VACnom&gt;Vbat, (TI_MOSFET_S_QGD_H_BU+TI_MOSFET_S_QGS_H_BU)*10^-9/Table7[[#This Row],[Ion (A)]], (TI_MOSFET_S_QGD_L_BO+TI_MOSFET_S_QGS_L_BO)*10^-9/Table7[[#This Row],[Ion (A)]])/10^-9</f>
        <v>9.6681570518112476</v>
      </c>
      <c r="AS201" s="145">
        <f ca="1">IF(VACnom&gt;Vbat, (TI_MOSFET_S_QGD_H_BU+TI_MOSFET_S_QGS_H_BU)*10^-9/Table7[[#This Row],[Ioff (A)]], (TI_MOSFET_S_QGD_L_BO+TI_MOSFET_S_QGS_L_BO)*10^-9/Table7[[#This Row],[Ioff (A)]])/10^-9</f>
        <v>15.385385027693406</v>
      </c>
      <c r="AT201" s="145">
        <f ca="1" xml:space="preserve"> 0.5*VACnom*Table7[[#This Row],[Ivalley (A)]]*Table7[[#This Row],[ton (ns)]]*10^-9*Fsw*10^3+0.5*VACnom*Table7[[#This Row],[Ipeak (A)]]*Table7[[#This Row],[toff (ns)]]*10^-9*Fsw*10^3/10^-3</f>
        <v>908.91001788120332</v>
      </c>
      <c r="AU201" s="145">
        <f t="shared" ca="1" si="31"/>
        <v>268.64000000000004</v>
      </c>
      <c r="AV201" s="145" t="e">
        <f t="shared" si="32"/>
        <v>#VALUE!</v>
      </c>
      <c r="AW201" s="145">
        <f t="shared" ca="1" si="33"/>
        <v>566.72000000000025</v>
      </c>
      <c r="AX201" s="145">
        <f ca="1">IF(VACnom&gt;Vbat, TI_MOSFET_S_VSD_L_BU*Table7[[#This Row],[Ivalley (A)]]*Fsw*10^3*40*10^-9+TI_MOSFET_S_VSD_L_BU*Table7[[#This Row],[Ipeak (A)]]*Fsw*10^3*30*10^-9, TI_MOSFET_S_VSD_H_BO*Table7[[#This Row],[Ivalley (A)]]*Fsw*10^3*40*10^-9+TI_MOSFET_S_VSD_H_BO*Table7[[#This Row],[Ipeak (A)]]*Fsw*10^3*30*10^-9)/10^-3</f>
        <v>159.46434782608702</v>
      </c>
      <c r="AY201" s="145" t="e">
        <f t="shared" si="34"/>
        <v>#VALUE!</v>
      </c>
      <c r="AZ201" s="145" t="e">
        <f>IF(VACnom&lt;Vbat, Table7[[#This Row],[Duty Cycle]]*Table7[[#This Row],[I_L RMS]]^2*TI_MOSFET_S_RDSON_H_BU*10^-3, (1-Table7[[#This Row],[Duty Cycle]])*Table7[[#This Row],[I_L RMS]]^2*TI_MOSFET_S_RDSON_H_BO*10^-3)/10^-3</f>
        <v>#VALUE!</v>
      </c>
      <c r="BA201" s="145" t="e">
        <f ca="1">IF(VACnom&gt;Vbat, Table7[[#This Row],[PIV (mW)]]+Table7[[#This Row],[Pqoss (mW)]]+Table7[[#This Row],[Pgate_top (mW)]], Table7[[#This Row],[PRR (mW)]]+Table7[[#This Row],[Pdead (mW)]]+Table7[[#This Row],[Pgate_top (mW)]])</f>
        <v>#VALUE!</v>
      </c>
      <c r="BB201" s="145" t="e">
        <f ca="1">Table7[[#This Row],[Pcon_top (mW)]]+Table7[[#This Row],[Psw_top (mW)]]</f>
        <v>#VALUE!</v>
      </c>
      <c r="BC201" s="145" t="e">
        <f>IF(VACnom&gt;Vbat, (1-Table7[[#This Row],[Duty Cycle]])*Table7[[#This Row],[I_L RMS]]^2*TI_MOSFET_S_RDSON_L_BU*10^-3, Table7[[#This Row],[Duty Cycle]]*Table7[[#This Row],[I_L RMS]]^2*TI_MOSFET_S_RDSON_L_BO*10^-3)/10^-3</f>
        <v>#VALUE!</v>
      </c>
      <c r="BD201" s="145" t="e">
        <f ca="1">IF(VACnom&gt;Vbat, Table7[[#This Row],[PRR (mW)]]+Table7[[#This Row],[Pdead (mW)]]+Table7[[#This Row],[Pgate_bottom (mW)]], Table7[[#This Row],[PIV (mW)]]+Table7[[#This Row],[Pqoss (mW)]]+Table7[[#This Row],[Pgate_bottom (mW)]])</f>
        <v>#VALUE!</v>
      </c>
      <c r="BE201" s="147" t="e">
        <f ca="1">Table7[[#This Row],[Pcon_bottom (mW)]]+Table7[[#This Row],[Psw_bottom (mW)]]</f>
        <v>#VALUE!</v>
      </c>
      <c r="BF201" s="145" t="e">
        <f ca="1">Table7[[#This Row],[Pbottom (mW)]]+Table7[[#This Row],[Ptop (mW)]]</f>
        <v>#VALUE!</v>
      </c>
      <c r="BG201" s="142"/>
      <c r="BH201" s="145">
        <f>MAX(0,Table7[[#This Row],[I_L]]-0.5*Table7[[#This Row],[I_L pkpk]])</f>
        <v>15.65217391304348</v>
      </c>
      <c r="BI201" s="145">
        <f>Table7[[#This Row],[I_L]]+0.5*Table7[[#This Row],[I_L pkpk]]</f>
        <v>16.043478260869566</v>
      </c>
      <c r="BJ201" s="145">
        <f>IF(VACnom&gt;Vbat, (VGS_S-(C_MOSFET_S_VTH_H_BU+Table7[[#This Row],[I_L]]/C_MOSFET_S_gFS_H_BU))/3.4, (VGS_S-(C_MOSFET_S_VTH_L_BO+Table7[[#This Row],[I_L]]/C_MOSFET_S_gFS_L_BO))/3.4 )</f>
        <v>2.9304061204691774</v>
      </c>
      <c r="BK201" s="145">
        <f>IF(VACnom&gt;Vbat, ((C_MOSFET_S_VTH_H_BU+Table7[[#This Row],[I_L]]/C_MOSFET_S_gFS_H_BU))/1, ((C_MOSFET_S_VTH_L_BO+Table7[[#This Row],[I_L]]/C_MOSFET_S_gFS_L_BO))/1 )</f>
        <v>2.0366191904047977</v>
      </c>
      <c r="BL201" s="145">
        <f>IF(VACnom&gt;Vbat, (C_MOSFET_S_QGD_H_BU+C_MOSFET_S_QGS_H_BU)*10^-9/Table7[[#This Row],[Ion (A) C]], (C_MOSFET_S_QGD_L_BO+C_MOSFET_S_QGS_L_BO)*10^-9/Table7[[#This Row],[Ion (A) C]])/10^-9</f>
        <v>5.2893692419391849</v>
      </c>
      <c r="BM201" s="145">
        <f>IF(VACnom&gt;Vbat, (C_MOSFET_S_QGD_H_BU+C_MOSFET_S_QGS_H_BU)*10^-9/Table7[[#This Row],[Ioff (A) C]], (C_MOSFET_S_QGD_L_BO+C_MOSFET_S_QGS_L_BO)*10^-9/Table7[[#This Row],[Ioff (A) C]])/10^-9</f>
        <v>7.6106520418867429</v>
      </c>
      <c r="BN201" s="145">
        <f xml:space="preserve"> 0.5*VACnom*Table7[[#This Row],[Ivalley (A) C]]*Table7[[#This Row],[ton (ns) C]]*10^-9*Fsw*10^3+0.5*VACnom*Table7[[#This Row],[Ipeak (A) C]]*Table7[[#This Row],[toff (ns) C]]*10^-9*Fsw*10^3/10^-3</f>
        <v>449.63756422132917</v>
      </c>
      <c r="BO201" s="145">
        <f t="shared" si="35"/>
        <v>305.44000000000011</v>
      </c>
      <c r="BP201" s="145">
        <f t="shared" si="36"/>
        <v>357.69600000000014</v>
      </c>
      <c r="BQ201" s="145">
        <f t="shared" si="37"/>
        <v>1067.2000000000003</v>
      </c>
      <c r="BR201" s="145">
        <f>IF(VACnom&gt;Vbat, C_MOSFET_S_VSD_L_BU*Table7[[#This Row],[Ivalley (A) C]]*Fsw*10^3*40*10^-9+C_MOSFET_S_VSD_L_BU*Table7[[#This Row],[Ipeak (A) C]]*Fsw*10^3*30*10^-9, C_MOSFET_S_VSD_H_BO*Table7[[#This Row],[Ivalley (A) C]]*Fsw*10^3*40*10^-9+C_MOSFET_S_VSD_H_BO*Table7[[#This Row],[Ipeak (A) C]]*Fsw*10^3*30*10^-9)/10^-3</f>
        <v>177.18260869565228</v>
      </c>
      <c r="BS201" s="145">
        <f t="shared" si="38"/>
        <v>357.69600000000014</v>
      </c>
      <c r="BT201" s="145">
        <f>IF(VACnom&lt;Vbat, Table7[[#This Row],[Duty Cycle]]*Table7[[#This Row],[I_L RMS]]^2*C_MOSFET_S_RDSON_H_BU*10^-3, (1-Table7[[#This Row],[Duty Cycle]])*Table7[[#This Row],[I_L RMS]]^2*C_MOSFET_S_RDSON_H_BO*10^-3)/10^-3</f>
        <v>14.196359003862829</v>
      </c>
      <c r="BU201" s="145">
        <f>IF(VACnom&gt;Vbat, Table7[[#This Row],[PIV (mW) C]]+Table7[[#This Row],[PQoss (mW) C]]+Table7[[#This Row],[Pgate_top (mW) C]], Table7[[#This Row],[PRR (mW) C]]+Table7[[#This Row],[Pdead (mW) C]]+Table7[[#This Row],[Pgate_top (mW) C]])</f>
        <v>1112.7735642213295</v>
      </c>
      <c r="BV201" s="145">
        <f>Table7[[#This Row],[Pcon_top (mW) C]]+Table7[[#This Row],[Psw_top (mW) C]]</f>
        <v>1126.9699232251924</v>
      </c>
      <c r="BW201" s="145">
        <f>IF(VACnom&gt;Vbat, (1-Table7[[#This Row],[Duty Cycle]])*Table7[[#This Row],[I_L RMS]]^2*C_MOSFET_S_RDSON_L_BU*10^-3, Table7[[#This Row],[Duty Cycle]]*Table7[[#This Row],[I_L RMS]]^2*C_MOSFET_S_RDSON_L_BO*10^-3)/10^-3</f>
        <v>9.282234733294926</v>
      </c>
      <c r="BX201" s="145">
        <f>IF(VACnom&gt;Vbat, Table7[[#This Row],[PRR (mW) C]]+Table7[[#This Row],[Pdead (mW) C]]+Table7[[#This Row],[Pgate_bottom (mW) C]], Table7[[#This Row],[PIV (mW) C]]+Table7[[#This Row],[PQoss (mW) C]]+Table7[[#This Row],[Pgate_bottom (mW) C]])</f>
        <v>1602.0786086956527</v>
      </c>
      <c r="BY201" s="145">
        <f>Table7[[#This Row],[Pcon_bottom (mW) C]]+Table7[[#This Row],[Psw_bottom (mV) C]]</f>
        <v>1611.3608434289476</v>
      </c>
      <c r="BZ201" s="145">
        <f>Table7[[#This Row],[Pbottom (mW) C]]+Table7[[#This Row],[Ptop (mW) C]]</f>
        <v>2738.33076665414</v>
      </c>
      <c r="CA201" s="148"/>
      <c r="CB201" s="144">
        <f>(RAC_SNS*10^-3*(Table7[[#This Row],[IOUT (A)]]*Vbat/VACnom)^2/10^-3)</f>
        <v>502.30718336483937</v>
      </c>
      <c r="CC201" s="144">
        <f>(RBAT_SNS*10^-3*Table7[[#This Row],[IOUT (A)]]^2)/10^-3</f>
        <v>1312.2</v>
      </c>
      <c r="CD201" s="144">
        <f>IF(VACnom&gt;Vbat,(L_DRC*10^-3*(Table7[[#This Row],[IOUT (A)]])^2/10^-3),(L_DRC*10^-3*(Table7[[#This Row],[IOUT (A)]]*Vbat/VACnom)^2/10^-3))</f>
        <v>1312.2</v>
      </c>
      <c r="CE201" s="152"/>
      <c r="CF201" s="145">
        <f>(Table7[[#This Row],[R_AC (mW)]]+Table7[[#This Row],[R_SR (mW)]]+Table7[[#This Row],[Inductor Loss (mW)]])/10^3</f>
        <v>3.1267071833648399</v>
      </c>
      <c r="CG201" s="145" t="e">
        <f ca="1">Table7[[#This Row],[Total TI (mW)]]/10^3</f>
        <v>#VALUE!</v>
      </c>
      <c r="CH201" s="145" t="e">
        <f ca="1">Table7[[#This Row],[Total Sense Loss]]+Table7[[#This Row],[Total MOSFET Loss]]</f>
        <v>#VALUE!</v>
      </c>
      <c r="CI201" s="149" t="e">
        <f ca="1">IF(Table7[[#This Row],[POUT (W)]]=0,0,(Table7[[#This Row],[POUT (W)]])/(Table7[[#This Row],[POUT (W)]]+Table7[[#This Row],[Total Power Loss (W)]]))*100</f>
        <v>#VALUE!</v>
      </c>
      <c r="CJ201" s="153"/>
      <c r="CK201" s="145">
        <f>(Table7[[#This Row],[R_AC (mW)]]+Table7[[#This Row],[R_SR (mW)]]+Table7[[#This Row],[Inductor Loss (mW)]])/10^3</f>
        <v>3.1267071833648399</v>
      </c>
      <c r="CL201" s="145">
        <f>Table7[[#This Row],[Total (mW) C]]/10^3</f>
        <v>2.7383307666541401</v>
      </c>
      <c r="CM201" s="145">
        <f>Table7[[#This Row],[Total Sense Loss C]]+Table7[[#This Row],[Total MOSFET Loss C]]</f>
        <v>5.86503795001898</v>
      </c>
      <c r="CN201" s="149">
        <f>IF(Table7[[#This Row],[POUT (W)]]=0,0,(Table7[[#This Row],[POUT (W)]])/(Table7[[#This Row],[POUT (W)]]+Table7[[#This Row],[Total Power Loss (W) C]]))*100</f>
        <v>99.025781723300028</v>
      </c>
      <c r="CO201" s="153"/>
      <c r="CP201" s="149">
        <f>IF(MOSFET_S=Custom_MOSFET,Table7[[#This Row],[Total Sense Loss C]],Table7[[#This Row],[Total Sense Loss]])</f>
        <v>3.1267071833648399</v>
      </c>
      <c r="CQ201" s="149">
        <f>IF(MOSFET_S=Custom_MOSFET,Table7[[#This Row],[Total MOSFET Loss C]],Table7[[#This Row],[Total MOSFET Loss]])</f>
        <v>2.7383307666541401</v>
      </c>
      <c r="CR201" s="149">
        <f>IF(MOSFET_S=Custom_MOSFET,Table7[[#This Row],[Efficiency C]],Table7[[#This Row],[Efficiency]])</f>
        <v>99.025781723300028</v>
      </c>
      <c r="CS201" s="153"/>
      <c r="CT201" s="149">
        <f>IF(MOSFET_S=Compare_MOSFET, Table7[[#This Row],[Total Sense Loss C]], -100)</f>
        <v>-100</v>
      </c>
      <c r="CU201" s="149">
        <f>IF(MOSFET_S=Compare_MOSFET, Table7[[#This Row],[Total MOSFET Loss C]], -100)</f>
        <v>-100</v>
      </c>
      <c r="CV201" s="149">
        <f>IF(MOSFET_S=Compare_MOSFET, Table7[[#This Row],[Efficiency C]], -100)</f>
        <v>-100</v>
      </c>
      <c r="CW201" s="153"/>
      <c r="CX201" s="149">
        <f ca="1">IF(Save_Sel=CLR_Save,  Table7[[#This Row],[Total Sense Loss P1]], Table7[[#This Row],[Total Sense Loss P1 Saved]])</f>
        <v>3.1267071833648399</v>
      </c>
      <c r="CY201" s="149">
        <f ca="1">IF(Save_Sel=CLR_Save,  Table7[[#This Row],[Total MOSFET Loss P1]], Table7[[#This Row],[Total MOSFET Loss P1 Saved]] )</f>
        <v>2.7383307666541401</v>
      </c>
      <c r="CZ201" s="149">
        <f ca="1">IF(Save_Sel=CLR_Save, Table7[[#This Row],[Efficiency P1]], Table7[[#This Row],[Efficiency P1 Saved]])</f>
        <v>99.025781723300028</v>
      </c>
      <c r="DA201" s="153"/>
      <c r="DB201" s="149">
        <f ca="1">IF(Save_Sel=CLR_Save,  Table7[[#This Row],[Total Sense Loss P2]], Table7[[#This Row],[Total Sense Loss P2 Saved]])</f>
        <v>-100</v>
      </c>
      <c r="DC201" s="149">
        <f ca="1">IF(Save_Sel=CLR_Save,  Table7[[#This Row],[Total MOSFET Loss P2]], Table7[[#This Row],[Total MOSFET Loss P2 Saved]] )</f>
        <v>-100</v>
      </c>
      <c r="DD201" s="149">
        <f ca="1">IF(Save_Sel=CLR_Save, Table7[[#This Row],[Efficiency P2]], Table7[[#This Row],[Efficiency P2 Saved]])</f>
        <v>-100</v>
      </c>
      <c r="DE201" s="153"/>
      <c r="DF201" s="19"/>
      <c r="DG201" s="19"/>
      <c r="DH201" s="19"/>
      <c r="DI201" s="19"/>
      <c r="DJ201" s="19"/>
      <c r="DK201" s="19"/>
      <c r="DL201" s="19"/>
      <c r="DM201" s="19"/>
      <c r="DN201" s="19"/>
      <c r="DO201" s="19"/>
      <c r="DP201" s="19"/>
      <c r="DQ201" s="19"/>
      <c r="DR201" s="19"/>
      <c r="DS201" s="19"/>
      <c r="DT201" s="19"/>
      <c r="DU201" s="19"/>
      <c r="DV201" s="19"/>
      <c r="DW201" s="19"/>
      <c r="DX201" s="19"/>
      <c r="DY201" s="19"/>
      <c r="DZ201" s="19"/>
      <c r="EA201" s="19"/>
      <c r="EB201" s="19"/>
      <c r="EC201" s="19"/>
      <c r="ED201" s="19"/>
      <c r="EE201" s="19"/>
      <c r="EF201" s="19"/>
      <c r="EG201" s="19"/>
      <c r="EH201" s="19"/>
      <c r="EI201" s="19"/>
      <c r="EJ201" s="19"/>
      <c r="EK201" s="19"/>
      <c r="EL201" s="19"/>
      <c r="EM201" s="19"/>
      <c r="EN201" s="19"/>
      <c r="EO201" s="19"/>
      <c r="EP201" s="19"/>
      <c r="EQ201" s="19"/>
      <c r="ER201" s="19"/>
      <c r="ES201" s="19"/>
      <c r="ET201" s="19"/>
      <c r="EU201" s="19"/>
      <c r="EV201" s="19"/>
      <c r="EW201" s="19"/>
      <c r="EX201" s="19"/>
      <c r="EY201" s="19"/>
      <c r="EZ201" s="19"/>
      <c r="FA201" s="19"/>
      <c r="FB201" s="19"/>
      <c r="FC201" s="19"/>
      <c r="FD201" s="19"/>
      <c r="FE201" s="19"/>
      <c r="FF201" s="19"/>
      <c r="FG201" s="19"/>
      <c r="FH201" s="19"/>
      <c r="FI201" s="19"/>
    </row>
    <row r="202" spans="1:165" x14ac:dyDescent="0.25">
      <c r="A202" s="32"/>
      <c r="B202" s="49"/>
      <c r="C202" s="49"/>
      <c r="D202" s="32"/>
      <c r="E202" s="66"/>
      <c r="F202" s="66"/>
      <c r="G202" s="49"/>
      <c r="H202" s="29"/>
      <c r="I202" s="29"/>
      <c r="J202" s="29"/>
      <c r="K202" s="29"/>
      <c r="L202" s="29"/>
      <c r="M202" s="29"/>
      <c r="N202" s="29"/>
      <c r="O202" s="29"/>
      <c r="P202" s="29"/>
      <c r="Q202" s="29"/>
      <c r="R202" s="29"/>
      <c r="S202" s="30"/>
      <c r="T202" s="18"/>
      <c r="U202" s="19"/>
      <c r="V202" s="19"/>
      <c r="W202" s="19"/>
      <c r="X202" s="19"/>
      <c r="Y202" s="19"/>
      <c r="Z202" s="19"/>
      <c r="AA202" s="19"/>
      <c r="AB202" s="19"/>
      <c r="AC202" s="19"/>
      <c r="AD202" s="19"/>
      <c r="AE202" s="19"/>
      <c r="AF202" s="143">
        <f t="shared" si="17"/>
        <v>46</v>
      </c>
      <c r="AG202" s="143">
        <f t="shared" si="39"/>
        <v>16.559999999999999</v>
      </c>
      <c r="AH202" s="144">
        <f t="shared" si="28"/>
        <v>609.4079999999999</v>
      </c>
      <c r="AI202" s="145">
        <f t="shared" si="29"/>
        <v>0.97826086956521752</v>
      </c>
      <c r="AJ202" s="145">
        <f t="shared" si="30"/>
        <v>16.2</v>
      </c>
      <c r="AK202" s="145">
        <f t="shared" si="26"/>
        <v>0.39130434782608459</v>
      </c>
      <c r="AL202" s="145">
        <f t="shared" si="27"/>
        <v>16.20039382003986</v>
      </c>
      <c r="AM202" s="146"/>
      <c r="AN202" s="145">
        <f>MAX(0,Table7[[#This Row],[I_L]]-0.5*Table7[[#This Row],[I_L pkpk]])</f>
        <v>16.004347826086956</v>
      </c>
      <c r="AO202" s="145">
        <f>Table7[[#This Row],[I_L]]+0.5*Table7[[#This Row],[I_L pkpk]]</f>
        <v>16.395652173913042</v>
      </c>
      <c r="AP202" s="145">
        <f ca="1">IF(VACnom&gt;Vbat, (VGS_S-(TI_MOSFET_S_VTH_H_BU+Table7[[#This Row],[I_L]]/TI_MOSFET_S_gFS_H_BU))/3.4, (VGS_S-(TI_MOSFET_S_VTH_L_BO+Table7[[#This Row],[I_L]]/TI_MOSFET_S_gFS_L_BO))/3.4 )</f>
        <v>2.978054298642534</v>
      </c>
      <c r="AQ202" s="145">
        <f ca="1">IF(VACnom&gt;Vbat, ((TI_MOSFET_S_VTH_H_BU+Table7[[#This Row],[I_L]]/TI_MOSFET_S_gFS_H_BU))/1, ((TI_MOSFET_S_VTH_L_BO+Table7[[#This Row],[I_L]]/TI_MOSFET_S_gFS_L_BO))/1 )</f>
        <v>1.8746153846153846</v>
      </c>
      <c r="AR202" s="145">
        <f ca="1">IF(VACnom&gt;Vbat, (TI_MOSFET_S_QGD_H_BU+TI_MOSFET_S_QGS_H_BU)*10^-9/Table7[[#This Row],[Ion (A)]], (TI_MOSFET_S_QGD_L_BO+TI_MOSFET_S_QGS_L_BO)*10^-9/Table7[[#This Row],[Ion (A)]])/10^-9</f>
        <v>9.6707437514244479</v>
      </c>
      <c r="AS202" s="145">
        <f ca="1">IF(VACnom&gt;Vbat, (TI_MOSFET_S_QGD_H_BU+TI_MOSFET_S_QGS_H_BU)*10^-9/Table7[[#This Row],[Ioff (A)]], (TI_MOSFET_S_QGD_L_BO+TI_MOSFET_S_QGS_L_BO)*10^-9/Table7[[#This Row],[Ioff (A)]])/10^-9</f>
        <v>15.363151415675011</v>
      </c>
      <c r="AT202" s="145">
        <f ca="1" xml:space="preserve"> 0.5*VACnom*Table7[[#This Row],[Ivalley (A)]]*Table7[[#This Row],[ton (ns)]]*10^-9*Fsw*10^3+0.5*VACnom*Table7[[#This Row],[Ipeak (A)]]*Table7[[#This Row],[toff (ns)]]*10^-9*Fsw*10^3/10^-3</f>
        <v>927.52067194015149</v>
      </c>
      <c r="AU202" s="145">
        <f t="shared" ca="1" si="31"/>
        <v>268.64000000000004</v>
      </c>
      <c r="AV202" s="145" t="e">
        <f t="shared" si="32"/>
        <v>#VALUE!</v>
      </c>
      <c r="AW202" s="145">
        <f t="shared" ca="1" si="33"/>
        <v>566.72000000000025</v>
      </c>
      <c r="AX202" s="145">
        <f ca="1">IF(VACnom&gt;Vbat, TI_MOSFET_S_VSD_L_BU*Table7[[#This Row],[Ivalley (A)]]*Fsw*10^3*40*10^-9+TI_MOSFET_S_VSD_L_BU*Table7[[#This Row],[Ipeak (A)]]*Fsw*10^3*30*10^-9, TI_MOSFET_S_VSD_H_BO*Table7[[#This Row],[Ivalley (A)]]*Fsw*10^3*40*10^-9+TI_MOSFET_S_VSD_H_BO*Table7[[#This Row],[Ipeak (A)]]*Fsw*10^3*30*10^-9)/10^-3</f>
        <v>163.01426086956525</v>
      </c>
      <c r="AY202" s="145" t="e">
        <f t="shared" si="34"/>
        <v>#VALUE!</v>
      </c>
      <c r="AZ202" s="145" t="e">
        <f>IF(VACnom&lt;Vbat, Table7[[#This Row],[Duty Cycle]]*Table7[[#This Row],[I_L RMS]]^2*TI_MOSFET_S_RDSON_H_BU*10^-3, (1-Table7[[#This Row],[Duty Cycle]])*Table7[[#This Row],[I_L RMS]]^2*TI_MOSFET_S_RDSON_H_BO*10^-3)/10^-3</f>
        <v>#VALUE!</v>
      </c>
      <c r="BA202" s="145" t="e">
        <f ca="1">IF(VACnom&gt;Vbat, Table7[[#This Row],[PIV (mW)]]+Table7[[#This Row],[Pqoss (mW)]]+Table7[[#This Row],[Pgate_top (mW)]], Table7[[#This Row],[PRR (mW)]]+Table7[[#This Row],[Pdead (mW)]]+Table7[[#This Row],[Pgate_top (mW)]])</f>
        <v>#VALUE!</v>
      </c>
      <c r="BB202" s="145" t="e">
        <f ca="1">Table7[[#This Row],[Pcon_top (mW)]]+Table7[[#This Row],[Psw_top (mW)]]</f>
        <v>#VALUE!</v>
      </c>
      <c r="BC202" s="145" t="e">
        <f>IF(VACnom&gt;Vbat, (1-Table7[[#This Row],[Duty Cycle]])*Table7[[#This Row],[I_L RMS]]^2*TI_MOSFET_S_RDSON_L_BU*10^-3, Table7[[#This Row],[Duty Cycle]]*Table7[[#This Row],[I_L RMS]]^2*TI_MOSFET_S_RDSON_L_BO*10^-3)/10^-3</f>
        <v>#VALUE!</v>
      </c>
      <c r="BD202" s="145" t="e">
        <f ca="1">IF(VACnom&gt;Vbat, Table7[[#This Row],[PRR (mW)]]+Table7[[#This Row],[Pdead (mW)]]+Table7[[#This Row],[Pgate_bottom (mW)]], Table7[[#This Row],[PIV (mW)]]+Table7[[#This Row],[Pqoss (mW)]]+Table7[[#This Row],[Pgate_bottom (mW)]])</f>
        <v>#VALUE!</v>
      </c>
      <c r="BE202" s="147" t="e">
        <f ca="1">Table7[[#This Row],[Pcon_bottom (mW)]]+Table7[[#This Row],[Psw_bottom (mW)]]</f>
        <v>#VALUE!</v>
      </c>
      <c r="BF202" s="145" t="e">
        <f ca="1">Table7[[#This Row],[Pbottom (mW)]]+Table7[[#This Row],[Ptop (mW)]]</f>
        <v>#VALUE!</v>
      </c>
      <c r="BG202" s="142"/>
      <c r="BH202" s="145">
        <f>MAX(0,Table7[[#This Row],[I_L]]-0.5*Table7[[#This Row],[I_L pkpk]])</f>
        <v>16.004347826086956</v>
      </c>
      <c r="BI202" s="145">
        <f>Table7[[#This Row],[I_L]]+0.5*Table7[[#This Row],[I_L pkpk]]</f>
        <v>16.395652173913042</v>
      </c>
      <c r="BJ202" s="145">
        <f>IF(VACnom&gt;Vbat, (VGS_S-(C_MOSFET_S_VTH_H_BU+Table7[[#This Row],[I_L]]/C_MOSFET_S_gFS_H_BU))/3.4, (VGS_S-(C_MOSFET_S_VTH_L_BO+Table7[[#This Row],[I_L]]/C_MOSFET_S_gFS_L_BO))/3.4 )</f>
        <v>2.9295131845841786</v>
      </c>
      <c r="BK202" s="145">
        <f>IF(VACnom&gt;Vbat, ((C_MOSFET_S_VTH_H_BU+Table7[[#This Row],[I_L]]/C_MOSFET_S_gFS_H_BU))/1, ((C_MOSFET_S_VTH_L_BO+Table7[[#This Row],[I_L]]/C_MOSFET_S_gFS_L_BO))/1 )</f>
        <v>2.0396551724137932</v>
      </c>
      <c r="BL202" s="145">
        <f>IF(VACnom&gt;Vbat, (C_MOSFET_S_QGD_H_BU+C_MOSFET_S_QGS_H_BU)*10^-9/Table7[[#This Row],[Ion (A) C]], (C_MOSFET_S_QGD_L_BO+C_MOSFET_S_QGS_L_BO)*10^-9/Table7[[#This Row],[Ion (A) C]])/10^-9</f>
        <v>5.2909814782759215</v>
      </c>
      <c r="BM202" s="145">
        <f>IF(VACnom&gt;Vbat, (C_MOSFET_S_QGD_H_BU+C_MOSFET_S_QGS_H_BU)*10^-9/Table7[[#This Row],[Ioff (A) C]], (C_MOSFET_S_QGD_L_BO+C_MOSFET_S_QGS_L_BO)*10^-9/Table7[[#This Row],[Ioff (A) C]])/10^-9</f>
        <v>7.5993237531699069</v>
      </c>
      <c r="BN202" s="145">
        <f xml:space="preserve"> 0.5*VACnom*Table7[[#This Row],[Ivalley (A) C]]*Table7[[#This Row],[ton (ns) C]]*10^-9*Fsw*10^3+0.5*VACnom*Table7[[#This Row],[Ipeak (A) C]]*Table7[[#This Row],[toff (ns) C]]*10^-9*Fsw*10^3/10^-3</f>
        <v>458.82441561640417</v>
      </c>
      <c r="BO202" s="145">
        <f t="shared" si="35"/>
        <v>305.44000000000011</v>
      </c>
      <c r="BP202" s="145">
        <f t="shared" si="36"/>
        <v>357.69600000000014</v>
      </c>
      <c r="BQ202" s="145">
        <f t="shared" si="37"/>
        <v>1067.2000000000003</v>
      </c>
      <c r="BR202" s="145">
        <f>IF(VACnom&gt;Vbat, C_MOSFET_S_VSD_L_BU*Table7[[#This Row],[Ivalley (A) C]]*Fsw*10^3*40*10^-9+C_MOSFET_S_VSD_L_BU*Table7[[#This Row],[Ipeak (A) C]]*Fsw*10^3*30*10^-9, C_MOSFET_S_VSD_H_BO*Table7[[#This Row],[Ivalley (A) C]]*Fsw*10^3*40*10^-9+C_MOSFET_S_VSD_H_BO*Table7[[#This Row],[Ipeak (A) C]]*Fsw*10^3*30*10^-9)/10^-3</f>
        <v>181.1269565217392</v>
      </c>
      <c r="BS202" s="145">
        <f t="shared" si="38"/>
        <v>357.69600000000014</v>
      </c>
      <c r="BT202" s="145">
        <f>IF(VACnom&lt;Vbat, Table7[[#This Row],[Duty Cycle]]*Table7[[#This Row],[I_L RMS]]^2*C_MOSFET_S_RDSON_H_BU*10^-3, (1-Table7[[#This Row],[Duty Cycle]])*Table7[[#This Row],[I_L RMS]]^2*C_MOSFET_S_RDSON_H_BO*10^-3)/10^-3</f>
        <v>14.834286430508673</v>
      </c>
      <c r="BU202" s="145">
        <f>IF(VACnom&gt;Vbat, Table7[[#This Row],[PIV (mW) C]]+Table7[[#This Row],[PQoss (mW) C]]+Table7[[#This Row],[Pgate_top (mW) C]], Table7[[#This Row],[PRR (mW) C]]+Table7[[#This Row],[Pdead (mW) C]]+Table7[[#This Row],[Pgate_top (mW) C]])</f>
        <v>1121.9604156164044</v>
      </c>
      <c r="BV202" s="145">
        <f>Table7[[#This Row],[Pcon_top (mW) C]]+Table7[[#This Row],[Psw_top (mW) C]]</f>
        <v>1136.794702046913</v>
      </c>
      <c r="BW202" s="145">
        <f>IF(VACnom&gt;Vbat, (1-Table7[[#This Row],[Duty Cycle]])*Table7[[#This Row],[I_L RMS]]^2*C_MOSFET_S_RDSON_L_BU*10^-3, Table7[[#This Row],[Duty Cycle]]*Table7[[#This Row],[I_L RMS]]^2*C_MOSFET_S_RDSON_L_BO*10^-3)/10^-3</f>
        <v>9.6993411276402863</v>
      </c>
      <c r="BX202" s="145">
        <f>IF(VACnom&gt;Vbat, Table7[[#This Row],[PRR (mW) C]]+Table7[[#This Row],[Pdead (mW) C]]+Table7[[#This Row],[Pgate_bottom (mW) C]], Table7[[#This Row],[PIV (mW) C]]+Table7[[#This Row],[PQoss (mW) C]]+Table7[[#This Row],[Pgate_bottom (mW) C]])</f>
        <v>1606.0229565217396</v>
      </c>
      <c r="BY202" s="145">
        <f>Table7[[#This Row],[Pcon_bottom (mW) C]]+Table7[[#This Row],[Psw_bottom (mV) C]]</f>
        <v>1615.7222976493799</v>
      </c>
      <c r="BZ202" s="145">
        <f>Table7[[#This Row],[Pbottom (mW) C]]+Table7[[#This Row],[Ptop (mW) C]]</f>
        <v>2752.5169996962932</v>
      </c>
      <c r="CA202" s="148"/>
      <c r="CB202" s="144">
        <f>(RAC_SNS*10^-3*(Table7[[#This Row],[IOUT (A)]]*Vbat/VACnom)^2/10^-3)</f>
        <v>524.88</v>
      </c>
      <c r="CC202" s="144">
        <f>(RBAT_SNS*10^-3*Table7[[#This Row],[IOUT (A)]]^2)/10^-3</f>
        <v>1371.1679999999999</v>
      </c>
      <c r="CD202" s="144">
        <f>IF(VACnom&gt;Vbat,(L_DRC*10^-3*(Table7[[#This Row],[IOUT (A)]])^2/10^-3),(L_DRC*10^-3*(Table7[[#This Row],[IOUT (A)]]*Vbat/VACnom)^2/10^-3))</f>
        <v>1371.1679999999999</v>
      </c>
      <c r="CE202" s="152"/>
      <c r="CF202" s="145">
        <f>(Table7[[#This Row],[R_AC (mW)]]+Table7[[#This Row],[R_SR (mW)]]+Table7[[#This Row],[Inductor Loss (mW)]])/10^3</f>
        <v>3.2672159999999995</v>
      </c>
      <c r="CG202" s="145" t="e">
        <f ca="1">Table7[[#This Row],[Total TI (mW)]]/10^3</f>
        <v>#VALUE!</v>
      </c>
      <c r="CH202" s="145" t="e">
        <f ca="1">Table7[[#This Row],[Total Sense Loss]]+Table7[[#This Row],[Total MOSFET Loss]]</f>
        <v>#VALUE!</v>
      </c>
      <c r="CI202" s="149" t="e">
        <f ca="1">IF(Table7[[#This Row],[POUT (W)]]=0,0,(Table7[[#This Row],[POUT (W)]])/(Table7[[#This Row],[POUT (W)]]+Table7[[#This Row],[Total Power Loss (W)]]))*100</f>
        <v>#VALUE!</v>
      </c>
      <c r="CJ202" s="153"/>
      <c r="CK202" s="145">
        <f>(Table7[[#This Row],[R_AC (mW)]]+Table7[[#This Row],[R_SR (mW)]]+Table7[[#This Row],[Inductor Loss (mW)]])/10^3</f>
        <v>3.2672159999999995</v>
      </c>
      <c r="CL202" s="145">
        <f>Table7[[#This Row],[Total (mW) C]]/10^3</f>
        <v>2.7525169996962933</v>
      </c>
      <c r="CM202" s="145">
        <f>Table7[[#This Row],[Total Sense Loss C]]+Table7[[#This Row],[Total MOSFET Loss C]]</f>
        <v>6.0197329996962932</v>
      </c>
      <c r="CN202" s="149">
        <f>IF(Table7[[#This Row],[POUT (W)]]=0,0,(Table7[[#This Row],[POUT (W)]])/(Table7[[#This Row],[POUT (W)]]+Table7[[#This Row],[Total Power Loss (W) C]]))*100</f>
        <v>99.021861921893716</v>
      </c>
      <c r="CO202" s="153"/>
      <c r="CP202" s="149">
        <f>IF(MOSFET_S=Custom_MOSFET,Table7[[#This Row],[Total Sense Loss C]],Table7[[#This Row],[Total Sense Loss]])</f>
        <v>3.2672159999999995</v>
      </c>
      <c r="CQ202" s="149">
        <f>IF(MOSFET_S=Custom_MOSFET,Table7[[#This Row],[Total MOSFET Loss C]],Table7[[#This Row],[Total MOSFET Loss]])</f>
        <v>2.7525169996962933</v>
      </c>
      <c r="CR202" s="149">
        <f>IF(MOSFET_S=Custom_MOSFET,Table7[[#This Row],[Efficiency C]],Table7[[#This Row],[Efficiency]])</f>
        <v>99.021861921893716</v>
      </c>
      <c r="CS202" s="153"/>
      <c r="CT202" s="149">
        <f>IF(MOSFET_S=Compare_MOSFET, Table7[[#This Row],[Total Sense Loss C]], -100)</f>
        <v>-100</v>
      </c>
      <c r="CU202" s="149">
        <f>IF(MOSFET_S=Compare_MOSFET, Table7[[#This Row],[Total MOSFET Loss C]], -100)</f>
        <v>-100</v>
      </c>
      <c r="CV202" s="149">
        <f>IF(MOSFET_S=Compare_MOSFET, Table7[[#This Row],[Efficiency C]], -100)</f>
        <v>-100</v>
      </c>
      <c r="CW202" s="153"/>
      <c r="CX202" s="149">
        <f ca="1">IF(Save_Sel=CLR_Save,  Table7[[#This Row],[Total Sense Loss P1]], Table7[[#This Row],[Total Sense Loss P1 Saved]])</f>
        <v>3.2672159999999995</v>
      </c>
      <c r="CY202" s="149">
        <f ca="1">IF(Save_Sel=CLR_Save,  Table7[[#This Row],[Total MOSFET Loss P1]], Table7[[#This Row],[Total MOSFET Loss P1 Saved]] )</f>
        <v>2.7525169996962933</v>
      </c>
      <c r="CZ202" s="149">
        <f ca="1">IF(Save_Sel=CLR_Save, Table7[[#This Row],[Efficiency P1]], Table7[[#This Row],[Efficiency P1 Saved]])</f>
        <v>99.021861921893716</v>
      </c>
      <c r="DA202" s="153"/>
      <c r="DB202" s="149">
        <f ca="1">IF(Save_Sel=CLR_Save,  Table7[[#This Row],[Total Sense Loss P2]], Table7[[#This Row],[Total Sense Loss P2 Saved]])</f>
        <v>-100</v>
      </c>
      <c r="DC202" s="149">
        <f ca="1">IF(Save_Sel=CLR_Save,  Table7[[#This Row],[Total MOSFET Loss P2]], Table7[[#This Row],[Total MOSFET Loss P2 Saved]] )</f>
        <v>-100</v>
      </c>
      <c r="DD202" s="149">
        <f ca="1">IF(Save_Sel=CLR_Save, Table7[[#This Row],[Efficiency P2]], Table7[[#This Row],[Efficiency P2 Saved]])</f>
        <v>-100</v>
      </c>
      <c r="DE202" s="153"/>
      <c r="DF202" s="19"/>
      <c r="DG202" s="19"/>
      <c r="DH202" s="19"/>
      <c r="DI202" s="19"/>
      <c r="DJ202" s="19"/>
      <c r="DK202" s="19"/>
      <c r="DL202" s="19"/>
      <c r="DM202" s="19"/>
      <c r="DN202" s="19"/>
      <c r="DO202" s="19"/>
      <c r="DP202" s="19"/>
      <c r="DQ202" s="19"/>
      <c r="DR202" s="19"/>
      <c r="DS202" s="19"/>
      <c r="DT202" s="19"/>
      <c r="DU202" s="19"/>
      <c r="DV202" s="19"/>
      <c r="DW202" s="19"/>
      <c r="DX202" s="19"/>
      <c r="DY202" s="19"/>
      <c r="DZ202" s="19"/>
      <c r="EA202" s="19"/>
      <c r="EB202" s="19"/>
      <c r="EC202" s="19"/>
      <c r="ED202" s="19"/>
      <c r="EE202" s="19"/>
      <c r="EF202" s="19"/>
      <c r="EG202" s="19"/>
      <c r="EH202" s="19"/>
      <c r="EI202" s="19"/>
      <c r="EJ202" s="19"/>
      <c r="EK202" s="19"/>
      <c r="EL202" s="19"/>
      <c r="EM202" s="19"/>
      <c r="EN202" s="19"/>
      <c r="EO202" s="19"/>
      <c r="EP202" s="19"/>
      <c r="EQ202" s="19"/>
      <c r="ER202" s="19"/>
      <c r="ES202" s="19"/>
      <c r="ET202" s="19"/>
      <c r="EU202" s="19"/>
      <c r="EV202" s="19"/>
      <c r="EW202" s="19"/>
      <c r="EX202" s="19"/>
      <c r="EY202" s="19"/>
      <c r="EZ202" s="19"/>
      <c r="FA202" s="19"/>
      <c r="FB202" s="19"/>
      <c r="FC202" s="19"/>
      <c r="FD202" s="19"/>
      <c r="FE202" s="19"/>
      <c r="FF202" s="19"/>
      <c r="FG202" s="19"/>
      <c r="FH202" s="19"/>
      <c r="FI202" s="19"/>
    </row>
    <row r="203" spans="1:165" x14ac:dyDescent="0.25">
      <c r="A203" s="32"/>
      <c r="B203" s="49"/>
      <c r="C203" s="49"/>
      <c r="D203" s="32"/>
      <c r="E203" s="66"/>
      <c r="F203" s="66"/>
      <c r="G203" s="49"/>
      <c r="H203" s="29"/>
      <c r="I203" s="29"/>
      <c r="J203" s="29"/>
      <c r="K203" s="29"/>
      <c r="L203" s="29"/>
      <c r="M203" s="29"/>
      <c r="N203" s="29"/>
      <c r="O203" s="29"/>
      <c r="P203" s="29"/>
      <c r="Q203" s="29"/>
      <c r="R203" s="29"/>
      <c r="S203" s="30"/>
      <c r="T203" s="18"/>
      <c r="U203" s="19"/>
      <c r="V203" s="19"/>
      <c r="W203" s="19"/>
      <c r="X203" s="19"/>
      <c r="Y203" s="19"/>
      <c r="Z203" s="19"/>
      <c r="AA203" s="19"/>
      <c r="AB203" s="19"/>
      <c r="AC203" s="19"/>
      <c r="AD203" s="19"/>
      <c r="AE203" s="19"/>
      <c r="AF203" s="143">
        <f t="shared" si="17"/>
        <v>47</v>
      </c>
      <c r="AG203" s="143">
        <f t="shared" si="39"/>
        <v>16.920000000000002</v>
      </c>
      <c r="AH203" s="144">
        <f t="shared" si="28"/>
        <v>622.65600000000006</v>
      </c>
      <c r="AI203" s="145">
        <f t="shared" si="29"/>
        <v>0.97826086956521752</v>
      </c>
      <c r="AJ203" s="145">
        <f t="shared" si="30"/>
        <v>16.552173913043482</v>
      </c>
      <c r="AK203" s="145">
        <f t="shared" si="26"/>
        <v>0.39130434782608459</v>
      </c>
      <c r="AL203" s="145">
        <f t="shared" si="27"/>
        <v>16.552559354130793</v>
      </c>
      <c r="AM203" s="146"/>
      <c r="AN203" s="145">
        <f>MAX(0,Table7[[#This Row],[I_L]]-0.5*Table7[[#This Row],[I_L pkpk]])</f>
        <v>16.356521739130439</v>
      </c>
      <c r="AO203" s="145">
        <f>Table7[[#This Row],[I_L]]+0.5*Table7[[#This Row],[I_L pkpk]]</f>
        <v>16.747826086956525</v>
      </c>
      <c r="AP203" s="145">
        <f ca="1">IF(VACnom&gt;Vbat, (VGS_S-(TI_MOSFET_S_VTH_H_BU+Table7[[#This Row],[I_L]]/TI_MOSFET_S_gFS_H_BU))/3.4, (VGS_S-(TI_MOSFET_S_VTH_L_BO+Table7[[#This Row],[I_L]]/TI_MOSFET_S_gFS_L_BO))/3.4 )</f>
        <v>2.977257525083612</v>
      </c>
      <c r="AQ203" s="145">
        <f ca="1">IF(VACnom&gt;Vbat, ((TI_MOSFET_S_VTH_H_BU+Table7[[#This Row],[I_L]]/TI_MOSFET_S_gFS_H_BU))/1, ((TI_MOSFET_S_VTH_L_BO+Table7[[#This Row],[I_L]]/TI_MOSFET_S_gFS_L_BO))/1 )</f>
        <v>1.8773244147157191</v>
      </c>
      <c r="AR203" s="145">
        <f ca="1">IF(VACnom&gt;Vbat, (TI_MOSFET_S_QGD_H_BU+TI_MOSFET_S_QGS_H_BU)*10^-9/Table7[[#This Row],[Ion (A)]], (TI_MOSFET_S_QGD_L_BO+TI_MOSFET_S_QGS_L_BO)*10^-9/Table7[[#This Row],[Ion (A)]])/10^-9</f>
        <v>9.6733318355425748</v>
      </c>
      <c r="AS203" s="145">
        <f ca="1">IF(VACnom&gt;Vbat, (TI_MOSFET_S_QGD_H_BU+TI_MOSFET_S_QGS_H_BU)*10^-9/Table7[[#This Row],[Ioff (A)]], (TI_MOSFET_S_QGD_L_BO+TI_MOSFET_S_QGS_L_BO)*10^-9/Table7[[#This Row],[Ioff (A)]])/10^-9</f>
        <v>15.340981971068198</v>
      </c>
      <c r="AT203" s="145">
        <f ca="1" xml:space="preserve"> 0.5*VACnom*Table7[[#This Row],[Ivalley (A)]]*Table7[[#This Row],[ton (ns)]]*10^-9*Fsw*10^3+0.5*VACnom*Table7[[#This Row],[Ipeak (A)]]*Table7[[#This Row],[toff (ns)]]*10^-9*Fsw*10^3/10^-3</f>
        <v>946.0776580307205</v>
      </c>
      <c r="AU203" s="145">
        <f t="shared" ca="1" si="31"/>
        <v>268.64000000000004</v>
      </c>
      <c r="AV203" s="145" t="e">
        <f t="shared" si="32"/>
        <v>#VALUE!</v>
      </c>
      <c r="AW203" s="145">
        <f t="shared" ca="1" si="33"/>
        <v>566.72000000000025</v>
      </c>
      <c r="AX203" s="145">
        <f ca="1">IF(VACnom&gt;Vbat, TI_MOSFET_S_VSD_L_BU*Table7[[#This Row],[Ivalley (A)]]*Fsw*10^3*40*10^-9+TI_MOSFET_S_VSD_L_BU*Table7[[#This Row],[Ipeak (A)]]*Fsw*10^3*30*10^-9, TI_MOSFET_S_VSD_H_BO*Table7[[#This Row],[Ivalley (A)]]*Fsw*10^3*40*10^-9+TI_MOSFET_S_VSD_H_BO*Table7[[#This Row],[Ipeak (A)]]*Fsw*10^3*30*10^-9)/10^-3</f>
        <v>166.56417391304359</v>
      </c>
      <c r="AY203" s="145" t="e">
        <f t="shared" si="34"/>
        <v>#VALUE!</v>
      </c>
      <c r="AZ203" s="145" t="e">
        <f>IF(VACnom&lt;Vbat, Table7[[#This Row],[Duty Cycle]]*Table7[[#This Row],[I_L RMS]]^2*TI_MOSFET_S_RDSON_H_BU*10^-3, (1-Table7[[#This Row],[Duty Cycle]])*Table7[[#This Row],[I_L RMS]]^2*TI_MOSFET_S_RDSON_H_BO*10^-3)/10^-3</f>
        <v>#VALUE!</v>
      </c>
      <c r="BA203" s="145" t="e">
        <f ca="1">IF(VACnom&gt;Vbat, Table7[[#This Row],[PIV (mW)]]+Table7[[#This Row],[Pqoss (mW)]]+Table7[[#This Row],[Pgate_top (mW)]], Table7[[#This Row],[PRR (mW)]]+Table7[[#This Row],[Pdead (mW)]]+Table7[[#This Row],[Pgate_top (mW)]])</f>
        <v>#VALUE!</v>
      </c>
      <c r="BB203" s="145" t="e">
        <f ca="1">Table7[[#This Row],[Pcon_top (mW)]]+Table7[[#This Row],[Psw_top (mW)]]</f>
        <v>#VALUE!</v>
      </c>
      <c r="BC203" s="145" t="e">
        <f>IF(VACnom&gt;Vbat, (1-Table7[[#This Row],[Duty Cycle]])*Table7[[#This Row],[I_L RMS]]^2*TI_MOSFET_S_RDSON_L_BU*10^-3, Table7[[#This Row],[Duty Cycle]]*Table7[[#This Row],[I_L RMS]]^2*TI_MOSFET_S_RDSON_L_BO*10^-3)/10^-3</f>
        <v>#VALUE!</v>
      </c>
      <c r="BD203" s="145" t="e">
        <f ca="1">IF(VACnom&gt;Vbat, Table7[[#This Row],[PRR (mW)]]+Table7[[#This Row],[Pdead (mW)]]+Table7[[#This Row],[Pgate_bottom (mW)]], Table7[[#This Row],[PIV (mW)]]+Table7[[#This Row],[Pqoss (mW)]]+Table7[[#This Row],[Pgate_bottom (mW)]])</f>
        <v>#VALUE!</v>
      </c>
      <c r="BE203" s="147" t="e">
        <f ca="1">Table7[[#This Row],[Pcon_bottom (mW)]]+Table7[[#This Row],[Psw_bottom (mW)]]</f>
        <v>#VALUE!</v>
      </c>
      <c r="BF203" s="145" t="e">
        <f ca="1">Table7[[#This Row],[Pbottom (mW)]]+Table7[[#This Row],[Ptop (mW)]]</f>
        <v>#VALUE!</v>
      </c>
      <c r="BG203" s="142"/>
      <c r="BH203" s="145">
        <f>MAX(0,Table7[[#This Row],[I_L]]-0.5*Table7[[#This Row],[I_L pkpk]])</f>
        <v>16.356521739130439</v>
      </c>
      <c r="BI203" s="145">
        <f>Table7[[#This Row],[I_L]]+0.5*Table7[[#This Row],[I_L pkpk]]</f>
        <v>16.747826086956525</v>
      </c>
      <c r="BJ203" s="145">
        <f>IF(VACnom&gt;Vbat, (VGS_S-(C_MOSFET_S_VTH_H_BU+Table7[[#This Row],[I_L]]/C_MOSFET_S_gFS_H_BU))/3.4, (VGS_S-(C_MOSFET_S_VTH_L_BO+Table7[[#This Row],[I_L]]/C_MOSFET_S_gFS_L_BO))/3.4 )</f>
        <v>2.9286202486991799</v>
      </c>
      <c r="BK203" s="145">
        <f>IF(VACnom&gt;Vbat, ((C_MOSFET_S_VTH_H_BU+Table7[[#This Row],[I_L]]/C_MOSFET_S_gFS_H_BU))/1, ((C_MOSFET_S_VTH_L_BO+Table7[[#This Row],[I_L]]/C_MOSFET_S_gFS_L_BO))/1 )</f>
        <v>2.0426911544227884</v>
      </c>
      <c r="BL203" s="145">
        <f>IF(VACnom&gt;Vbat, (C_MOSFET_S_QGD_H_BU+C_MOSFET_S_QGS_H_BU)*10^-9/Table7[[#This Row],[Ion (A) C]], (C_MOSFET_S_QGD_L_BO+C_MOSFET_S_QGS_L_BO)*10^-9/Table7[[#This Row],[Ion (A) C]])/10^-9</f>
        <v>5.2925946977539038</v>
      </c>
      <c r="BM203" s="145">
        <f>IF(VACnom&gt;Vbat, (C_MOSFET_S_QGD_H_BU+C_MOSFET_S_QGS_H_BU)*10^-9/Table7[[#This Row],[Ioff (A) C]], (C_MOSFET_S_QGD_L_BO+C_MOSFET_S_QGS_L_BO)*10^-9/Table7[[#This Row],[Ioff (A) C]])/10^-9</f>
        <v>7.5880291381493237</v>
      </c>
      <c r="BN203" s="145">
        <f xml:space="preserve"> 0.5*VACnom*Table7[[#This Row],[Ivalley (A) C]]*Table7[[#This Row],[ton (ns) C]]*10^-9*Fsw*10^3+0.5*VACnom*Table7[[#This Row],[Ipeak (A) C]]*Table7[[#This Row],[toff (ns) C]]*10^-9*Fsw*10^3/10^-3</f>
        <v>467.98398370246645</v>
      </c>
      <c r="BO203" s="145">
        <f t="shared" si="35"/>
        <v>305.44000000000011</v>
      </c>
      <c r="BP203" s="145">
        <f t="shared" si="36"/>
        <v>357.69600000000014</v>
      </c>
      <c r="BQ203" s="145">
        <f t="shared" si="37"/>
        <v>1067.2000000000003</v>
      </c>
      <c r="BR203" s="145">
        <f>IF(VACnom&gt;Vbat, C_MOSFET_S_VSD_L_BU*Table7[[#This Row],[Ivalley (A) C]]*Fsw*10^3*40*10^-9+C_MOSFET_S_VSD_L_BU*Table7[[#This Row],[Ipeak (A) C]]*Fsw*10^3*30*10^-9, C_MOSFET_S_VSD_H_BO*Table7[[#This Row],[Ivalley (A) C]]*Fsw*10^3*40*10^-9+C_MOSFET_S_VSD_H_BO*Table7[[#This Row],[Ipeak (A) C]]*Fsw*10^3*30*10^-9)/10^-3</f>
        <v>185.07130434782621</v>
      </c>
      <c r="BS203" s="145">
        <f t="shared" si="38"/>
        <v>357.69600000000014</v>
      </c>
      <c r="BT203" s="145">
        <f>IF(VACnom&lt;Vbat, Table7[[#This Row],[Duty Cycle]]*Table7[[#This Row],[I_L RMS]]^2*C_MOSFET_S_RDSON_H_BU*10^-3, (1-Table7[[#This Row],[Duty Cycle]])*Table7[[#This Row],[I_L RMS]]^2*C_MOSFET_S_RDSON_H_BO*10^-3)/10^-3</f>
        <v>15.486234240157723</v>
      </c>
      <c r="BU203" s="145">
        <f>IF(VACnom&gt;Vbat, Table7[[#This Row],[PIV (mW) C]]+Table7[[#This Row],[PQoss (mW) C]]+Table7[[#This Row],[Pgate_top (mW) C]], Table7[[#This Row],[PRR (mW) C]]+Table7[[#This Row],[Pdead (mW) C]]+Table7[[#This Row],[Pgate_top (mW) C]])</f>
        <v>1131.1199837024667</v>
      </c>
      <c r="BV203" s="145">
        <f>Table7[[#This Row],[Pcon_top (mW) C]]+Table7[[#This Row],[Psw_top (mW) C]]</f>
        <v>1146.6062179426244</v>
      </c>
      <c r="BW203" s="145">
        <f>IF(VACnom&gt;Vbat, (1-Table7[[#This Row],[Duty Cycle]])*Table7[[#This Row],[I_L RMS]]^2*C_MOSFET_S_RDSON_L_BU*10^-3, Table7[[#This Row],[Duty Cycle]]*Table7[[#This Row],[I_L RMS]]^2*C_MOSFET_S_RDSON_L_BO*10^-3)/10^-3</f>
        <v>10.125614695487741</v>
      </c>
      <c r="BX203" s="145">
        <f>IF(VACnom&gt;Vbat, Table7[[#This Row],[PRR (mW) C]]+Table7[[#This Row],[Pdead (mW) C]]+Table7[[#This Row],[Pgate_bottom (mW) C]], Table7[[#This Row],[PIV (mW) C]]+Table7[[#This Row],[PQoss (mW) C]]+Table7[[#This Row],[Pgate_bottom (mW) C]])</f>
        <v>1609.9673043478267</v>
      </c>
      <c r="BY203" s="145">
        <f>Table7[[#This Row],[Pcon_bottom (mW) C]]+Table7[[#This Row],[Psw_bottom (mV) C]]</f>
        <v>1620.0929190433144</v>
      </c>
      <c r="BZ203" s="145">
        <f>Table7[[#This Row],[Pbottom (mW) C]]+Table7[[#This Row],[Ptop (mW) C]]</f>
        <v>2766.6991369859388</v>
      </c>
      <c r="CA203" s="148"/>
      <c r="CB203" s="144">
        <f>(RAC_SNS*10^-3*(Table7[[#This Row],[IOUT (A)]]*Vbat/VACnom)^2/10^-3)</f>
        <v>547.94892249527436</v>
      </c>
      <c r="CC203" s="144">
        <f>(RBAT_SNS*10^-3*Table7[[#This Row],[IOUT (A)]]^2)/10^-3</f>
        <v>1431.4320000000005</v>
      </c>
      <c r="CD203" s="144">
        <f>IF(VACnom&gt;Vbat,(L_DRC*10^-3*(Table7[[#This Row],[IOUT (A)]])^2/10^-3),(L_DRC*10^-3*(Table7[[#This Row],[IOUT (A)]]*Vbat/VACnom)^2/10^-3))</f>
        <v>1431.4320000000005</v>
      </c>
      <c r="CE203" s="152"/>
      <c r="CF203" s="145">
        <f>(Table7[[#This Row],[R_AC (mW)]]+Table7[[#This Row],[R_SR (mW)]]+Table7[[#This Row],[Inductor Loss (mW)]])/10^3</f>
        <v>3.4108129224952752</v>
      </c>
      <c r="CG203" s="145" t="e">
        <f ca="1">Table7[[#This Row],[Total TI (mW)]]/10^3</f>
        <v>#VALUE!</v>
      </c>
      <c r="CH203" s="145" t="e">
        <f ca="1">Table7[[#This Row],[Total Sense Loss]]+Table7[[#This Row],[Total MOSFET Loss]]</f>
        <v>#VALUE!</v>
      </c>
      <c r="CI203" s="149" t="e">
        <f ca="1">IF(Table7[[#This Row],[POUT (W)]]=0,0,(Table7[[#This Row],[POUT (W)]])/(Table7[[#This Row],[POUT (W)]]+Table7[[#This Row],[Total Power Loss (W)]]))*100</f>
        <v>#VALUE!</v>
      </c>
      <c r="CJ203" s="153"/>
      <c r="CK203" s="145">
        <f>(Table7[[#This Row],[R_AC (mW)]]+Table7[[#This Row],[R_SR (mW)]]+Table7[[#This Row],[Inductor Loss (mW)]])/10^3</f>
        <v>3.4108129224952752</v>
      </c>
      <c r="CL203" s="145">
        <f>Table7[[#This Row],[Total (mW) C]]/10^3</f>
        <v>2.7666991369859386</v>
      </c>
      <c r="CM203" s="145">
        <f>Table7[[#This Row],[Total Sense Loss C]]+Table7[[#This Row],[Total MOSFET Loss C]]</f>
        <v>6.1775120594812138</v>
      </c>
      <c r="CN203" s="149">
        <f>IF(Table7[[#This Row],[POUT (W)]]=0,0,(Table7[[#This Row],[POUT (W)]])/(Table7[[#This Row],[POUT (W)]]+Table7[[#This Row],[Total Power Loss (W) C]]))*100</f>
        <v>99.017623593365869</v>
      </c>
      <c r="CO203" s="153"/>
      <c r="CP203" s="149">
        <f>IF(MOSFET_S=Custom_MOSFET,Table7[[#This Row],[Total Sense Loss C]],Table7[[#This Row],[Total Sense Loss]])</f>
        <v>3.4108129224952752</v>
      </c>
      <c r="CQ203" s="149">
        <f>IF(MOSFET_S=Custom_MOSFET,Table7[[#This Row],[Total MOSFET Loss C]],Table7[[#This Row],[Total MOSFET Loss]])</f>
        <v>2.7666991369859386</v>
      </c>
      <c r="CR203" s="149">
        <f>IF(MOSFET_S=Custom_MOSFET,Table7[[#This Row],[Efficiency C]],Table7[[#This Row],[Efficiency]])</f>
        <v>99.017623593365869</v>
      </c>
      <c r="CS203" s="153"/>
      <c r="CT203" s="149">
        <f>IF(MOSFET_S=Compare_MOSFET, Table7[[#This Row],[Total Sense Loss C]], -100)</f>
        <v>-100</v>
      </c>
      <c r="CU203" s="149">
        <f>IF(MOSFET_S=Compare_MOSFET, Table7[[#This Row],[Total MOSFET Loss C]], -100)</f>
        <v>-100</v>
      </c>
      <c r="CV203" s="149">
        <f>IF(MOSFET_S=Compare_MOSFET, Table7[[#This Row],[Efficiency C]], -100)</f>
        <v>-100</v>
      </c>
      <c r="CW203" s="153"/>
      <c r="CX203" s="149">
        <f ca="1">IF(Save_Sel=CLR_Save,  Table7[[#This Row],[Total Sense Loss P1]], Table7[[#This Row],[Total Sense Loss P1 Saved]])</f>
        <v>3.4108129224952752</v>
      </c>
      <c r="CY203" s="149">
        <f ca="1">IF(Save_Sel=CLR_Save,  Table7[[#This Row],[Total MOSFET Loss P1]], Table7[[#This Row],[Total MOSFET Loss P1 Saved]] )</f>
        <v>2.7666991369859386</v>
      </c>
      <c r="CZ203" s="149">
        <f ca="1">IF(Save_Sel=CLR_Save, Table7[[#This Row],[Efficiency P1]], Table7[[#This Row],[Efficiency P1 Saved]])</f>
        <v>99.017623593365869</v>
      </c>
      <c r="DA203" s="153"/>
      <c r="DB203" s="149">
        <f ca="1">IF(Save_Sel=CLR_Save,  Table7[[#This Row],[Total Sense Loss P2]], Table7[[#This Row],[Total Sense Loss P2 Saved]])</f>
        <v>-100</v>
      </c>
      <c r="DC203" s="149">
        <f ca="1">IF(Save_Sel=CLR_Save,  Table7[[#This Row],[Total MOSFET Loss P2]], Table7[[#This Row],[Total MOSFET Loss P2 Saved]] )</f>
        <v>-100</v>
      </c>
      <c r="DD203" s="149">
        <f ca="1">IF(Save_Sel=CLR_Save, Table7[[#This Row],[Efficiency P2]], Table7[[#This Row],[Efficiency P2 Saved]])</f>
        <v>-100</v>
      </c>
      <c r="DE203" s="153"/>
      <c r="DF203" s="19"/>
      <c r="DG203" s="19"/>
      <c r="DH203" s="19"/>
      <c r="DI203" s="19"/>
      <c r="DJ203" s="19"/>
      <c r="DK203" s="19"/>
      <c r="DL203" s="19"/>
      <c r="DM203" s="19"/>
      <c r="DN203" s="19"/>
      <c r="DO203" s="19"/>
      <c r="DP203" s="19"/>
      <c r="DQ203" s="19"/>
      <c r="DR203" s="19"/>
      <c r="DS203" s="19"/>
      <c r="DT203" s="19"/>
      <c r="DU203" s="19"/>
      <c r="DV203" s="19"/>
      <c r="DW203" s="19"/>
      <c r="DX203" s="19"/>
      <c r="DY203" s="19"/>
      <c r="DZ203" s="19"/>
      <c r="EA203" s="19"/>
      <c r="EB203" s="19"/>
      <c r="EC203" s="19"/>
      <c r="ED203" s="19"/>
      <c r="EE203" s="19"/>
      <c r="EF203" s="19"/>
      <c r="EG203" s="19"/>
      <c r="EH203" s="19"/>
      <c r="EI203" s="19"/>
      <c r="EJ203" s="19"/>
      <c r="EK203" s="19"/>
      <c r="EL203" s="19"/>
      <c r="EM203" s="19"/>
      <c r="EN203" s="19"/>
      <c r="EO203" s="19"/>
      <c r="EP203" s="19"/>
      <c r="EQ203" s="19"/>
      <c r="ER203" s="19"/>
      <c r="ES203" s="19"/>
      <c r="ET203" s="19"/>
      <c r="EU203" s="19"/>
      <c r="EV203" s="19"/>
      <c r="EW203" s="19"/>
      <c r="EX203" s="19"/>
      <c r="EY203" s="19"/>
      <c r="EZ203" s="19"/>
      <c r="FA203" s="19"/>
      <c r="FB203" s="19"/>
      <c r="FC203" s="19"/>
      <c r="FD203" s="19"/>
      <c r="FE203" s="19"/>
      <c r="FF203" s="19"/>
      <c r="FG203" s="19"/>
      <c r="FH203" s="19"/>
      <c r="FI203" s="19"/>
    </row>
    <row r="204" spans="1:165" x14ac:dyDescent="0.25">
      <c r="A204" s="32"/>
      <c r="B204" s="49"/>
      <c r="C204" s="49"/>
      <c r="D204" s="32"/>
      <c r="E204" s="66"/>
      <c r="F204" s="66"/>
      <c r="G204" s="49"/>
      <c r="H204" s="29"/>
      <c r="I204" s="29"/>
      <c r="J204" s="29"/>
      <c r="K204" s="29"/>
      <c r="L204" s="29"/>
      <c r="M204" s="29"/>
      <c r="N204" s="29"/>
      <c r="O204" s="29"/>
      <c r="P204" s="29"/>
      <c r="Q204" s="29"/>
      <c r="R204" s="29"/>
      <c r="S204" s="30"/>
      <c r="T204" s="18"/>
      <c r="U204" s="19"/>
      <c r="V204" s="19"/>
      <c r="W204" s="19"/>
      <c r="X204" s="19"/>
      <c r="Y204" s="19"/>
      <c r="Z204" s="19"/>
      <c r="AA204" s="19"/>
      <c r="AB204" s="19"/>
      <c r="AC204" s="19"/>
      <c r="AD204" s="19"/>
      <c r="AE204" s="19"/>
      <c r="AF204" s="143">
        <f t="shared" si="17"/>
        <v>48</v>
      </c>
      <c r="AG204" s="143">
        <f t="shared" si="39"/>
        <v>17.28</v>
      </c>
      <c r="AH204" s="144">
        <f t="shared" si="28"/>
        <v>635.904</v>
      </c>
      <c r="AI204" s="145">
        <f t="shared" si="29"/>
        <v>0.97826086956521752</v>
      </c>
      <c r="AJ204" s="145">
        <f t="shared" si="30"/>
        <v>16.904347826086958</v>
      </c>
      <c r="AK204" s="145">
        <f t="shared" si="26"/>
        <v>0.39130434782608459</v>
      </c>
      <c r="AL204" s="145">
        <f t="shared" si="27"/>
        <v>16.904725237332801</v>
      </c>
      <c r="AM204" s="146"/>
      <c r="AN204" s="145">
        <f>MAX(0,Table7[[#This Row],[I_L]]-0.5*Table7[[#This Row],[I_L pkpk]])</f>
        <v>16.708695652173915</v>
      </c>
      <c r="AO204" s="145">
        <f>Table7[[#This Row],[I_L]]+0.5*Table7[[#This Row],[I_L pkpk]]</f>
        <v>17.100000000000001</v>
      </c>
      <c r="AP204" s="145">
        <f ca="1">IF(VACnom&gt;Vbat, (VGS_S-(TI_MOSFET_S_VTH_H_BU+Table7[[#This Row],[I_L]]/TI_MOSFET_S_gFS_H_BU))/3.4, (VGS_S-(TI_MOSFET_S_VTH_L_BO+Table7[[#This Row],[I_L]]/TI_MOSFET_S_gFS_L_BO))/3.4 )</f>
        <v>2.9764607515246904</v>
      </c>
      <c r="AQ204" s="145">
        <f ca="1">IF(VACnom&gt;Vbat, ((TI_MOSFET_S_VTH_H_BU+Table7[[#This Row],[I_L]]/TI_MOSFET_S_gFS_H_BU))/1, ((TI_MOSFET_S_VTH_L_BO+Table7[[#This Row],[I_L]]/TI_MOSFET_S_gFS_L_BO))/1 )</f>
        <v>1.8800334448160536</v>
      </c>
      <c r="AR204" s="145">
        <f ca="1">IF(VACnom&gt;Vbat, (TI_MOSFET_S_QGD_H_BU+TI_MOSFET_S_QGS_H_BU)*10^-9/Table7[[#This Row],[Ion (A)]], (TI_MOSFET_S_QGD_L_BO+TI_MOSFET_S_QGS_L_BO)*10^-9/Table7[[#This Row],[Ion (A)]])/10^-9</f>
        <v>9.6759213052774911</v>
      </c>
      <c r="AS204" s="145">
        <f ca="1">IF(VACnom&gt;Vbat, (TI_MOSFET_S_QGD_H_BU+TI_MOSFET_S_QGS_H_BU)*10^-9/Table7[[#This Row],[Ioff (A)]], (TI_MOSFET_S_QGD_L_BO+TI_MOSFET_S_QGS_L_BO)*10^-9/Table7[[#This Row],[Ioff (A)]])/10^-9</f>
        <v>15.31887641648729</v>
      </c>
      <c r="AT204" s="145">
        <f ca="1" xml:space="preserve"> 0.5*VACnom*Table7[[#This Row],[Ivalley (A)]]*Table7[[#This Row],[ton (ns)]]*10^-9*Fsw*10^3+0.5*VACnom*Table7[[#This Row],[Ipeak (A)]]*Table7[[#This Row],[toff (ns)]]*10^-9*Fsw*10^3/10^-3</f>
        <v>964.58120818593136</v>
      </c>
      <c r="AU204" s="145">
        <f t="shared" ca="1" si="31"/>
        <v>268.64000000000004</v>
      </c>
      <c r="AV204" s="145" t="e">
        <f t="shared" si="32"/>
        <v>#VALUE!</v>
      </c>
      <c r="AW204" s="145">
        <f t="shared" ca="1" si="33"/>
        <v>566.72000000000025</v>
      </c>
      <c r="AX204" s="145">
        <f ca="1">IF(VACnom&gt;Vbat, TI_MOSFET_S_VSD_L_BU*Table7[[#This Row],[Ivalley (A)]]*Fsw*10^3*40*10^-9+TI_MOSFET_S_VSD_L_BU*Table7[[#This Row],[Ipeak (A)]]*Fsw*10^3*30*10^-9, TI_MOSFET_S_VSD_H_BO*Table7[[#This Row],[Ivalley (A)]]*Fsw*10^3*40*10^-9+TI_MOSFET_S_VSD_H_BO*Table7[[#This Row],[Ipeak (A)]]*Fsw*10^3*30*10^-9)/10^-3</f>
        <v>170.11408695652179</v>
      </c>
      <c r="AY204" s="145" t="e">
        <f t="shared" si="34"/>
        <v>#VALUE!</v>
      </c>
      <c r="AZ204" s="145" t="e">
        <f>IF(VACnom&lt;Vbat, Table7[[#This Row],[Duty Cycle]]*Table7[[#This Row],[I_L RMS]]^2*TI_MOSFET_S_RDSON_H_BU*10^-3, (1-Table7[[#This Row],[Duty Cycle]])*Table7[[#This Row],[I_L RMS]]^2*TI_MOSFET_S_RDSON_H_BO*10^-3)/10^-3</f>
        <v>#VALUE!</v>
      </c>
      <c r="BA204" s="145" t="e">
        <f ca="1">IF(VACnom&gt;Vbat, Table7[[#This Row],[PIV (mW)]]+Table7[[#This Row],[Pqoss (mW)]]+Table7[[#This Row],[Pgate_top (mW)]], Table7[[#This Row],[PRR (mW)]]+Table7[[#This Row],[Pdead (mW)]]+Table7[[#This Row],[Pgate_top (mW)]])</f>
        <v>#VALUE!</v>
      </c>
      <c r="BB204" s="145" t="e">
        <f ca="1">Table7[[#This Row],[Pcon_top (mW)]]+Table7[[#This Row],[Psw_top (mW)]]</f>
        <v>#VALUE!</v>
      </c>
      <c r="BC204" s="145" t="e">
        <f>IF(VACnom&gt;Vbat, (1-Table7[[#This Row],[Duty Cycle]])*Table7[[#This Row],[I_L RMS]]^2*TI_MOSFET_S_RDSON_L_BU*10^-3, Table7[[#This Row],[Duty Cycle]]*Table7[[#This Row],[I_L RMS]]^2*TI_MOSFET_S_RDSON_L_BO*10^-3)/10^-3</f>
        <v>#VALUE!</v>
      </c>
      <c r="BD204" s="145" t="e">
        <f ca="1">IF(VACnom&gt;Vbat, Table7[[#This Row],[PRR (mW)]]+Table7[[#This Row],[Pdead (mW)]]+Table7[[#This Row],[Pgate_bottom (mW)]], Table7[[#This Row],[PIV (mW)]]+Table7[[#This Row],[Pqoss (mW)]]+Table7[[#This Row],[Pgate_bottom (mW)]])</f>
        <v>#VALUE!</v>
      </c>
      <c r="BE204" s="147" t="e">
        <f ca="1">Table7[[#This Row],[Pcon_bottom (mW)]]+Table7[[#This Row],[Psw_bottom (mW)]]</f>
        <v>#VALUE!</v>
      </c>
      <c r="BF204" s="145" t="e">
        <f ca="1">Table7[[#This Row],[Pbottom (mW)]]+Table7[[#This Row],[Ptop (mW)]]</f>
        <v>#VALUE!</v>
      </c>
      <c r="BG204" s="142"/>
      <c r="BH204" s="145">
        <f>MAX(0,Table7[[#This Row],[I_L]]-0.5*Table7[[#This Row],[I_L pkpk]])</f>
        <v>16.708695652173915</v>
      </c>
      <c r="BI204" s="145">
        <f>Table7[[#This Row],[I_L]]+0.5*Table7[[#This Row],[I_L pkpk]]</f>
        <v>17.100000000000001</v>
      </c>
      <c r="BJ204" s="145">
        <f>IF(VACnom&gt;Vbat, (VGS_S-(C_MOSFET_S_VTH_H_BU+Table7[[#This Row],[I_L]]/C_MOSFET_S_gFS_H_BU))/3.4, (VGS_S-(C_MOSFET_S_VTH_L_BO+Table7[[#This Row],[I_L]]/C_MOSFET_S_gFS_L_BO))/3.4 )</f>
        <v>2.9277273128141812</v>
      </c>
      <c r="BK204" s="145">
        <f>IF(VACnom&gt;Vbat, ((C_MOSFET_S_VTH_H_BU+Table7[[#This Row],[I_L]]/C_MOSFET_S_gFS_H_BU))/1, ((C_MOSFET_S_VTH_L_BO+Table7[[#This Row],[I_L]]/C_MOSFET_S_gFS_L_BO))/1 )</f>
        <v>2.0457271364317839</v>
      </c>
      <c r="BL204" s="145">
        <f>IF(VACnom&gt;Vbat, (C_MOSFET_S_QGD_H_BU+C_MOSFET_S_QGS_H_BU)*10^-9/Table7[[#This Row],[Ion (A) C]], (C_MOSFET_S_QGD_L_BO+C_MOSFET_S_QGS_L_BO)*10^-9/Table7[[#This Row],[Ion (A) C]])/10^-9</f>
        <v>5.2942089012726852</v>
      </c>
      <c r="BM204" s="145">
        <f>IF(VACnom&gt;Vbat, (C_MOSFET_S_QGD_H_BU+C_MOSFET_S_QGS_H_BU)*10^-9/Table7[[#This Row],[Ioff (A) C]], (C_MOSFET_S_QGD_L_BO+C_MOSFET_S_QGS_L_BO)*10^-9/Table7[[#This Row],[Ioff (A) C]])/10^-9</f>
        <v>7.576768046903628</v>
      </c>
      <c r="BN204" s="145">
        <f xml:space="preserve"> 0.5*VACnom*Table7[[#This Row],[Ivalley (A) C]]*Table7[[#This Row],[ton (ns) C]]*10^-9*Fsw*10^3+0.5*VACnom*Table7[[#This Row],[Ipeak (A) C]]*Table7[[#This Row],[toff (ns) C]]*10^-9*Fsw*10^3/10^-3</f>
        <v>477.11638997247314</v>
      </c>
      <c r="BO204" s="145">
        <f t="shared" si="35"/>
        <v>305.44000000000011</v>
      </c>
      <c r="BP204" s="145">
        <f t="shared" si="36"/>
        <v>357.69600000000014</v>
      </c>
      <c r="BQ204" s="145">
        <f t="shared" si="37"/>
        <v>1067.2000000000003</v>
      </c>
      <c r="BR204" s="145">
        <f>IF(VACnom&gt;Vbat, C_MOSFET_S_VSD_L_BU*Table7[[#This Row],[Ivalley (A) C]]*Fsw*10^3*40*10^-9+C_MOSFET_S_VSD_L_BU*Table7[[#This Row],[Ipeak (A) C]]*Fsw*10^3*30*10^-9, C_MOSFET_S_VSD_H_BO*Table7[[#This Row],[Ivalley (A) C]]*Fsw*10^3*40*10^-9+C_MOSFET_S_VSD_H_BO*Table7[[#This Row],[Ipeak (A) C]]*Fsw*10^3*30*10^-9)/10^-3</f>
        <v>189.01565217391314</v>
      </c>
      <c r="BS204" s="145">
        <f t="shared" si="38"/>
        <v>357.69600000000014</v>
      </c>
      <c r="BT204" s="145">
        <f>IF(VACnom&lt;Vbat, Table7[[#This Row],[Duty Cycle]]*Table7[[#This Row],[I_L RMS]]^2*C_MOSFET_S_RDSON_H_BU*10^-3, (1-Table7[[#This Row],[Duty Cycle]])*Table7[[#This Row],[I_L RMS]]^2*C_MOSFET_S_RDSON_H_BO*10^-3)/10^-3</f>
        <v>16.152202432809972</v>
      </c>
      <c r="BU204" s="145">
        <f>IF(VACnom&gt;Vbat, Table7[[#This Row],[PIV (mW) C]]+Table7[[#This Row],[PQoss (mW) C]]+Table7[[#This Row],[Pgate_top (mW) C]], Table7[[#This Row],[PRR (mW) C]]+Table7[[#This Row],[Pdead (mW) C]]+Table7[[#This Row],[Pgate_top (mW) C]])</f>
        <v>1140.2523899724733</v>
      </c>
      <c r="BV204" s="145">
        <f>Table7[[#This Row],[Pcon_top (mW) C]]+Table7[[#This Row],[Psw_top (mW) C]]</f>
        <v>1156.4045924052832</v>
      </c>
      <c r="BW204" s="145">
        <f>IF(VACnom&gt;Vbat, (1-Table7[[#This Row],[Duty Cycle]])*Table7[[#This Row],[I_L RMS]]^2*C_MOSFET_S_RDSON_L_BU*10^-3, Table7[[#This Row],[Duty Cycle]]*Table7[[#This Row],[I_L RMS]]^2*C_MOSFET_S_RDSON_L_BO*10^-3)/10^-3</f>
        <v>10.561055436837288</v>
      </c>
      <c r="BX204" s="145">
        <f>IF(VACnom&gt;Vbat, Table7[[#This Row],[PRR (mW) C]]+Table7[[#This Row],[Pdead (mW) C]]+Table7[[#This Row],[Pgate_bottom (mW) C]], Table7[[#This Row],[PIV (mW) C]]+Table7[[#This Row],[PQoss (mW) C]]+Table7[[#This Row],[Pgate_bottom (mW) C]])</f>
        <v>1613.9116521739136</v>
      </c>
      <c r="BY204" s="145">
        <f>Table7[[#This Row],[Pcon_bottom (mW) C]]+Table7[[#This Row],[Psw_bottom (mV) C]]</f>
        <v>1624.4727076107508</v>
      </c>
      <c r="BZ204" s="145">
        <f>Table7[[#This Row],[Pbottom (mW) C]]+Table7[[#This Row],[Ptop (mW) C]]</f>
        <v>2780.877300016034</v>
      </c>
      <c r="CA204" s="148"/>
      <c r="CB204" s="144">
        <f>(RAC_SNS*10^-3*(Table7[[#This Row],[IOUT (A)]]*Vbat/VACnom)^2/10^-3)</f>
        <v>571.51395085066179</v>
      </c>
      <c r="CC204" s="144">
        <f>(RBAT_SNS*10^-3*Table7[[#This Row],[IOUT (A)]]^2)/10^-3</f>
        <v>1492.992</v>
      </c>
      <c r="CD204" s="144">
        <f>IF(VACnom&gt;Vbat,(L_DRC*10^-3*(Table7[[#This Row],[IOUT (A)]])^2/10^-3),(L_DRC*10^-3*(Table7[[#This Row],[IOUT (A)]]*Vbat/VACnom)^2/10^-3))</f>
        <v>1492.992</v>
      </c>
      <c r="CE204" s="152"/>
      <c r="CF204" s="145">
        <f>(Table7[[#This Row],[R_AC (mW)]]+Table7[[#This Row],[R_SR (mW)]]+Table7[[#This Row],[Inductor Loss (mW)]])/10^3</f>
        <v>3.5574979508506623</v>
      </c>
      <c r="CG204" s="145" t="e">
        <f ca="1">Table7[[#This Row],[Total TI (mW)]]/10^3</f>
        <v>#VALUE!</v>
      </c>
      <c r="CH204" s="145" t="e">
        <f ca="1">Table7[[#This Row],[Total Sense Loss]]+Table7[[#This Row],[Total MOSFET Loss]]</f>
        <v>#VALUE!</v>
      </c>
      <c r="CI204" s="149" t="e">
        <f ca="1">IF(Table7[[#This Row],[POUT (W)]]=0,0,(Table7[[#This Row],[POUT (W)]])/(Table7[[#This Row],[POUT (W)]]+Table7[[#This Row],[Total Power Loss (W)]]))*100</f>
        <v>#VALUE!</v>
      </c>
      <c r="CJ204" s="153"/>
      <c r="CK204" s="145">
        <f>(Table7[[#This Row],[R_AC (mW)]]+Table7[[#This Row],[R_SR (mW)]]+Table7[[#This Row],[Inductor Loss (mW)]])/10^3</f>
        <v>3.5574979508506623</v>
      </c>
      <c r="CL204" s="145">
        <f>Table7[[#This Row],[Total (mW) C]]/10^3</f>
        <v>2.7808773000160341</v>
      </c>
      <c r="CM204" s="145">
        <f>Table7[[#This Row],[Total Sense Loss C]]+Table7[[#This Row],[Total MOSFET Loss C]]</f>
        <v>6.3383752508666964</v>
      </c>
      <c r="CN204" s="149">
        <f>IF(Table7[[#This Row],[POUT (W)]]=0,0,(Table7[[#This Row],[POUT (W)]])/(Table7[[#This Row],[POUT (W)]]+Table7[[#This Row],[Total Power Loss (W) C]]))*100</f>
        <v>99.013086726270458</v>
      </c>
      <c r="CO204" s="153"/>
      <c r="CP204" s="149">
        <f>IF(MOSFET_S=Custom_MOSFET,Table7[[#This Row],[Total Sense Loss C]],Table7[[#This Row],[Total Sense Loss]])</f>
        <v>3.5574979508506623</v>
      </c>
      <c r="CQ204" s="149">
        <f>IF(MOSFET_S=Custom_MOSFET,Table7[[#This Row],[Total MOSFET Loss C]],Table7[[#This Row],[Total MOSFET Loss]])</f>
        <v>2.7808773000160341</v>
      </c>
      <c r="CR204" s="149">
        <f>IF(MOSFET_S=Custom_MOSFET,Table7[[#This Row],[Efficiency C]],Table7[[#This Row],[Efficiency]])</f>
        <v>99.013086726270458</v>
      </c>
      <c r="CS204" s="153"/>
      <c r="CT204" s="149">
        <f>IF(MOSFET_S=Compare_MOSFET, Table7[[#This Row],[Total Sense Loss C]], -100)</f>
        <v>-100</v>
      </c>
      <c r="CU204" s="149">
        <f>IF(MOSFET_S=Compare_MOSFET, Table7[[#This Row],[Total MOSFET Loss C]], -100)</f>
        <v>-100</v>
      </c>
      <c r="CV204" s="149">
        <f>IF(MOSFET_S=Compare_MOSFET, Table7[[#This Row],[Efficiency C]], -100)</f>
        <v>-100</v>
      </c>
      <c r="CW204" s="153"/>
      <c r="CX204" s="149">
        <f ca="1">IF(Save_Sel=CLR_Save,  Table7[[#This Row],[Total Sense Loss P1]], Table7[[#This Row],[Total Sense Loss P1 Saved]])</f>
        <v>3.5574979508506623</v>
      </c>
      <c r="CY204" s="149">
        <f ca="1">IF(Save_Sel=CLR_Save,  Table7[[#This Row],[Total MOSFET Loss P1]], Table7[[#This Row],[Total MOSFET Loss P1 Saved]] )</f>
        <v>2.7808773000160341</v>
      </c>
      <c r="CZ204" s="149">
        <f ca="1">IF(Save_Sel=CLR_Save, Table7[[#This Row],[Efficiency P1]], Table7[[#This Row],[Efficiency P1 Saved]])</f>
        <v>99.013086726270458</v>
      </c>
      <c r="DA204" s="153"/>
      <c r="DB204" s="149">
        <f ca="1">IF(Save_Sel=CLR_Save,  Table7[[#This Row],[Total Sense Loss P2]], Table7[[#This Row],[Total Sense Loss P2 Saved]])</f>
        <v>-100</v>
      </c>
      <c r="DC204" s="149">
        <f ca="1">IF(Save_Sel=CLR_Save,  Table7[[#This Row],[Total MOSFET Loss P2]], Table7[[#This Row],[Total MOSFET Loss P2 Saved]] )</f>
        <v>-100</v>
      </c>
      <c r="DD204" s="149">
        <f ca="1">IF(Save_Sel=CLR_Save, Table7[[#This Row],[Efficiency P2]], Table7[[#This Row],[Efficiency P2 Saved]])</f>
        <v>-100</v>
      </c>
      <c r="DE204" s="153"/>
      <c r="DF204" s="19"/>
      <c r="DG204" s="19"/>
      <c r="DH204" s="19"/>
      <c r="DI204" s="19"/>
      <c r="DJ204" s="19"/>
      <c r="DK204" s="19"/>
      <c r="DL204" s="19"/>
      <c r="DM204" s="19"/>
      <c r="DN204" s="19"/>
      <c r="DO204" s="19"/>
      <c r="DP204" s="19"/>
      <c r="DQ204" s="19"/>
      <c r="DR204" s="19"/>
      <c r="DS204" s="19"/>
      <c r="DT204" s="19"/>
      <c r="DU204" s="19"/>
      <c r="DV204" s="19"/>
      <c r="DW204" s="19"/>
      <c r="DX204" s="19"/>
      <c r="DY204" s="19"/>
      <c r="DZ204" s="19"/>
      <c r="EA204" s="19"/>
      <c r="EB204" s="19"/>
      <c r="EC204" s="19"/>
      <c r="ED204" s="19"/>
      <c r="EE204" s="19"/>
      <c r="EF204" s="19"/>
      <c r="EG204" s="19"/>
      <c r="EH204" s="19"/>
      <c r="EI204" s="19"/>
      <c r="EJ204" s="19"/>
      <c r="EK204" s="19"/>
      <c r="EL204" s="19"/>
      <c r="EM204" s="19"/>
      <c r="EN204" s="19"/>
      <c r="EO204" s="19"/>
      <c r="EP204" s="19"/>
      <c r="EQ204" s="19"/>
      <c r="ER204" s="19"/>
      <c r="ES204" s="19"/>
      <c r="ET204" s="19"/>
      <c r="EU204" s="19"/>
      <c r="EV204" s="19"/>
      <c r="EW204" s="19"/>
      <c r="EX204" s="19"/>
      <c r="EY204" s="19"/>
      <c r="EZ204" s="19"/>
      <c r="FA204" s="19"/>
      <c r="FB204" s="19"/>
      <c r="FC204" s="19"/>
      <c r="FD204" s="19"/>
      <c r="FE204" s="19"/>
      <c r="FF204" s="19"/>
      <c r="FG204" s="19"/>
      <c r="FH204" s="19"/>
      <c r="FI204" s="19"/>
    </row>
    <row r="205" spans="1:165" x14ac:dyDescent="0.25">
      <c r="A205" s="32"/>
      <c r="B205" s="49"/>
      <c r="C205" s="49"/>
      <c r="D205" s="32"/>
      <c r="E205" s="66"/>
      <c r="F205" s="66"/>
      <c r="G205" s="49"/>
      <c r="H205" s="29"/>
      <c r="I205" s="29"/>
      <c r="J205" s="29"/>
      <c r="K205" s="29"/>
      <c r="L205" s="29"/>
      <c r="M205" s="29"/>
      <c r="N205" s="29"/>
      <c r="O205" s="29"/>
      <c r="P205" s="29"/>
      <c r="Q205" s="29"/>
      <c r="R205" s="29"/>
      <c r="S205" s="30"/>
      <c r="T205" s="18"/>
      <c r="U205" s="19"/>
      <c r="V205" s="19"/>
      <c r="W205" s="19"/>
      <c r="X205" s="19"/>
      <c r="Y205" s="19"/>
      <c r="Z205" s="19"/>
      <c r="AA205" s="19"/>
      <c r="AB205" s="19"/>
      <c r="AC205" s="19"/>
      <c r="AD205" s="19"/>
      <c r="AE205" s="19"/>
      <c r="AF205" s="143">
        <f t="shared" si="17"/>
        <v>49</v>
      </c>
      <c r="AG205" s="143">
        <f t="shared" si="39"/>
        <v>17.64</v>
      </c>
      <c r="AH205" s="144">
        <f t="shared" si="28"/>
        <v>649.15199999999993</v>
      </c>
      <c r="AI205" s="145">
        <f t="shared" si="29"/>
        <v>0.97826086956521752</v>
      </c>
      <c r="AJ205" s="145">
        <f t="shared" si="30"/>
        <v>17.256521739130438</v>
      </c>
      <c r="AK205" s="145">
        <f t="shared" si="26"/>
        <v>0.39130434782608459</v>
      </c>
      <c r="AL205" s="145">
        <f t="shared" si="27"/>
        <v>17.25689144827269</v>
      </c>
      <c r="AM205" s="146"/>
      <c r="AN205" s="145">
        <f>MAX(0,Table7[[#This Row],[I_L]]-0.5*Table7[[#This Row],[I_L pkpk]])</f>
        <v>17.060869565217395</v>
      </c>
      <c r="AO205" s="145">
        <f>Table7[[#This Row],[I_L]]+0.5*Table7[[#This Row],[I_L pkpk]]</f>
        <v>17.452173913043481</v>
      </c>
      <c r="AP205" s="145">
        <f ca="1">IF(VACnom&gt;Vbat, (VGS_S-(TI_MOSFET_S_VTH_H_BU+Table7[[#This Row],[I_L]]/TI_MOSFET_S_gFS_H_BU))/3.4, (VGS_S-(TI_MOSFET_S_VTH_L_BO+Table7[[#This Row],[I_L]]/TI_MOSFET_S_gFS_L_BO))/3.4 )</f>
        <v>2.9756639779657683</v>
      </c>
      <c r="AQ205" s="145">
        <f ca="1">IF(VACnom&gt;Vbat, ((TI_MOSFET_S_VTH_H_BU+Table7[[#This Row],[I_L]]/TI_MOSFET_S_gFS_H_BU))/1, ((TI_MOSFET_S_VTH_L_BO+Table7[[#This Row],[I_L]]/TI_MOSFET_S_gFS_L_BO))/1 )</f>
        <v>1.8827424749163879</v>
      </c>
      <c r="AR205" s="145">
        <f ca="1">IF(VACnom&gt;Vbat, (TI_MOSFET_S_QGD_H_BU+TI_MOSFET_S_QGS_H_BU)*10^-9/Table7[[#This Row],[Ion (A)]], (TI_MOSFET_S_QGD_L_BO+TI_MOSFET_S_QGS_L_BO)*10^-9/Table7[[#This Row],[Ion (A)]])/10^-9</f>
        <v>9.6785121617422458</v>
      </c>
      <c r="AS205" s="145">
        <f ca="1">IF(VACnom&gt;Vbat, (TI_MOSFET_S_QGD_H_BU+TI_MOSFET_S_QGS_H_BU)*10^-9/Table7[[#This Row],[Ioff (A)]], (TI_MOSFET_S_QGD_L_BO+TI_MOSFET_S_QGS_L_BO)*10^-9/Table7[[#This Row],[Ioff (A)]])/10^-9</f>
        <v>15.296834476143108</v>
      </c>
      <c r="AT205" s="145">
        <f ca="1" xml:space="preserve"> 0.5*VACnom*Table7[[#This Row],[Ivalley (A)]]*Table7[[#This Row],[ton (ns)]]*10^-9*Fsw*10^3+0.5*VACnom*Table7[[#This Row],[Ipeak (A)]]*Table7[[#This Row],[toff (ns)]]*10^-9*Fsw*10^3/10^-3</f>
        <v>983.03155310337831</v>
      </c>
      <c r="AU205" s="145">
        <f t="shared" ca="1" si="31"/>
        <v>268.64000000000004</v>
      </c>
      <c r="AV205" s="145" t="e">
        <f t="shared" si="32"/>
        <v>#VALUE!</v>
      </c>
      <c r="AW205" s="145">
        <f t="shared" ca="1" si="33"/>
        <v>566.72000000000025</v>
      </c>
      <c r="AX205" s="145">
        <f ca="1">IF(VACnom&gt;Vbat, TI_MOSFET_S_VSD_L_BU*Table7[[#This Row],[Ivalley (A)]]*Fsw*10^3*40*10^-9+TI_MOSFET_S_VSD_L_BU*Table7[[#This Row],[Ipeak (A)]]*Fsw*10^3*30*10^-9, TI_MOSFET_S_VSD_H_BO*Table7[[#This Row],[Ivalley (A)]]*Fsw*10^3*40*10^-9+TI_MOSFET_S_VSD_H_BO*Table7[[#This Row],[Ipeak (A)]]*Fsw*10^3*30*10^-9)/10^-3</f>
        <v>173.66400000000007</v>
      </c>
      <c r="AY205" s="145" t="e">
        <f t="shared" si="34"/>
        <v>#VALUE!</v>
      </c>
      <c r="AZ205" s="145" t="e">
        <f>IF(VACnom&lt;Vbat, Table7[[#This Row],[Duty Cycle]]*Table7[[#This Row],[I_L RMS]]^2*TI_MOSFET_S_RDSON_H_BU*10^-3, (1-Table7[[#This Row],[Duty Cycle]])*Table7[[#This Row],[I_L RMS]]^2*TI_MOSFET_S_RDSON_H_BO*10^-3)/10^-3</f>
        <v>#VALUE!</v>
      </c>
      <c r="BA205" s="145" t="e">
        <f ca="1">IF(VACnom&gt;Vbat, Table7[[#This Row],[PIV (mW)]]+Table7[[#This Row],[Pqoss (mW)]]+Table7[[#This Row],[Pgate_top (mW)]], Table7[[#This Row],[PRR (mW)]]+Table7[[#This Row],[Pdead (mW)]]+Table7[[#This Row],[Pgate_top (mW)]])</f>
        <v>#VALUE!</v>
      </c>
      <c r="BB205" s="145" t="e">
        <f ca="1">Table7[[#This Row],[Pcon_top (mW)]]+Table7[[#This Row],[Psw_top (mW)]]</f>
        <v>#VALUE!</v>
      </c>
      <c r="BC205" s="145" t="e">
        <f>IF(VACnom&gt;Vbat, (1-Table7[[#This Row],[Duty Cycle]])*Table7[[#This Row],[I_L RMS]]^2*TI_MOSFET_S_RDSON_L_BU*10^-3, Table7[[#This Row],[Duty Cycle]]*Table7[[#This Row],[I_L RMS]]^2*TI_MOSFET_S_RDSON_L_BO*10^-3)/10^-3</f>
        <v>#VALUE!</v>
      </c>
      <c r="BD205" s="145" t="e">
        <f ca="1">IF(VACnom&gt;Vbat, Table7[[#This Row],[PRR (mW)]]+Table7[[#This Row],[Pdead (mW)]]+Table7[[#This Row],[Pgate_bottom (mW)]], Table7[[#This Row],[PIV (mW)]]+Table7[[#This Row],[Pqoss (mW)]]+Table7[[#This Row],[Pgate_bottom (mW)]])</f>
        <v>#VALUE!</v>
      </c>
      <c r="BE205" s="147" t="e">
        <f ca="1">Table7[[#This Row],[Pcon_bottom (mW)]]+Table7[[#This Row],[Psw_bottom (mW)]]</f>
        <v>#VALUE!</v>
      </c>
      <c r="BF205" s="145" t="e">
        <f ca="1">Table7[[#This Row],[Pbottom (mW)]]+Table7[[#This Row],[Ptop (mW)]]</f>
        <v>#VALUE!</v>
      </c>
      <c r="BG205" s="142"/>
      <c r="BH205" s="145">
        <f>MAX(0,Table7[[#This Row],[I_L]]-0.5*Table7[[#This Row],[I_L pkpk]])</f>
        <v>17.060869565217395</v>
      </c>
      <c r="BI205" s="145">
        <f>Table7[[#This Row],[I_L]]+0.5*Table7[[#This Row],[I_L pkpk]]</f>
        <v>17.452173913043481</v>
      </c>
      <c r="BJ205" s="145">
        <f>IF(VACnom&gt;Vbat, (VGS_S-(C_MOSFET_S_VTH_H_BU+Table7[[#This Row],[I_L]]/C_MOSFET_S_gFS_H_BU))/3.4, (VGS_S-(C_MOSFET_S_VTH_L_BO+Table7[[#This Row],[I_L]]/C_MOSFET_S_gFS_L_BO))/3.4 )</f>
        <v>2.9268343769291825</v>
      </c>
      <c r="BK205" s="145">
        <f>IF(VACnom&gt;Vbat, ((C_MOSFET_S_VTH_H_BU+Table7[[#This Row],[I_L]]/C_MOSFET_S_gFS_H_BU))/1, ((C_MOSFET_S_VTH_L_BO+Table7[[#This Row],[I_L]]/C_MOSFET_S_gFS_L_BO))/1 )</f>
        <v>2.0487631184407795</v>
      </c>
      <c r="BL205" s="145">
        <f>IF(VACnom&gt;Vbat, (C_MOSFET_S_QGD_H_BU+C_MOSFET_S_QGS_H_BU)*10^-9/Table7[[#This Row],[Ion (A) C]], (C_MOSFET_S_QGD_L_BO+C_MOSFET_S_QGS_L_BO)*10^-9/Table7[[#This Row],[Ion (A) C]])/10^-9</f>
        <v>5.2958240897329176</v>
      </c>
      <c r="BM205" s="145">
        <f>IF(VACnom&gt;Vbat, (C_MOSFET_S_QGD_H_BU+C_MOSFET_S_QGS_H_BU)*10^-9/Table7[[#This Row],[Ioff (A) C]], (C_MOSFET_S_QGD_L_BO+C_MOSFET_S_QGS_L_BO)*10^-9/Table7[[#This Row],[Ioff (A) C]])/10^-9</f>
        <v>7.5655403304001014</v>
      </c>
      <c r="BN205" s="145">
        <f xml:space="preserve"> 0.5*VACnom*Table7[[#This Row],[Ivalley (A) C]]*Table7[[#This Row],[ton (ns) C]]*10^-9*Fsw*10^3+0.5*VACnom*Table7[[#This Row],[Ipeak (A) C]]*Table7[[#This Row],[toff (ns) C]]*10^-9*Fsw*10^3/10^-3</f>
        <v>486.22175519926617</v>
      </c>
      <c r="BO205" s="145">
        <f t="shared" si="35"/>
        <v>305.44000000000011</v>
      </c>
      <c r="BP205" s="145">
        <f t="shared" si="36"/>
        <v>357.69600000000014</v>
      </c>
      <c r="BQ205" s="145">
        <f t="shared" si="37"/>
        <v>1067.2000000000003</v>
      </c>
      <c r="BR205" s="145">
        <f>IF(VACnom&gt;Vbat, C_MOSFET_S_VSD_L_BU*Table7[[#This Row],[Ivalley (A) C]]*Fsw*10^3*40*10^-9+C_MOSFET_S_VSD_L_BU*Table7[[#This Row],[Ipeak (A) C]]*Fsw*10^3*30*10^-9, C_MOSFET_S_VSD_H_BO*Table7[[#This Row],[Ivalley (A) C]]*Fsw*10^3*40*10^-9+C_MOSFET_S_VSD_H_BO*Table7[[#This Row],[Ipeak (A) C]]*Fsw*10^3*30*10^-9)/10^-3</f>
        <v>192.96000000000012</v>
      </c>
      <c r="BS205" s="145">
        <f t="shared" si="38"/>
        <v>357.69600000000014</v>
      </c>
      <c r="BT205" s="145">
        <f>IF(VACnom&lt;Vbat, Table7[[#This Row],[Duty Cycle]]*Table7[[#This Row],[I_L RMS]]^2*C_MOSFET_S_RDSON_H_BU*10^-3, (1-Table7[[#This Row],[Duty Cycle]])*Table7[[#This Row],[I_L RMS]]^2*C_MOSFET_S_RDSON_H_BO*10^-3)/10^-3</f>
        <v>16.832191008465433</v>
      </c>
      <c r="BU205" s="145">
        <f>IF(VACnom&gt;Vbat, Table7[[#This Row],[PIV (mW) C]]+Table7[[#This Row],[PQoss (mW) C]]+Table7[[#This Row],[Pgate_top (mW) C]], Table7[[#This Row],[PRR (mW) C]]+Table7[[#This Row],[Pdead (mW) C]]+Table7[[#This Row],[Pgate_top (mW) C]])</f>
        <v>1149.3577551992664</v>
      </c>
      <c r="BV205" s="145">
        <f>Table7[[#This Row],[Pcon_top (mW) C]]+Table7[[#This Row],[Psw_top (mW) C]]</f>
        <v>1166.189946207732</v>
      </c>
      <c r="BW205" s="145">
        <f>IF(VACnom&gt;Vbat, (1-Table7[[#This Row],[Duty Cycle]])*Table7[[#This Row],[I_L RMS]]^2*C_MOSFET_S_RDSON_L_BU*10^-3, Table7[[#This Row],[Duty Cycle]]*Table7[[#This Row],[I_L RMS]]^2*C_MOSFET_S_RDSON_L_BO*10^-3)/10^-3</f>
        <v>11.005663351688936</v>
      </c>
      <c r="BX205" s="145">
        <f>IF(VACnom&gt;Vbat, Table7[[#This Row],[PRR (mW) C]]+Table7[[#This Row],[Pdead (mW) C]]+Table7[[#This Row],[Pgate_bottom (mW) C]], Table7[[#This Row],[PIV (mW) C]]+Table7[[#This Row],[PQoss (mW) C]]+Table7[[#This Row],[Pgate_bottom (mW) C]])</f>
        <v>1617.8560000000004</v>
      </c>
      <c r="BY205" s="145">
        <f>Table7[[#This Row],[Pcon_bottom (mW) C]]+Table7[[#This Row],[Psw_bottom (mV) C]]</f>
        <v>1628.8616633516895</v>
      </c>
      <c r="BZ205" s="145">
        <f>Table7[[#This Row],[Pbottom (mW) C]]+Table7[[#This Row],[Ptop (mW) C]]</f>
        <v>2795.0516095594212</v>
      </c>
      <c r="CA205" s="148"/>
      <c r="CB205" s="144">
        <f>(RAC_SNS*10^-3*(Table7[[#This Row],[IOUT (A)]]*Vbat/VACnom)^2/10^-3)</f>
        <v>595.5750850661625</v>
      </c>
      <c r="CC205" s="144">
        <f>(RBAT_SNS*10^-3*Table7[[#This Row],[IOUT (A)]]^2)/10^-3</f>
        <v>1555.8480000000002</v>
      </c>
      <c r="CD205" s="144">
        <f>IF(VACnom&gt;Vbat,(L_DRC*10^-3*(Table7[[#This Row],[IOUT (A)]])^2/10^-3),(L_DRC*10^-3*(Table7[[#This Row],[IOUT (A)]]*Vbat/VACnom)^2/10^-3))</f>
        <v>1555.8480000000002</v>
      </c>
      <c r="CE205" s="152"/>
      <c r="CF205" s="145">
        <f>(Table7[[#This Row],[R_AC (mW)]]+Table7[[#This Row],[R_SR (mW)]]+Table7[[#This Row],[Inductor Loss (mW)]])/10^3</f>
        <v>3.7072710850661625</v>
      </c>
      <c r="CG205" s="145" t="e">
        <f ca="1">Table7[[#This Row],[Total TI (mW)]]/10^3</f>
        <v>#VALUE!</v>
      </c>
      <c r="CH205" s="145" t="e">
        <f ca="1">Table7[[#This Row],[Total Sense Loss]]+Table7[[#This Row],[Total MOSFET Loss]]</f>
        <v>#VALUE!</v>
      </c>
      <c r="CI205" s="149" t="e">
        <f ca="1">IF(Table7[[#This Row],[POUT (W)]]=0,0,(Table7[[#This Row],[POUT (W)]])/(Table7[[#This Row],[POUT (W)]]+Table7[[#This Row],[Total Power Loss (W)]]))*100</f>
        <v>#VALUE!</v>
      </c>
      <c r="CJ205" s="153"/>
      <c r="CK205" s="145">
        <f>(Table7[[#This Row],[R_AC (mW)]]+Table7[[#This Row],[R_SR (mW)]]+Table7[[#This Row],[Inductor Loss (mW)]])/10^3</f>
        <v>3.7072710850661625</v>
      </c>
      <c r="CL205" s="145">
        <f>Table7[[#This Row],[Total (mW) C]]/10^3</f>
        <v>2.7950516095594211</v>
      </c>
      <c r="CM205" s="145">
        <f>Table7[[#This Row],[Total Sense Loss C]]+Table7[[#This Row],[Total MOSFET Loss C]]</f>
        <v>6.5023226946255832</v>
      </c>
      <c r="CN205" s="149">
        <f>IF(Table7[[#This Row],[POUT (W)]]=0,0,(Table7[[#This Row],[POUT (W)]])/(Table7[[#This Row],[POUT (W)]]+Table7[[#This Row],[Total Power Loss (W) C]]))*100</f>
        <v>99.008269682734323</v>
      </c>
      <c r="CO205" s="153"/>
      <c r="CP205" s="149">
        <f>IF(MOSFET_S=Custom_MOSFET,Table7[[#This Row],[Total Sense Loss C]],Table7[[#This Row],[Total Sense Loss]])</f>
        <v>3.7072710850661625</v>
      </c>
      <c r="CQ205" s="149">
        <f>IF(MOSFET_S=Custom_MOSFET,Table7[[#This Row],[Total MOSFET Loss C]],Table7[[#This Row],[Total MOSFET Loss]])</f>
        <v>2.7950516095594211</v>
      </c>
      <c r="CR205" s="149">
        <f>IF(MOSFET_S=Custom_MOSFET,Table7[[#This Row],[Efficiency C]],Table7[[#This Row],[Efficiency]])</f>
        <v>99.008269682734323</v>
      </c>
      <c r="CS205" s="153"/>
      <c r="CT205" s="149">
        <f>IF(MOSFET_S=Compare_MOSFET, Table7[[#This Row],[Total Sense Loss C]], -100)</f>
        <v>-100</v>
      </c>
      <c r="CU205" s="149">
        <f>IF(MOSFET_S=Compare_MOSFET, Table7[[#This Row],[Total MOSFET Loss C]], -100)</f>
        <v>-100</v>
      </c>
      <c r="CV205" s="149">
        <f>IF(MOSFET_S=Compare_MOSFET, Table7[[#This Row],[Efficiency C]], -100)</f>
        <v>-100</v>
      </c>
      <c r="CW205" s="153"/>
      <c r="CX205" s="149">
        <f ca="1">IF(Save_Sel=CLR_Save,  Table7[[#This Row],[Total Sense Loss P1]], Table7[[#This Row],[Total Sense Loss P1 Saved]])</f>
        <v>3.7072710850661625</v>
      </c>
      <c r="CY205" s="149">
        <f ca="1">IF(Save_Sel=CLR_Save,  Table7[[#This Row],[Total MOSFET Loss P1]], Table7[[#This Row],[Total MOSFET Loss P1 Saved]] )</f>
        <v>2.7950516095594211</v>
      </c>
      <c r="CZ205" s="149">
        <f ca="1">IF(Save_Sel=CLR_Save, Table7[[#This Row],[Efficiency P1]], Table7[[#This Row],[Efficiency P1 Saved]])</f>
        <v>99.008269682734323</v>
      </c>
      <c r="DA205" s="153"/>
      <c r="DB205" s="149">
        <f ca="1">IF(Save_Sel=CLR_Save,  Table7[[#This Row],[Total Sense Loss P2]], Table7[[#This Row],[Total Sense Loss P2 Saved]])</f>
        <v>-100</v>
      </c>
      <c r="DC205" s="149">
        <f ca="1">IF(Save_Sel=CLR_Save,  Table7[[#This Row],[Total MOSFET Loss P2]], Table7[[#This Row],[Total MOSFET Loss P2 Saved]] )</f>
        <v>-100</v>
      </c>
      <c r="DD205" s="149">
        <f ca="1">IF(Save_Sel=CLR_Save, Table7[[#This Row],[Efficiency P2]], Table7[[#This Row],[Efficiency P2 Saved]])</f>
        <v>-100</v>
      </c>
      <c r="DE205" s="153"/>
      <c r="DF205" s="19"/>
      <c r="DG205" s="19"/>
      <c r="DH205" s="19"/>
      <c r="DI205" s="19"/>
      <c r="DJ205" s="19"/>
      <c r="DK205" s="19"/>
      <c r="DL205" s="19"/>
      <c r="DM205" s="19"/>
      <c r="DN205" s="19"/>
      <c r="DO205" s="19"/>
      <c r="DP205" s="19"/>
      <c r="DQ205" s="19"/>
      <c r="DR205" s="19"/>
      <c r="DS205" s="19"/>
      <c r="DT205" s="19"/>
      <c r="DU205" s="19"/>
      <c r="DV205" s="19"/>
      <c r="DW205" s="19"/>
      <c r="DX205" s="19"/>
      <c r="DY205" s="19"/>
      <c r="DZ205" s="19"/>
      <c r="EA205" s="19"/>
      <c r="EB205" s="19"/>
      <c r="EC205" s="19"/>
      <c r="ED205" s="19"/>
      <c r="EE205" s="19"/>
      <c r="EF205" s="19"/>
      <c r="EG205" s="19"/>
      <c r="EH205" s="19"/>
      <c r="EI205" s="19"/>
      <c r="EJ205" s="19"/>
      <c r="EK205" s="19"/>
      <c r="EL205" s="19"/>
      <c r="EM205" s="19"/>
      <c r="EN205" s="19"/>
      <c r="EO205" s="19"/>
      <c r="EP205" s="19"/>
      <c r="EQ205" s="19"/>
      <c r="ER205" s="19"/>
      <c r="ES205" s="19"/>
      <c r="ET205" s="19"/>
      <c r="EU205" s="19"/>
      <c r="EV205" s="19"/>
      <c r="EW205" s="19"/>
      <c r="EX205" s="19"/>
      <c r="EY205" s="19"/>
      <c r="EZ205" s="19"/>
      <c r="FA205" s="19"/>
      <c r="FB205" s="19"/>
      <c r="FC205" s="19"/>
      <c r="FD205" s="19"/>
      <c r="FE205" s="19"/>
      <c r="FF205" s="19"/>
      <c r="FG205" s="19"/>
      <c r="FH205" s="19"/>
      <c r="FI205" s="19"/>
    </row>
    <row r="206" spans="1:165" x14ac:dyDescent="0.25">
      <c r="A206" s="32"/>
      <c r="B206" s="49"/>
      <c r="C206" s="49"/>
      <c r="D206" s="32"/>
      <c r="E206" s="66"/>
      <c r="F206" s="66"/>
      <c r="G206" s="49"/>
      <c r="H206" s="29"/>
      <c r="I206" s="29"/>
      <c r="J206" s="29"/>
      <c r="K206" s="29"/>
      <c r="L206" s="29"/>
      <c r="M206" s="29"/>
      <c r="N206" s="29"/>
      <c r="O206" s="29"/>
      <c r="P206" s="29"/>
      <c r="Q206" s="29"/>
      <c r="R206" s="29"/>
      <c r="S206" s="30"/>
      <c r="T206" s="18"/>
      <c r="U206" s="19"/>
      <c r="V206" s="19"/>
      <c r="W206" s="19"/>
      <c r="X206" s="19"/>
      <c r="Y206" s="19"/>
      <c r="Z206" s="19"/>
      <c r="AA206" s="19"/>
      <c r="AB206" s="19"/>
      <c r="AC206" s="19"/>
      <c r="AD206" s="19"/>
      <c r="AE206" s="19"/>
      <c r="AF206" s="143">
        <f t="shared" si="17"/>
        <v>50</v>
      </c>
      <c r="AG206" s="143">
        <f t="shared" si="39"/>
        <v>18</v>
      </c>
      <c r="AH206" s="144">
        <f t="shared" si="28"/>
        <v>662.4</v>
      </c>
      <c r="AI206" s="145">
        <f t="shared" si="29"/>
        <v>0.97826086956521752</v>
      </c>
      <c r="AJ206" s="145">
        <f t="shared" si="30"/>
        <v>17.608695652173914</v>
      </c>
      <c r="AK206" s="145">
        <f t="shared" si="26"/>
        <v>0.39130434782608459</v>
      </c>
      <c r="AL206" s="145">
        <f t="shared" si="27"/>
        <v>17.609057967287011</v>
      </c>
      <c r="AM206" s="146"/>
      <c r="AN206" s="145">
        <f>MAX(0,Table7[[#This Row],[I_L]]-0.5*Table7[[#This Row],[I_L pkpk]])</f>
        <v>17.413043478260871</v>
      </c>
      <c r="AO206" s="145">
        <f>Table7[[#This Row],[I_L]]+0.5*Table7[[#This Row],[I_L pkpk]]</f>
        <v>17.804347826086957</v>
      </c>
      <c r="AP206" s="145">
        <f ca="1">IF(VACnom&gt;Vbat, (VGS_S-(TI_MOSFET_S_VTH_H_BU+Table7[[#This Row],[I_L]]/TI_MOSFET_S_gFS_H_BU))/3.4, (VGS_S-(TI_MOSFET_S_VTH_L_BO+Table7[[#This Row],[I_L]]/TI_MOSFET_S_gFS_L_BO))/3.4 )</f>
        <v>2.9748672044068467</v>
      </c>
      <c r="AQ206" s="145">
        <f ca="1">IF(VACnom&gt;Vbat, ((TI_MOSFET_S_VTH_H_BU+Table7[[#This Row],[I_L]]/TI_MOSFET_S_gFS_H_BU))/1, ((TI_MOSFET_S_VTH_L_BO+Table7[[#This Row],[I_L]]/TI_MOSFET_S_gFS_L_BO))/1 )</f>
        <v>1.8854515050167224</v>
      </c>
      <c r="AR206" s="145">
        <f ca="1">IF(VACnom&gt;Vbat, (TI_MOSFET_S_QGD_H_BU+TI_MOSFET_S_QGS_H_BU)*10^-9/Table7[[#This Row],[Ion (A)]], (TI_MOSFET_S_QGD_L_BO+TI_MOSFET_S_QGS_L_BO)*10^-9/Table7[[#This Row],[Ion (A)]])/10^-9</f>
        <v>9.6811044060510856</v>
      </c>
      <c r="AS206" s="145">
        <f ca="1">IF(VACnom&gt;Vbat, (TI_MOSFET_S_QGD_H_BU+TI_MOSFET_S_QGS_H_BU)*10^-9/Table7[[#This Row],[Ioff (A)]], (TI_MOSFET_S_QGD_L_BO+TI_MOSFET_S_QGS_L_BO)*10^-9/Table7[[#This Row],[Ioff (A)]])/10^-9</f>
        <v>15.274855875831488</v>
      </c>
      <c r="AT206" s="145">
        <f ca="1" xml:space="preserve"> 0.5*VACnom*Table7[[#This Row],[Ivalley (A)]]*Table7[[#This Row],[ton (ns)]]*10^-9*Fsw*10^3+0.5*VACnom*Table7[[#This Row],[Ipeak (A)]]*Table7[[#This Row],[toff (ns)]]*10^-9*Fsw*10^3/10^-3</f>
        <v>1001.428922154819</v>
      </c>
      <c r="AU206" s="145">
        <f t="shared" ca="1" si="31"/>
        <v>268.64000000000004</v>
      </c>
      <c r="AV206" s="145" t="e">
        <f t="shared" si="32"/>
        <v>#VALUE!</v>
      </c>
      <c r="AW206" s="145">
        <f t="shared" ca="1" si="33"/>
        <v>566.72000000000025</v>
      </c>
      <c r="AX206" s="145">
        <f ca="1">IF(VACnom&gt;Vbat, TI_MOSFET_S_VSD_L_BU*Table7[[#This Row],[Ivalley (A)]]*Fsw*10^3*40*10^-9+TI_MOSFET_S_VSD_L_BU*Table7[[#This Row],[Ipeak (A)]]*Fsw*10^3*30*10^-9, TI_MOSFET_S_VSD_H_BO*Table7[[#This Row],[Ivalley (A)]]*Fsw*10^3*40*10^-9+TI_MOSFET_S_VSD_H_BO*Table7[[#This Row],[Ipeak (A)]]*Fsw*10^3*30*10^-9)/10^-3</f>
        <v>177.21391304347833</v>
      </c>
      <c r="AY206" s="145" t="e">
        <f t="shared" si="34"/>
        <v>#VALUE!</v>
      </c>
      <c r="AZ206" s="145" t="e">
        <f>IF(VACnom&lt;Vbat, Table7[[#This Row],[Duty Cycle]]*Table7[[#This Row],[I_L RMS]]^2*TI_MOSFET_S_RDSON_H_BU*10^-3, (1-Table7[[#This Row],[Duty Cycle]])*Table7[[#This Row],[I_L RMS]]^2*TI_MOSFET_S_RDSON_H_BO*10^-3)/10^-3</f>
        <v>#VALUE!</v>
      </c>
      <c r="BA206" s="145" t="e">
        <f ca="1">IF(VACnom&gt;Vbat, Table7[[#This Row],[PIV (mW)]]+Table7[[#This Row],[Pqoss (mW)]]+Table7[[#This Row],[Pgate_top (mW)]], Table7[[#This Row],[PRR (mW)]]+Table7[[#This Row],[Pdead (mW)]]+Table7[[#This Row],[Pgate_top (mW)]])</f>
        <v>#VALUE!</v>
      </c>
      <c r="BB206" s="145" t="e">
        <f ca="1">Table7[[#This Row],[Pcon_top (mW)]]+Table7[[#This Row],[Psw_top (mW)]]</f>
        <v>#VALUE!</v>
      </c>
      <c r="BC206" s="145" t="e">
        <f>IF(VACnom&gt;Vbat, (1-Table7[[#This Row],[Duty Cycle]])*Table7[[#This Row],[I_L RMS]]^2*TI_MOSFET_S_RDSON_L_BU*10^-3, Table7[[#This Row],[Duty Cycle]]*Table7[[#This Row],[I_L RMS]]^2*TI_MOSFET_S_RDSON_L_BO*10^-3)/10^-3</f>
        <v>#VALUE!</v>
      </c>
      <c r="BD206" s="145" t="e">
        <f ca="1">IF(VACnom&gt;Vbat, Table7[[#This Row],[PRR (mW)]]+Table7[[#This Row],[Pdead (mW)]]+Table7[[#This Row],[Pgate_bottom (mW)]], Table7[[#This Row],[PIV (mW)]]+Table7[[#This Row],[Pqoss (mW)]]+Table7[[#This Row],[Pgate_bottom (mW)]])</f>
        <v>#VALUE!</v>
      </c>
      <c r="BE206" s="147" t="e">
        <f ca="1">Table7[[#This Row],[Pcon_bottom (mW)]]+Table7[[#This Row],[Psw_bottom (mW)]]</f>
        <v>#VALUE!</v>
      </c>
      <c r="BF206" s="145" t="e">
        <f ca="1">Table7[[#This Row],[Pbottom (mW)]]+Table7[[#This Row],[Ptop (mW)]]</f>
        <v>#VALUE!</v>
      </c>
      <c r="BG206" s="142"/>
      <c r="BH206" s="145">
        <f>MAX(0,Table7[[#This Row],[I_L]]-0.5*Table7[[#This Row],[I_L pkpk]])</f>
        <v>17.413043478260871</v>
      </c>
      <c r="BI206" s="145">
        <f>Table7[[#This Row],[I_L]]+0.5*Table7[[#This Row],[I_L pkpk]]</f>
        <v>17.804347826086957</v>
      </c>
      <c r="BJ206" s="145">
        <f>IF(VACnom&gt;Vbat, (VGS_S-(C_MOSFET_S_VTH_H_BU+Table7[[#This Row],[I_L]]/C_MOSFET_S_gFS_H_BU))/3.4, (VGS_S-(C_MOSFET_S_VTH_L_BO+Table7[[#This Row],[I_L]]/C_MOSFET_S_gFS_L_BO))/3.4 )</f>
        <v>2.9259414410441837</v>
      </c>
      <c r="BK206" s="145">
        <f>IF(VACnom&gt;Vbat, ((C_MOSFET_S_VTH_H_BU+Table7[[#This Row],[I_L]]/C_MOSFET_S_gFS_H_BU))/1, ((C_MOSFET_S_VTH_L_BO+Table7[[#This Row],[I_L]]/C_MOSFET_S_gFS_L_BO))/1 )</f>
        <v>2.0517991004497751</v>
      </c>
      <c r="BL206" s="145">
        <f>IF(VACnom&gt;Vbat, (C_MOSFET_S_QGD_H_BU+C_MOSFET_S_QGS_H_BU)*10^-9/Table7[[#This Row],[Ion (A) C]], (C_MOSFET_S_QGD_L_BO+C_MOSFET_S_QGS_L_BO)*10^-9/Table7[[#This Row],[Ion (A) C]])/10^-9</f>
        <v>5.29744026403635</v>
      </c>
      <c r="BM206" s="145">
        <f>IF(VACnom&gt;Vbat, (C_MOSFET_S_QGD_H_BU+C_MOSFET_S_QGS_H_BU)*10^-9/Table7[[#This Row],[Ioff (A) C]], (C_MOSFET_S_QGD_L_BO+C_MOSFET_S_QGS_L_BO)*10^-9/Table7[[#This Row],[Ioff (A) C]])/10^-9</f>
        <v>7.5543458404881072</v>
      </c>
      <c r="BN206" s="145">
        <f xml:space="preserve"> 0.5*VACnom*Table7[[#This Row],[Ivalley (A) C]]*Table7[[#This Row],[ton (ns) C]]*10^-9*Fsw*10^3+0.5*VACnom*Table7[[#This Row],[Ipeak (A) C]]*Table7[[#This Row],[toff (ns) C]]*10^-9*Fsw*10^3/10^-3</f>
        <v>495.30019944090043</v>
      </c>
      <c r="BO206" s="145">
        <f t="shared" si="35"/>
        <v>305.44000000000011</v>
      </c>
      <c r="BP206" s="145">
        <f t="shared" si="36"/>
        <v>357.69600000000014</v>
      </c>
      <c r="BQ206" s="145">
        <f t="shared" si="37"/>
        <v>1067.2000000000003</v>
      </c>
      <c r="BR206" s="145">
        <f>IF(VACnom&gt;Vbat, C_MOSFET_S_VSD_L_BU*Table7[[#This Row],[Ivalley (A) C]]*Fsw*10^3*40*10^-9+C_MOSFET_S_VSD_L_BU*Table7[[#This Row],[Ipeak (A) C]]*Fsw*10^3*30*10^-9, C_MOSFET_S_VSD_H_BO*Table7[[#This Row],[Ivalley (A) C]]*Fsw*10^3*40*10^-9+C_MOSFET_S_VSD_H_BO*Table7[[#This Row],[Ipeak (A) C]]*Fsw*10^3*30*10^-9)/10^-3</f>
        <v>196.90434782608705</v>
      </c>
      <c r="BS206" s="145">
        <f t="shared" si="38"/>
        <v>357.69600000000014</v>
      </c>
      <c r="BT206" s="145">
        <f>IF(VACnom&lt;Vbat, Table7[[#This Row],[Duty Cycle]]*Table7[[#This Row],[I_L RMS]]^2*C_MOSFET_S_RDSON_H_BU*10^-3, (1-Table7[[#This Row],[Duty Cycle]])*Table7[[#This Row],[I_L RMS]]^2*C_MOSFET_S_RDSON_H_BO*10^-3)/10^-3</f>
        <v>17.526199967124093</v>
      </c>
      <c r="BU206" s="145">
        <f>IF(VACnom&gt;Vbat, Table7[[#This Row],[PIV (mW) C]]+Table7[[#This Row],[PQoss (mW) C]]+Table7[[#This Row],[Pgate_top (mW) C]], Table7[[#This Row],[PRR (mW) C]]+Table7[[#This Row],[Pdead (mW) C]]+Table7[[#This Row],[Pgate_top (mW) C]])</f>
        <v>1158.4361994409007</v>
      </c>
      <c r="BV206" s="145">
        <f>Table7[[#This Row],[Pcon_top (mW) C]]+Table7[[#This Row],[Psw_top (mW) C]]</f>
        <v>1175.9623994080248</v>
      </c>
      <c r="BW206" s="145">
        <f>IF(VACnom&gt;Vbat, (1-Table7[[#This Row],[Duty Cycle]])*Table7[[#This Row],[I_L RMS]]^2*C_MOSFET_S_RDSON_L_BU*10^-3, Table7[[#This Row],[Duty Cycle]]*Table7[[#This Row],[I_L RMS]]^2*C_MOSFET_S_RDSON_L_BO*10^-3)/10^-3</f>
        <v>11.459438440042675</v>
      </c>
      <c r="BX206" s="145">
        <f>IF(VACnom&gt;Vbat, Table7[[#This Row],[PRR (mW) C]]+Table7[[#This Row],[Pdead (mW) C]]+Table7[[#This Row],[Pgate_bottom (mW) C]], Table7[[#This Row],[PIV (mW) C]]+Table7[[#This Row],[PQoss (mW) C]]+Table7[[#This Row],[Pgate_bottom (mW) C]])</f>
        <v>1621.8003478260875</v>
      </c>
      <c r="BY206" s="145">
        <f>Table7[[#This Row],[Pcon_bottom (mW) C]]+Table7[[#This Row],[Psw_bottom (mV) C]]</f>
        <v>1633.2597862661303</v>
      </c>
      <c r="BZ206" s="145">
        <f>Table7[[#This Row],[Pbottom (mW) C]]+Table7[[#This Row],[Ptop (mW) C]]</f>
        <v>2809.2221856741553</v>
      </c>
      <c r="CA206" s="148"/>
      <c r="CB206" s="144">
        <f>(RAC_SNS*10^-3*(Table7[[#This Row],[IOUT (A)]]*Vbat/VACnom)^2/10^-3)</f>
        <v>620.13232514177696</v>
      </c>
      <c r="CC206" s="144">
        <f>(RBAT_SNS*10^-3*Table7[[#This Row],[IOUT (A)]]^2)/10^-3</f>
        <v>1620</v>
      </c>
      <c r="CD206" s="144">
        <f>IF(VACnom&gt;Vbat,(L_DRC*10^-3*(Table7[[#This Row],[IOUT (A)]])^2/10^-3),(L_DRC*10^-3*(Table7[[#This Row],[IOUT (A)]]*Vbat/VACnom)^2/10^-3))</f>
        <v>1620</v>
      </c>
      <c r="CE206" s="152"/>
      <c r="CF206" s="145">
        <f>(Table7[[#This Row],[R_AC (mW)]]+Table7[[#This Row],[R_SR (mW)]]+Table7[[#This Row],[Inductor Loss (mW)]])/10^3</f>
        <v>3.8601323251417772</v>
      </c>
      <c r="CG206" s="145" t="e">
        <f ca="1">Table7[[#This Row],[Total TI (mW)]]/10^3</f>
        <v>#VALUE!</v>
      </c>
      <c r="CH206" s="145" t="e">
        <f ca="1">Table7[[#This Row],[Total Sense Loss]]+Table7[[#This Row],[Total MOSFET Loss]]</f>
        <v>#VALUE!</v>
      </c>
      <c r="CI206" s="149" t="e">
        <f ca="1">IF(Table7[[#This Row],[POUT (W)]]=0,0,(Table7[[#This Row],[POUT (W)]])/(Table7[[#This Row],[POUT (W)]]+Table7[[#This Row],[Total Power Loss (W)]]))*100</f>
        <v>#VALUE!</v>
      </c>
      <c r="CJ206" s="153"/>
      <c r="CK206" s="145">
        <f>(Table7[[#This Row],[R_AC (mW)]]+Table7[[#This Row],[R_SR (mW)]]+Table7[[#This Row],[Inductor Loss (mW)]])/10^3</f>
        <v>3.8601323251417772</v>
      </c>
      <c r="CL206" s="145">
        <f>Table7[[#This Row],[Total (mW) C]]/10^3</f>
        <v>2.8092221856741553</v>
      </c>
      <c r="CM206" s="145">
        <f>Table7[[#This Row],[Total Sense Loss C]]+Table7[[#This Row],[Total MOSFET Loss C]]</f>
        <v>6.669354510815932</v>
      </c>
      <c r="CN206" s="149">
        <f>IF(Table7[[#This Row],[POUT (W)]]=0,0,(Table7[[#This Row],[POUT (W)]])/(Table7[[#This Row],[POUT (W)]]+Table7[[#This Row],[Total Power Loss (W) C]]))*100</f>
        <v>99.003189360586973</v>
      </c>
      <c r="CO206" s="153"/>
      <c r="CP206" s="149">
        <f>IF(MOSFET_S=Custom_MOSFET,Table7[[#This Row],[Total Sense Loss C]],Table7[[#This Row],[Total Sense Loss]])</f>
        <v>3.8601323251417772</v>
      </c>
      <c r="CQ206" s="149">
        <f>IF(MOSFET_S=Custom_MOSFET,Table7[[#This Row],[Total MOSFET Loss C]],Table7[[#This Row],[Total MOSFET Loss]])</f>
        <v>2.8092221856741553</v>
      </c>
      <c r="CR206" s="149">
        <f>IF(MOSFET_S=Custom_MOSFET,Table7[[#This Row],[Efficiency C]],Table7[[#This Row],[Efficiency]])</f>
        <v>99.003189360586973</v>
      </c>
      <c r="CS206" s="153"/>
      <c r="CT206" s="149">
        <f>IF(MOSFET_S=Compare_MOSFET, Table7[[#This Row],[Total Sense Loss C]], -100)</f>
        <v>-100</v>
      </c>
      <c r="CU206" s="149">
        <f>IF(MOSFET_S=Compare_MOSFET, Table7[[#This Row],[Total MOSFET Loss C]], -100)</f>
        <v>-100</v>
      </c>
      <c r="CV206" s="149">
        <f>IF(MOSFET_S=Compare_MOSFET, Table7[[#This Row],[Efficiency C]], -100)</f>
        <v>-100</v>
      </c>
      <c r="CW206" s="153"/>
      <c r="CX206" s="149">
        <f ca="1">IF(Save_Sel=CLR_Save,  Table7[[#This Row],[Total Sense Loss P1]], Table7[[#This Row],[Total Sense Loss P1 Saved]])</f>
        <v>3.8601323251417772</v>
      </c>
      <c r="CY206" s="149">
        <f ca="1">IF(Save_Sel=CLR_Save,  Table7[[#This Row],[Total MOSFET Loss P1]], Table7[[#This Row],[Total MOSFET Loss P1 Saved]] )</f>
        <v>2.8092221856741553</v>
      </c>
      <c r="CZ206" s="149">
        <f ca="1">IF(Save_Sel=CLR_Save, Table7[[#This Row],[Efficiency P1]], Table7[[#This Row],[Efficiency P1 Saved]])</f>
        <v>99.003189360586973</v>
      </c>
      <c r="DA206" s="153"/>
      <c r="DB206" s="149">
        <f ca="1">IF(Save_Sel=CLR_Save,  Table7[[#This Row],[Total Sense Loss P2]], Table7[[#This Row],[Total Sense Loss P2 Saved]])</f>
        <v>-100</v>
      </c>
      <c r="DC206" s="149">
        <f ca="1">IF(Save_Sel=CLR_Save,  Table7[[#This Row],[Total MOSFET Loss P2]], Table7[[#This Row],[Total MOSFET Loss P2 Saved]] )</f>
        <v>-100</v>
      </c>
      <c r="DD206" s="149">
        <f ca="1">IF(Save_Sel=CLR_Save, Table7[[#This Row],[Efficiency P2]], Table7[[#This Row],[Efficiency P2 Saved]])</f>
        <v>-100</v>
      </c>
      <c r="DE206" s="153"/>
      <c r="DF206" s="19"/>
      <c r="DG206" s="19"/>
      <c r="DH206" s="19"/>
      <c r="DI206" s="19"/>
      <c r="DJ206" s="19"/>
      <c r="DK206" s="19"/>
      <c r="DL206" s="19"/>
      <c r="DM206" s="19"/>
      <c r="DN206" s="19"/>
      <c r="DO206" s="19"/>
      <c r="DP206" s="19"/>
      <c r="DQ206" s="19"/>
      <c r="DR206" s="19"/>
      <c r="DS206" s="19"/>
      <c r="DT206" s="19"/>
      <c r="DU206" s="19"/>
      <c r="DV206" s="19"/>
      <c r="DW206" s="19"/>
      <c r="DX206" s="19"/>
      <c r="DY206" s="19"/>
      <c r="DZ206" s="19"/>
      <c r="EA206" s="19"/>
      <c r="EB206" s="19"/>
      <c r="EC206" s="19"/>
      <c r="ED206" s="19"/>
      <c r="EE206" s="19"/>
      <c r="EF206" s="19"/>
      <c r="EG206" s="19"/>
      <c r="EH206" s="19"/>
      <c r="EI206" s="19"/>
      <c r="EJ206" s="19"/>
      <c r="EK206" s="19"/>
      <c r="EL206" s="19"/>
      <c r="EM206" s="19"/>
      <c r="EN206" s="19"/>
      <c r="EO206" s="19"/>
      <c r="EP206" s="19"/>
      <c r="EQ206" s="19"/>
      <c r="ER206" s="19"/>
      <c r="ES206" s="19"/>
      <c r="ET206" s="19"/>
      <c r="EU206" s="19"/>
      <c r="EV206" s="19"/>
      <c r="EW206" s="19"/>
      <c r="EX206" s="19"/>
      <c r="EY206" s="19"/>
      <c r="EZ206" s="19"/>
      <c r="FA206" s="19"/>
      <c r="FB206" s="19"/>
      <c r="FC206" s="19"/>
      <c r="FD206" s="19"/>
      <c r="FE206" s="19"/>
      <c r="FF206" s="19"/>
      <c r="FG206" s="19"/>
      <c r="FH206" s="19"/>
      <c r="FI206" s="19"/>
    </row>
    <row r="207" spans="1:165" x14ac:dyDescent="0.25">
      <c r="A207" s="32"/>
      <c r="B207" s="49"/>
      <c r="C207" s="49"/>
      <c r="D207" s="32"/>
      <c r="E207" s="66"/>
      <c r="F207" s="66"/>
      <c r="G207" s="49"/>
      <c r="H207" s="29"/>
      <c r="I207" s="29"/>
      <c r="J207" s="29"/>
      <c r="K207" s="29"/>
      <c r="L207" s="29"/>
      <c r="M207" s="29"/>
      <c r="N207" s="29"/>
      <c r="O207" s="29"/>
      <c r="P207" s="29"/>
      <c r="Q207" s="29"/>
      <c r="R207" s="29"/>
      <c r="S207" s="30"/>
      <c r="T207" s="18"/>
      <c r="U207" s="19"/>
      <c r="V207" s="19"/>
      <c r="W207" s="19"/>
      <c r="X207" s="19"/>
      <c r="Y207" s="19"/>
      <c r="Z207" s="19"/>
      <c r="AA207" s="19"/>
      <c r="AB207" s="19"/>
      <c r="AC207" s="19"/>
      <c r="AD207" s="19"/>
      <c r="AE207" s="19"/>
      <c r="AF207" s="143">
        <f t="shared" si="17"/>
        <v>51</v>
      </c>
      <c r="AG207" s="143">
        <f t="shared" si="39"/>
        <v>18.36</v>
      </c>
      <c r="AH207" s="144">
        <f t="shared" si="28"/>
        <v>675.64799999999991</v>
      </c>
      <c r="AI207" s="145">
        <f t="shared" si="29"/>
        <v>0.97826086956521752</v>
      </c>
      <c r="AJ207" s="145">
        <f t="shared" si="30"/>
        <v>17.960869565217394</v>
      </c>
      <c r="AK207" s="145">
        <f t="shared" si="26"/>
        <v>0.39130434782608459</v>
      </c>
      <c r="AL207" s="145">
        <f t="shared" si="27"/>
        <v>17.96122477625449</v>
      </c>
      <c r="AM207" s="146"/>
      <c r="AN207" s="145">
        <f>MAX(0,Table7[[#This Row],[I_L]]-0.5*Table7[[#This Row],[I_L pkpk]])</f>
        <v>17.765217391304351</v>
      </c>
      <c r="AO207" s="145">
        <f>Table7[[#This Row],[I_L]]+0.5*Table7[[#This Row],[I_L pkpk]]</f>
        <v>18.156521739130437</v>
      </c>
      <c r="AP207" s="145">
        <f ca="1">IF(VACnom&gt;Vbat, (VGS_S-(TI_MOSFET_S_VTH_H_BU+Table7[[#This Row],[I_L]]/TI_MOSFET_S_gFS_H_BU))/3.4, (VGS_S-(TI_MOSFET_S_VTH_L_BO+Table7[[#This Row],[I_L]]/TI_MOSFET_S_gFS_L_BO))/3.4 )</f>
        <v>2.9740704308479242</v>
      </c>
      <c r="AQ207" s="145">
        <f ca="1">IF(VACnom&gt;Vbat, ((TI_MOSFET_S_VTH_H_BU+Table7[[#This Row],[I_L]]/TI_MOSFET_S_gFS_H_BU))/1, ((TI_MOSFET_S_VTH_L_BO+Table7[[#This Row],[I_L]]/TI_MOSFET_S_gFS_L_BO))/1 )</f>
        <v>1.8881605351170569</v>
      </c>
      <c r="AR207" s="145">
        <f ca="1">IF(VACnom&gt;Vbat, (TI_MOSFET_S_QGD_H_BU+TI_MOSFET_S_QGS_H_BU)*10^-9/Table7[[#This Row],[Ion (A)]], (TI_MOSFET_S_QGD_L_BO+TI_MOSFET_S_QGS_L_BO)*10^-9/Table7[[#This Row],[Ion (A)]])/10^-9</f>
        <v>9.6836980393194505</v>
      </c>
      <c r="AS207" s="145">
        <f ca="1">IF(VACnom&gt;Vbat, (TI_MOSFET_S_QGD_H_BU+TI_MOSFET_S_QGS_H_BU)*10^-9/Table7[[#This Row],[Ioff (A)]], (TI_MOSFET_S_QGD_L_BO+TI_MOSFET_S_QGS_L_BO)*10^-9/Table7[[#This Row],[Ioff (A)]])/10^-9</f>
        <v>15.252940342921921</v>
      </c>
      <c r="AT207" s="145">
        <f ca="1" xml:space="preserve"> 0.5*VACnom*Table7[[#This Row],[Ivalley (A)]]*Table7[[#This Row],[ton (ns)]]*10^-9*Fsw*10^3+0.5*VACnom*Table7[[#This Row],[Ipeak (A)]]*Table7[[#This Row],[toff (ns)]]*10^-9*Fsw*10^3/10^-3</f>
        <v>1019.7735433956897</v>
      </c>
      <c r="AU207" s="145">
        <f t="shared" ca="1" si="31"/>
        <v>268.64000000000004</v>
      </c>
      <c r="AV207" s="145" t="e">
        <f t="shared" si="32"/>
        <v>#VALUE!</v>
      </c>
      <c r="AW207" s="145">
        <f t="shared" ca="1" si="33"/>
        <v>566.72000000000025</v>
      </c>
      <c r="AX207" s="145">
        <f ca="1">IF(VACnom&gt;Vbat, TI_MOSFET_S_VSD_L_BU*Table7[[#This Row],[Ivalley (A)]]*Fsw*10^3*40*10^-9+TI_MOSFET_S_VSD_L_BU*Table7[[#This Row],[Ipeak (A)]]*Fsw*10^3*30*10^-9, TI_MOSFET_S_VSD_H_BO*Table7[[#This Row],[Ivalley (A)]]*Fsw*10^3*40*10^-9+TI_MOSFET_S_VSD_H_BO*Table7[[#This Row],[Ipeak (A)]]*Fsw*10^3*30*10^-9)/10^-3</f>
        <v>180.76382608695661</v>
      </c>
      <c r="AY207" s="145" t="e">
        <f t="shared" si="34"/>
        <v>#VALUE!</v>
      </c>
      <c r="AZ207" s="145" t="e">
        <f>IF(VACnom&lt;Vbat, Table7[[#This Row],[Duty Cycle]]*Table7[[#This Row],[I_L RMS]]^2*TI_MOSFET_S_RDSON_H_BU*10^-3, (1-Table7[[#This Row],[Duty Cycle]])*Table7[[#This Row],[I_L RMS]]^2*TI_MOSFET_S_RDSON_H_BO*10^-3)/10^-3</f>
        <v>#VALUE!</v>
      </c>
      <c r="BA207" s="145" t="e">
        <f ca="1">IF(VACnom&gt;Vbat, Table7[[#This Row],[PIV (mW)]]+Table7[[#This Row],[Pqoss (mW)]]+Table7[[#This Row],[Pgate_top (mW)]], Table7[[#This Row],[PRR (mW)]]+Table7[[#This Row],[Pdead (mW)]]+Table7[[#This Row],[Pgate_top (mW)]])</f>
        <v>#VALUE!</v>
      </c>
      <c r="BB207" s="145" t="e">
        <f ca="1">Table7[[#This Row],[Pcon_top (mW)]]+Table7[[#This Row],[Psw_top (mW)]]</f>
        <v>#VALUE!</v>
      </c>
      <c r="BC207" s="145" t="e">
        <f>IF(VACnom&gt;Vbat, (1-Table7[[#This Row],[Duty Cycle]])*Table7[[#This Row],[I_L RMS]]^2*TI_MOSFET_S_RDSON_L_BU*10^-3, Table7[[#This Row],[Duty Cycle]]*Table7[[#This Row],[I_L RMS]]^2*TI_MOSFET_S_RDSON_L_BO*10^-3)/10^-3</f>
        <v>#VALUE!</v>
      </c>
      <c r="BD207" s="145" t="e">
        <f ca="1">IF(VACnom&gt;Vbat, Table7[[#This Row],[PRR (mW)]]+Table7[[#This Row],[Pdead (mW)]]+Table7[[#This Row],[Pgate_bottom (mW)]], Table7[[#This Row],[PIV (mW)]]+Table7[[#This Row],[Pqoss (mW)]]+Table7[[#This Row],[Pgate_bottom (mW)]])</f>
        <v>#VALUE!</v>
      </c>
      <c r="BE207" s="147" t="e">
        <f ca="1">Table7[[#This Row],[Pcon_bottom (mW)]]+Table7[[#This Row],[Psw_bottom (mW)]]</f>
        <v>#VALUE!</v>
      </c>
      <c r="BF207" s="145" t="e">
        <f ca="1">Table7[[#This Row],[Pbottom (mW)]]+Table7[[#This Row],[Ptop (mW)]]</f>
        <v>#VALUE!</v>
      </c>
      <c r="BG207" s="142"/>
      <c r="BH207" s="145">
        <f>MAX(0,Table7[[#This Row],[I_L]]-0.5*Table7[[#This Row],[I_L pkpk]])</f>
        <v>17.765217391304351</v>
      </c>
      <c r="BI207" s="145">
        <f>Table7[[#This Row],[I_L]]+0.5*Table7[[#This Row],[I_L pkpk]]</f>
        <v>18.156521739130437</v>
      </c>
      <c r="BJ207" s="145">
        <f>IF(VACnom&gt;Vbat, (VGS_S-(C_MOSFET_S_VTH_H_BU+Table7[[#This Row],[I_L]]/C_MOSFET_S_gFS_H_BU))/3.4, (VGS_S-(C_MOSFET_S_VTH_L_BO+Table7[[#This Row],[I_L]]/C_MOSFET_S_gFS_L_BO))/3.4 )</f>
        <v>2.925048505159185</v>
      </c>
      <c r="BK207" s="145">
        <f>IF(VACnom&gt;Vbat, ((C_MOSFET_S_VTH_H_BU+Table7[[#This Row],[I_L]]/C_MOSFET_S_gFS_H_BU))/1, ((C_MOSFET_S_VTH_L_BO+Table7[[#This Row],[I_L]]/C_MOSFET_S_gFS_L_BO))/1 )</f>
        <v>2.0548350824587707</v>
      </c>
      <c r="BL207" s="145">
        <f>IF(VACnom&gt;Vbat, (C_MOSFET_S_QGD_H_BU+C_MOSFET_S_QGS_H_BU)*10^-9/Table7[[#This Row],[Ion (A) C]], (C_MOSFET_S_QGD_L_BO+C_MOSFET_S_QGS_L_BO)*10^-9/Table7[[#This Row],[Ion (A) C]])/10^-9</f>
        <v>5.2990574250858344</v>
      </c>
      <c r="BM207" s="145">
        <f>IF(VACnom&gt;Vbat, (C_MOSFET_S_QGD_H_BU+C_MOSFET_S_QGS_H_BU)*10^-9/Table7[[#This Row],[Ioff (A) C]], (C_MOSFET_S_QGD_L_BO+C_MOSFET_S_QGS_L_BO)*10^-9/Table7[[#This Row],[Ioff (A) C]])/10^-9</f>
        <v>7.5431844298925625</v>
      </c>
      <c r="BN207" s="145">
        <f xml:space="preserve"> 0.5*VACnom*Table7[[#This Row],[Ivalley (A) C]]*Table7[[#This Row],[ton (ns) C]]*10^-9*Fsw*10^3+0.5*VACnom*Table7[[#This Row],[Ipeak (A) C]]*Table7[[#This Row],[toff (ns) C]]*10^-9*Fsw*10^3/10^-3</f>
        <v>504.35184204592395</v>
      </c>
      <c r="BO207" s="145">
        <f t="shared" si="35"/>
        <v>305.44000000000011</v>
      </c>
      <c r="BP207" s="145">
        <f t="shared" si="36"/>
        <v>357.69600000000014</v>
      </c>
      <c r="BQ207" s="145">
        <f t="shared" si="37"/>
        <v>1067.2000000000003</v>
      </c>
      <c r="BR207" s="145">
        <f>IF(VACnom&gt;Vbat, C_MOSFET_S_VSD_L_BU*Table7[[#This Row],[Ivalley (A) C]]*Fsw*10^3*40*10^-9+C_MOSFET_S_VSD_L_BU*Table7[[#This Row],[Ipeak (A) C]]*Fsw*10^3*30*10^-9, C_MOSFET_S_VSD_H_BO*Table7[[#This Row],[Ivalley (A) C]]*Fsw*10^3*40*10^-9+C_MOSFET_S_VSD_H_BO*Table7[[#This Row],[Ipeak (A) C]]*Fsw*10^3*30*10^-9)/10^-3</f>
        <v>200.848695652174</v>
      </c>
      <c r="BS207" s="145">
        <f t="shared" si="38"/>
        <v>357.69600000000014</v>
      </c>
      <c r="BT207" s="145">
        <f>IF(VACnom&lt;Vbat, Table7[[#This Row],[Duty Cycle]]*Table7[[#This Row],[I_L RMS]]^2*C_MOSFET_S_RDSON_H_BU*10^-3, (1-Table7[[#This Row],[Duty Cycle]])*Table7[[#This Row],[I_L RMS]]^2*C_MOSFET_S_RDSON_H_BO*10^-3)/10^-3</f>
        <v>18.234229308785963</v>
      </c>
      <c r="BU207" s="145">
        <f>IF(VACnom&gt;Vbat, Table7[[#This Row],[PIV (mW) C]]+Table7[[#This Row],[PQoss (mW) C]]+Table7[[#This Row],[Pgate_top (mW) C]], Table7[[#This Row],[PRR (mW) C]]+Table7[[#This Row],[Pdead (mW) C]]+Table7[[#This Row],[Pgate_top (mW) C]])</f>
        <v>1167.4878420459243</v>
      </c>
      <c r="BV207" s="145">
        <f>Table7[[#This Row],[Pcon_top (mW) C]]+Table7[[#This Row],[Psw_top (mW) C]]</f>
        <v>1185.7220713547101</v>
      </c>
      <c r="BW207" s="145">
        <f>IF(VACnom&gt;Vbat, (1-Table7[[#This Row],[Duty Cycle]])*Table7[[#This Row],[I_L RMS]]^2*C_MOSFET_S_RDSON_L_BU*10^-3, Table7[[#This Row],[Duty Cycle]]*Table7[[#This Row],[I_L RMS]]^2*C_MOSFET_S_RDSON_L_BO*10^-3)/10^-3</f>
        <v>11.922380701898513</v>
      </c>
      <c r="BX207" s="145">
        <f>IF(VACnom&gt;Vbat, Table7[[#This Row],[PRR (mW) C]]+Table7[[#This Row],[Pdead (mW) C]]+Table7[[#This Row],[Pgate_bottom (mW) C]], Table7[[#This Row],[PIV (mW) C]]+Table7[[#This Row],[PQoss (mW) C]]+Table7[[#This Row],[Pgate_bottom (mW) C]])</f>
        <v>1625.7446956521744</v>
      </c>
      <c r="BY207" s="145">
        <f>Table7[[#This Row],[Pcon_bottom (mW) C]]+Table7[[#This Row],[Psw_bottom (mV) C]]</f>
        <v>1637.6670763540728</v>
      </c>
      <c r="BZ207" s="145">
        <f>Table7[[#This Row],[Pbottom (mW) C]]+Table7[[#This Row],[Ptop (mW) C]]</f>
        <v>2823.3891477087827</v>
      </c>
      <c r="CA207" s="148"/>
      <c r="CB207" s="144">
        <f>(RAC_SNS*10^-3*(Table7[[#This Row],[IOUT (A)]]*Vbat/VACnom)^2/10^-3)</f>
        <v>645.18567107750494</v>
      </c>
      <c r="CC207" s="144">
        <f>(RBAT_SNS*10^-3*Table7[[#This Row],[IOUT (A)]]^2)/10^-3</f>
        <v>1685.4479999999999</v>
      </c>
      <c r="CD207" s="144">
        <f>IF(VACnom&gt;Vbat,(L_DRC*10^-3*(Table7[[#This Row],[IOUT (A)]])^2/10^-3),(L_DRC*10^-3*(Table7[[#This Row],[IOUT (A)]]*Vbat/VACnom)^2/10^-3))</f>
        <v>1685.4479999999999</v>
      </c>
      <c r="CE207" s="152"/>
      <c r="CF207" s="145">
        <f>(Table7[[#This Row],[R_AC (mW)]]+Table7[[#This Row],[R_SR (mW)]]+Table7[[#This Row],[Inductor Loss (mW)]])/10^3</f>
        <v>4.0160816710775045</v>
      </c>
      <c r="CG207" s="145" t="e">
        <f ca="1">Table7[[#This Row],[Total TI (mW)]]/10^3</f>
        <v>#VALUE!</v>
      </c>
      <c r="CH207" s="145" t="e">
        <f ca="1">Table7[[#This Row],[Total Sense Loss]]+Table7[[#This Row],[Total MOSFET Loss]]</f>
        <v>#VALUE!</v>
      </c>
      <c r="CI207" s="149" t="e">
        <f ca="1">IF(Table7[[#This Row],[POUT (W)]]=0,0,(Table7[[#This Row],[POUT (W)]])/(Table7[[#This Row],[POUT (W)]]+Table7[[#This Row],[Total Power Loss (W)]]))*100</f>
        <v>#VALUE!</v>
      </c>
      <c r="CJ207" s="153"/>
      <c r="CK207" s="145">
        <f>(Table7[[#This Row],[R_AC (mW)]]+Table7[[#This Row],[R_SR (mW)]]+Table7[[#This Row],[Inductor Loss (mW)]])/10^3</f>
        <v>4.0160816710775045</v>
      </c>
      <c r="CL207" s="145">
        <f>Table7[[#This Row],[Total (mW) C]]/10^3</f>
        <v>2.8233891477087827</v>
      </c>
      <c r="CM207" s="145">
        <f>Table7[[#This Row],[Total Sense Loss C]]+Table7[[#This Row],[Total MOSFET Loss C]]</f>
        <v>6.8394708187862872</v>
      </c>
      <c r="CN207" s="149">
        <f>IF(Table7[[#This Row],[POUT (W)]]=0,0,(Table7[[#This Row],[POUT (W)]])/(Table7[[#This Row],[POUT (W)]]+Table7[[#This Row],[Total Power Loss (W) C]]))*100</f>
        <v>98.997861336475395</v>
      </c>
      <c r="CO207" s="153"/>
      <c r="CP207" s="149">
        <f>IF(MOSFET_S=Custom_MOSFET,Table7[[#This Row],[Total Sense Loss C]],Table7[[#This Row],[Total Sense Loss]])</f>
        <v>4.0160816710775045</v>
      </c>
      <c r="CQ207" s="149">
        <f>IF(MOSFET_S=Custom_MOSFET,Table7[[#This Row],[Total MOSFET Loss C]],Table7[[#This Row],[Total MOSFET Loss]])</f>
        <v>2.8233891477087827</v>
      </c>
      <c r="CR207" s="149">
        <f>IF(MOSFET_S=Custom_MOSFET,Table7[[#This Row],[Efficiency C]],Table7[[#This Row],[Efficiency]])</f>
        <v>98.997861336475395</v>
      </c>
      <c r="CS207" s="153"/>
      <c r="CT207" s="149">
        <f>IF(MOSFET_S=Compare_MOSFET, Table7[[#This Row],[Total Sense Loss C]], -100)</f>
        <v>-100</v>
      </c>
      <c r="CU207" s="149">
        <f>IF(MOSFET_S=Compare_MOSFET, Table7[[#This Row],[Total MOSFET Loss C]], -100)</f>
        <v>-100</v>
      </c>
      <c r="CV207" s="149">
        <f>IF(MOSFET_S=Compare_MOSFET, Table7[[#This Row],[Efficiency C]], -100)</f>
        <v>-100</v>
      </c>
      <c r="CW207" s="153"/>
      <c r="CX207" s="149">
        <f ca="1">IF(Save_Sel=CLR_Save,  Table7[[#This Row],[Total Sense Loss P1]], Table7[[#This Row],[Total Sense Loss P1 Saved]])</f>
        <v>4.0160816710775045</v>
      </c>
      <c r="CY207" s="149">
        <f ca="1">IF(Save_Sel=CLR_Save,  Table7[[#This Row],[Total MOSFET Loss P1]], Table7[[#This Row],[Total MOSFET Loss P1 Saved]] )</f>
        <v>2.8233891477087827</v>
      </c>
      <c r="CZ207" s="149">
        <f ca="1">IF(Save_Sel=CLR_Save, Table7[[#This Row],[Efficiency P1]], Table7[[#This Row],[Efficiency P1 Saved]])</f>
        <v>98.997861336475395</v>
      </c>
      <c r="DA207" s="153"/>
      <c r="DB207" s="149">
        <f ca="1">IF(Save_Sel=CLR_Save,  Table7[[#This Row],[Total Sense Loss P2]], Table7[[#This Row],[Total Sense Loss P2 Saved]])</f>
        <v>-100</v>
      </c>
      <c r="DC207" s="149">
        <f ca="1">IF(Save_Sel=CLR_Save,  Table7[[#This Row],[Total MOSFET Loss P2]], Table7[[#This Row],[Total MOSFET Loss P2 Saved]] )</f>
        <v>-100</v>
      </c>
      <c r="DD207" s="149">
        <f ca="1">IF(Save_Sel=CLR_Save, Table7[[#This Row],[Efficiency P2]], Table7[[#This Row],[Efficiency P2 Saved]])</f>
        <v>-100</v>
      </c>
      <c r="DE207" s="153"/>
      <c r="DF207" s="19"/>
      <c r="DG207" s="19"/>
      <c r="DH207" s="19"/>
      <c r="DI207" s="19"/>
      <c r="DJ207" s="19"/>
      <c r="DK207" s="19"/>
      <c r="DL207" s="19"/>
      <c r="DM207" s="19"/>
      <c r="DN207" s="19"/>
      <c r="DO207" s="19"/>
      <c r="DP207" s="19"/>
      <c r="DQ207" s="19"/>
      <c r="DR207" s="19"/>
      <c r="DS207" s="19"/>
      <c r="DT207" s="19"/>
      <c r="DU207" s="19"/>
      <c r="DV207" s="19"/>
      <c r="DW207" s="19"/>
      <c r="DX207" s="19"/>
      <c r="DY207" s="19"/>
      <c r="DZ207" s="19"/>
      <c r="EA207" s="19"/>
      <c r="EB207" s="19"/>
      <c r="EC207" s="19"/>
      <c r="ED207" s="19"/>
      <c r="EE207" s="19"/>
      <c r="EF207" s="19"/>
      <c r="EG207" s="19"/>
      <c r="EH207" s="19"/>
      <c r="EI207" s="19"/>
      <c r="EJ207" s="19"/>
      <c r="EK207" s="19"/>
      <c r="EL207" s="19"/>
      <c r="EM207" s="19"/>
      <c r="EN207" s="19"/>
      <c r="EO207" s="19"/>
      <c r="EP207" s="19"/>
      <c r="EQ207" s="19"/>
      <c r="ER207" s="19"/>
      <c r="ES207" s="19"/>
      <c r="ET207" s="19"/>
      <c r="EU207" s="19"/>
      <c r="EV207" s="19"/>
      <c r="EW207" s="19"/>
      <c r="EX207" s="19"/>
      <c r="EY207" s="19"/>
      <c r="EZ207" s="19"/>
      <c r="FA207" s="19"/>
      <c r="FB207" s="19"/>
      <c r="FC207" s="19"/>
      <c r="FD207" s="19"/>
      <c r="FE207" s="19"/>
      <c r="FF207" s="19"/>
      <c r="FG207" s="19"/>
      <c r="FH207" s="19"/>
      <c r="FI207" s="19"/>
    </row>
    <row r="208" spans="1:165" x14ac:dyDescent="0.25">
      <c r="A208" s="32"/>
      <c r="B208" s="49"/>
      <c r="C208" s="49"/>
      <c r="D208" s="32"/>
      <c r="E208" s="66"/>
      <c r="F208" s="66"/>
      <c r="G208" s="49"/>
      <c r="H208" s="29"/>
      <c r="I208" s="29"/>
      <c r="J208" s="29"/>
      <c r="K208" s="29"/>
      <c r="L208" s="29"/>
      <c r="M208" s="29"/>
      <c r="N208" s="29"/>
      <c r="O208" s="29"/>
      <c r="P208" s="29"/>
      <c r="Q208" s="29"/>
      <c r="R208" s="29"/>
      <c r="S208" s="30"/>
      <c r="T208" s="18"/>
      <c r="U208" s="19"/>
      <c r="V208" s="19"/>
      <c r="W208" s="19"/>
      <c r="X208" s="19"/>
      <c r="Y208" s="19"/>
      <c r="Z208" s="19"/>
      <c r="AA208" s="19"/>
      <c r="AB208" s="19"/>
      <c r="AC208" s="19"/>
      <c r="AD208" s="19"/>
      <c r="AE208" s="19"/>
      <c r="AF208" s="143">
        <f t="shared" si="17"/>
        <v>52</v>
      </c>
      <c r="AG208" s="143">
        <f t="shared" si="39"/>
        <v>18.72</v>
      </c>
      <c r="AH208" s="144">
        <f t="shared" si="28"/>
        <v>688.89599999999996</v>
      </c>
      <c r="AI208" s="145">
        <f t="shared" si="29"/>
        <v>0.97826086956521752</v>
      </c>
      <c r="AJ208" s="145">
        <f t="shared" si="30"/>
        <v>18.31304347826087</v>
      </c>
      <c r="AK208" s="145">
        <f t="shared" si="26"/>
        <v>0.39130434782608459</v>
      </c>
      <c r="AL208" s="145">
        <f t="shared" si="27"/>
        <v>18.313391858447705</v>
      </c>
      <c r="AM208" s="146"/>
      <c r="AN208" s="145">
        <f>MAX(0,Table7[[#This Row],[I_L]]-0.5*Table7[[#This Row],[I_L pkpk]])</f>
        <v>18.117391304347827</v>
      </c>
      <c r="AO208" s="145">
        <f>Table7[[#This Row],[I_L]]+0.5*Table7[[#This Row],[I_L pkpk]]</f>
        <v>18.508695652173913</v>
      </c>
      <c r="AP208" s="145">
        <f ca="1">IF(VACnom&gt;Vbat, (VGS_S-(TI_MOSFET_S_VTH_H_BU+Table7[[#This Row],[I_L]]/TI_MOSFET_S_gFS_H_BU))/3.4, (VGS_S-(TI_MOSFET_S_VTH_L_BO+Table7[[#This Row],[I_L]]/TI_MOSFET_S_gFS_L_BO))/3.4 )</f>
        <v>2.9732736572890026</v>
      </c>
      <c r="AQ208" s="145">
        <f ca="1">IF(VACnom&gt;Vbat, ((TI_MOSFET_S_VTH_H_BU+Table7[[#This Row],[I_L]]/TI_MOSFET_S_gFS_H_BU))/1, ((TI_MOSFET_S_VTH_L_BO+Table7[[#This Row],[I_L]]/TI_MOSFET_S_gFS_L_BO))/1 )</f>
        <v>1.8908695652173912</v>
      </c>
      <c r="AR208" s="145">
        <f ca="1">IF(VACnom&gt;Vbat, (TI_MOSFET_S_QGD_H_BU+TI_MOSFET_S_QGS_H_BU)*10^-9/Table7[[#This Row],[Ion (A)]], (TI_MOSFET_S_QGD_L_BO+TI_MOSFET_S_QGS_L_BO)*10^-9/Table7[[#This Row],[Ion (A)]])/10^-9</f>
        <v>9.6862930626639727</v>
      </c>
      <c r="AS208" s="145">
        <f ca="1">IF(VACnom&gt;Vbat, (TI_MOSFET_S_QGD_H_BU+TI_MOSFET_S_QGS_H_BU)*10^-9/Table7[[#This Row],[Ioff (A)]], (TI_MOSFET_S_QGD_L_BO+TI_MOSFET_S_QGS_L_BO)*10^-9/Table7[[#This Row],[Ioff (A)]])/10^-9</f>
        <v>15.231087606346287</v>
      </c>
      <c r="AT208" s="145">
        <f ca="1" xml:space="preserve"> 0.5*VACnom*Table7[[#This Row],[Ivalley (A)]]*Table7[[#This Row],[ton (ns)]]*10^-9*Fsw*10^3+0.5*VACnom*Table7[[#This Row],[Ipeak (A)]]*Table7[[#This Row],[toff (ns)]]*10^-9*Fsw*10^3/10^-3</f>
        <v>1038.0656435745325</v>
      </c>
      <c r="AU208" s="145">
        <f t="shared" ca="1" si="31"/>
        <v>268.64000000000004</v>
      </c>
      <c r="AV208" s="145" t="e">
        <f t="shared" si="32"/>
        <v>#VALUE!</v>
      </c>
      <c r="AW208" s="145">
        <f t="shared" ca="1" si="33"/>
        <v>566.72000000000025</v>
      </c>
      <c r="AX208" s="145">
        <f ca="1">IF(VACnom&gt;Vbat, TI_MOSFET_S_VSD_L_BU*Table7[[#This Row],[Ivalley (A)]]*Fsw*10^3*40*10^-9+TI_MOSFET_S_VSD_L_BU*Table7[[#This Row],[Ipeak (A)]]*Fsw*10^3*30*10^-9, TI_MOSFET_S_VSD_H_BO*Table7[[#This Row],[Ivalley (A)]]*Fsw*10^3*40*10^-9+TI_MOSFET_S_VSD_H_BO*Table7[[#This Row],[Ipeak (A)]]*Fsw*10^3*30*10^-9)/10^-3</f>
        <v>184.31373913043487</v>
      </c>
      <c r="AY208" s="145" t="e">
        <f t="shared" si="34"/>
        <v>#VALUE!</v>
      </c>
      <c r="AZ208" s="145" t="e">
        <f>IF(VACnom&lt;Vbat, Table7[[#This Row],[Duty Cycle]]*Table7[[#This Row],[I_L RMS]]^2*TI_MOSFET_S_RDSON_H_BU*10^-3, (1-Table7[[#This Row],[Duty Cycle]])*Table7[[#This Row],[I_L RMS]]^2*TI_MOSFET_S_RDSON_H_BO*10^-3)/10^-3</f>
        <v>#VALUE!</v>
      </c>
      <c r="BA208" s="145" t="e">
        <f ca="1">IF(VACnom&gt;Vbat, Table7[[#This Row],[PIV (mW)]]+Table7[[#This Row],[Pqoss (mW)]]+Table7[[#This Row],[Pgate_top (mW)]], Table7[[#This Row],[PRR (mW)]]+Table7[[#This Row],[Pdead (mW)]]+Table7[[#This Row],[Pgate_top (mW)]])</f>
        <v>#VALUE!</v>
      </c>
      <c r="BB208" s="145" t="e">
        <f ca="1">Table7[[#This Row],[Pcon_top (mW)]]+Table7[[#This Row],[Psw_top (mW)]]</f>
        <v>#VALUE!</v>
      </c>
      <c r="BC208" s="145" t="e">
        <f>IF(VACnom&gt;Vbat, (1-Table7[[#This Row],[Duty Cycle]])*Table7[[#This Row],[I_L RMS]]^2*TI_MOSFET_S_RDSON_L_BU*10^-3, Table7[[#This Row],[Duty Cycle]]*Table7[[#This Row],[I_L RMS]]^2*TI_MOSFET_S_RDSON_L_BO*10^-3)/10^-3</f>
        <v>#VALUE!</v>
      </c>
      <c r="BD208" s="145" t="e">
        <f ca="1">IF(VACnom&gt;Vbat, Table7[[#This Row],[PRR (mW)]]+Table7[[#This Row],[Pdead (mW)]]+Table7[[#This Row],[Pgate_bottom (mW)]], Table7[[#This Row],[PIV (mW)]]+Table7[[#This Row],[Pqoss (mW)]]+Table7[[#This Row],[Pgate_bottom (mW)]])</f>
        <v>#VALUE!</v>
      </c>
      <c r="BE208" s="147" t="e">
        <f ca="1">Table7[[#This Row],[Pcon_bottom (mW)]]+Table7[[#This Row],[Psw_bottom (mW)]]</f>
        <v>#VALUE!</v>
      </c>
      <c r="BF208" s="145" t="e">
        <f ca="1">Table7[[#This Row],[Pbottom (mW)]]+Table7[[#This Row],[Ptop (mW)]]</f>
        <v>#VALUE!</v>
      </c>
      <c r="BG208" s="142"/>
      <c r="BH208" s="145">
        <f>MAX(0,Table7[[#This Row],[I_L]]-0.5*Table7[[#This Row],[I_L pkpk]])</f>
        <v>18.117391304347827</v>
      </c>
      <c r="BI208" s="145">
        <f>Table7[[#This Row],[I_L]]+0.5*Table7[[#This Row],[I_L pkpk]]</f>
        <v>18.508695652173913</v>
      </c>
      <c r="BJ208" s="145">
        <f>IF(VACnom&gt;Vbat, (VGS_S-(C_MOSFET_S_VTH_H_BU+Table7[[#This Row],[I_L]]/C_MOSFET_S_gFS_H_BU))/3.4, (VGS_S-(C_MOSFET_S_VTH_L_BO+Table7[[#This Row],[I_L]]/C_MOSFET_S_gFS_L_BO))/3.4 )</f>
        <v>2.9241555692741867</v>
      </c>
      <c r="BK208" s="145">
        <f>IF(VACnom&gt;Vbat, ((C_MOSFET_S_VTH_H_BU+Table7[[#This Row],[I_L]]/C_MOSFET_S_gFS_H_BU))/1, ((C_MOSFET_S_VTH_L_BO+Table7[[#This Row],[I_L]]/C_MOSFET_S_gFS_L_BO))/1 )</f>
        <v>2.0578710644677658</v>
      </c>
      <c r="BL208" s="145">
        <f>IF(VACnom&gt;Vbat, (C_MOSFET_S_QGD_H_BU+C_MOSFET_S_QGS_H_BU)*10^-9/Table7[[#This Row],[Ion (A) C]], (C_MOSFET_S_QGD_L_BO+C_MOSFET_S_QGS_L_BO)*10^-9/Table7[[#This Row],[Ion (A) C]])/10^-9</f>
        <v>5.3006755737853233</v>
      </c>
      <c r="BM208" s="145">
        <f>IF(VACnom&gt;Vbat, (C_MOSFET_S_QGD_H_BU+C_MOSFET_S_QGS_H_BU)*10^-9/Table7[[#This Row],[Ioff (A) C]], (C_MOSFET_S_QGD_L_BO+C_MOSFET_S_QGS_L_BO)*10^-9/Table7[[#This Row],[Ioff (A) C]])/10^-9</f>
        <v>7.5320559522074895</v>
      </c>
      <c r="BN208" s="145">
        <f xml:space="preserve"> 0.5*VACnom*Table7[[#This Row],[Ivalley (A) C]]*Table7[[#This Row],[ton (ns) C]]*10^-9*Fsw*10^3+0.5*VACnom*Table7[[#This Row],[Ipeak (A) C]]*Table7[[#This Row],[toff (ns) C]]*10^-9*Fsw*10^3/10^-3</f>
        <v>513.37680165861184</v>
      </c>
      <c r="BO208" s="145">
        <f t="shared" si="35"/>
        <v>305.44000000000011</v>
      </c>
      <c r="BP208" s="145">
        <f t="shared" si="36"/>
        <v>357.69600000000014</v>
      </c>
      <c r="BQ208" s="145">
        <f t="shared" si="37"/>
        <v>1067.2000000000003</v>
      </c>
      <c r="BR208" s="145">
        <f>IF(VACnom&gt;Vbat, C_MOSFET_S_VSD_L_BU*Table7[[#This Row],[Ivalley (A) C]]*Fsw*10^3*40*10^-9+C_MOSFET_S_VSD_L_BU*Table7[[#This Row],[Ipeak (A) C]]*Fsw*10^3*30*10^-9, C_MOSFET_S_VSD_H_BO*Table7[[#This Row],[Ivalley (A) C]]*Fsw*10^3*40*10^-9+C_MOSFET_S_VSD_H_BO*Table7[[#This Row],[Ipeak (A) C]]*Fsw*10^3*30*10^-9)/10^-3</f>
        <v>204.79304347826093</v>
      </c>
      <c r="BS208" s="145">
        <f t="shared" si="38"/>
        <v>357.69600000000014</v>
      </c>
      <c r="BT208" s="145">
        <f>IF(VACnom&lt;Vbat, Table7[[#This Row],[Duty Cycle]]*Table7[[#This Row],[I_L RMS]]^2*C_MOSFET_S_RDSON_H_BU*10^-3, (1-Table7[[#This Row],[Duty Cycle]])*Table7[[#This Row],[I_L RMS]]^2*C_MOSFET_S_RDSON_H_BO*10^-3)/10^-3</f>
        <v>18.956279033451032</v>
      </c>
      <c r="BU208" s="145">
        <f>IF(VACnom&gt;Vbat, Table7[[#This Row],[PIV (mW) C]]+Table7[[#This Row],[PQoss (mW) C]]+Table7[[#This Row],[Pgate_top (mW) C]], Table7[[#This Row],[PRR (mW) C]]+Table7[[#This Row],[Pdead (mW) C]]+Table7[[#This Row],[Pgate_top (mW) C]])</f>
        <v>1176.512801658612</v>
      </c>
      <c r="BV208" s="145">
        <f>Table7[[#This Row],[Pcon_top (mW) C]]+Table7[[#This Row],[Psw_top (mW) C]]</f>
        <v>1195.469080692063</v>
      </c>
      <c r="BW208" s="145">
        <f>IF(VACnom&gt;Vbat, (1-Table7[[#This Row],[Duty Cycle]])*Table7[[#This Row],[I_L RMS]]^2*C_MOSFET_S_RDSON_L_BU*10^-3, Table7[[#This Row],[Duty Cycle]]*Table7[[#This Row],[I_L RMS]]^2*C_MOSFET_S_RDSON_L_BO*10^-3)/10^-3</f>
        <v>12.394490137256446</v>
      </c>
      <c r="BX208" s="145">
        <f>IF(VACnom&gt;Vbat, Table7[[#This Row],[PRR (mW) C]]+Table7[[#This Row],[Pdead (mW) C]]+Table7[[#This Row],[Pgate_bottom (mW) C]], Table7[[#This Row],[PIV (mW) C]]+Table7[[#This Row],[PQoss (mW) C]]+Table7[[#This Row],[Pgate_bottom (mW) C]])</f>
        <v>1629.6890434782613</v>
      </c>
      <c r="BY208" s="145">
        <f>Table7[[#This Row],[Pcon_bottom (mW) C]]+Table7[[#This Row],[Psw_bottom (mV) C]]</f>
        <v>1642.0835336155178</v>
      </c>
      <c r="BZ208" s="145">
        <f>Table7[[#This Row],[Pbottom (mW) C]]+Table7[[#This Row],[Ptop (mW) C]]</f>
        <v>2837.5526143075808</v>
      </c>
      <c r="CA208" s="148"/>
      <c r="CB208" s="144">
        <f>(RAC_SNS*10^-3*(Table7[[#This Row],[IOUT (A)]]*Vbat/VACnom)^2/10^-3)</f>
        <v>670.73512287334597</v>
      </c>
      <c r="CC208" s="144">
        <f>(RBAT_SNS*10^-3*Table7[[#This Row],[IOUT (A)]]^2)/10^-3</f>
        <v>1752.1919999999998</v>
      </c>
      <c r="CD208" s="144">
        <f>IF(VACnom&gt;Vbat,(L_DRC*10^-3*(Table7[[#This Row],[IOUT (A)]])^2/10^-3),(L_DRC*10^-3*(Table7[[#This Row],[IOUT (A)]]*Vbat/VACnom)^2/10^-3))</f>
        <v>1752.1919999999998</v>
      </c>
      <c r="CE208" s="152"/>
      <c r="CF208" s="145">
        <f>(Table7[[#This Row],[R_AC (mW)]]+Table7[[#This Row],[R_SR (mW)]]+Table7[[#This Row],[Inductor Loss (mW)]])/10^3</f>
        <v>4.1751191228733457</v>
      </c>
      <c r="CG208" s="145" t="e">
        <f ca="1">Table7[[#This Row],[Total TI (mW)]]/10^3</f>
        <v>#VALUE!</v>
      </c>
      <c r="CH208" s="145" t="e">
        <f ca="1">Table7[[#This Row],[Total Sense Loss]]+Table7[[#This Row],[Total MOSFET Loss]]</f>
        <v>#VALUE!</v>
      </c>
      <c r="CI208" s="149" t="e">
        <f ca="1">IF(Table7[[#This Row],[POUT (W)]]=0,0,(Table7[[#This Row],[POUT (W)]])/(Table7[[#This Row],[POUT (W)]]+Table7[[#This Row],[Total Power Loss (W)]]))*100</f>
        <v>#VALUE!</v>
      </c>
      <c r="CJ208" s="153"/>
      <c r="CK208" s="145">
        <f>(Table7[[#This Row],[R_AC (mW)]]+Table7[[#This Row],[R_SR (mW)]]+Table7[[#This Row],[Inductor Loss (mW)]])/10^3</f>
        <v>4.1751191228733457</v>
      </c>
      <c r="CL208" s="145">
        <f>Table7[[#This Row],[Total (mW) C]]/10^3</f>
        <v>2.8375526143075809</v>
      </c>
      <c r="CM208" s="145">
        <f>Table7[[#This Row],[Total Sense Loss C]]+Table7[[#This Row],[Total MOSFET Loss C]]</f>
        <v>7.0126717371809271</v>
      </c>
      <c r="CN208" s="149">
        <f>IF(Table7[[#This Row],[POUT (W)]]=0,0,(Table7[[#This Row],[POUT (W)]])/(Table7[[#This Row],[POUT (W)]]+Table7[[#This Row],[Total Power Loss (W) C]]))*100</f>
        <v>98.992299992515498</v>
      </c>
      <c r="CO208" s="153"/>
      <c r="CP208" s="149">
        <f>IF(MOSFET_S=Custom_MOSFET,Table7[[#This Row],[Total Sense Loss C]],Table7[[#This Row],[Total Sense Loss]])</f>
        <v>4.1751191228733457</v>
      </c>
      <c r="CQ208" s="149">
        <f>IF(MOSFET_S=Custom_MOSFET,Table7[[#This Row],[Total MOSFET Loss C]],Table7[[#This Row],[Total MOSFET Loss]])</f>
        <v>2.8375526143075809</v>
      </c>
      <c r="CR208" s="149">
        <f>IF(MOSFET_S=Custom_MOSFET,Table7[[#This Row],[Efficiency C]],Table7[[#This Row],[Efficiency]])</f>
        <v>98.992299992515498</v>
      </c>
      <c r="CS208" s="153"/>
      <c r="CT208" s="149">
        <f>IF(MOSFET_S=Compare_MOSFET, Table7[[#This Row],[Total Sense Loss C]], -100)</f>
        <v>-100</v>
      </c>
      <c r="CU208" s="149">
        <f>IF(MOSFET_S=Compare_MOSFET, Table7[[#This Row],[Total MOSFET Loss C]], -100)</f>
        <v>-100</v>
      </c>
      <c r="CV208" s="149">
        <f>IF(MOSFET_S=Compare_MOSFET, Table7[[#This Row],[Efficiency C]], -100)</f>
        <v>-100</v>
      </c>
      <c r="CW208" s="153"/>
      <c r="CX208" s="149">
        <f ca="1">IF(Save_Sel=CLR_Save,  Table7[[#This Row],[Total Sense Loss P1]], Table7[[#This Row],[Total Sense Loss P1 Saved]])</f>
        <v>4.1751191228733457</v>
      </c>
      <c r="CY208" s="149">
        <f ca="1">IF(Save_Sel=CLR_Save,  Table7[[#This Row],[Total MOSFET Loss P1]], Table7[[#This Row],[Total MOSFET Loss P1 Saved]] )</f>
        <v>2.8375526143075809</v>
      </c>
      <c r="CZ208" s="149">
        <f ca="1">IF(Save_Sel=CLR_Save, Table7[[#This Row],[Efficiency P1]], Table7[[#This Row],[Efficiency P1 Saved]])</f>
        <v>98.992299992515498</v>
      </c>
      <c r="DA208" s="153"/>
      <c r="DB208" s="149">
        <f ca="1">IF(Save_Sel=CLR_Save,  Table7[[#This Row],[Total Sense Loss P2]], Table7[[#This Row],[Total Sense Loss P2 Saved]])</f>
        <v>-100</v>
      </c>
      <c r="DC208" s="149">
        <f ca="1">IF(Save_Sel=CLR_Save,  Table7[[#This Row],[Total MOSFET Loss P2]], Table7[[#This Row],[Total MOSFET Loss P2 Saved]] )</f>
        <v>-100</v>
      </c>
      <c r="DD208" s="149">
        <f ca="1">IF(Save_Sel=CLR_Save, Table7[[#This Row],[Efficiency P2]], Table7[[#This Row],[Efficiency P2 Saved]])</f>
        <v>-100</v>
      </c>
      <c r="DE208" s="153"/>
      <c r="DF208" s="19"/>
      <c r="DG208" s="19"/>
      <c r="DH208" s="19"/>
      <c r="DI208" s="19"/>
      <c r="DJ208" s="19"/>
      <c r="DK208" s="19"/>
      <c r="DL208" s="19"/>
      <c r="DM208" s="19"/>
      <c r="DN208" s="19"/>
      <c r="DO208" s="19"/>
      <c r="DP208" s="19"/>
      <c r="DQ208" s="19"/>
      <c r="DR208" s="19"/>
      <c r="DS208" s="19"/>
      <c r="DT208" s="19"/>
      <c r="DU208" s="19"/>
      <c r="DV208" s="19"/>
      <c r="DW208" s="19"/>
      <c r="DX208" s="19"/>
      <c r="DY208" s="19"/>
      <c r="DZ208" s="19"/>
      <c r="EA208" s="19"/>
      <c r="EB208" s="19"/>
      <c r="EC208" s="19"/>
      <c r="ED208" s="19"/>
      <c r="EE208" s="19"/>
      <c r="EF208" s="19"/>
      <c r="EG208" s="19"/>
      <c r="EH208" s="19"/>
      <c r="EI208" s="19"/>
      <c r="EJ208" s="19"/>
      <c r="EK208" s="19"/>
      <c r="EL208" s="19"/>
      <c r="EM208" s="19"/>
      <c r="EN208" s="19"/>
      <c r="EO208" s="19"/>
      <c r="EP208" s="19"/>
      <c r="EQ208" s="19"/>
      <c r="ER208" s="19"/>
      <c r="ES208" s="19"/>
      <c r="ET208" s="19"/>
      <c r="EU208" s="19"/>
      <c r="EV208" s="19"/>
      <c r="EW208" s="19"/>
      <c r="EX208" s="19"/>
      <c r="EY208" s="19"/>
      <c r="EZ208" s="19"/>
      <c r="FA208" s="19"/>
      <c r="FB208" s="19"/>
      <c r="FC208" s="19"/>
      <c r="FD208" s="19"/>
      <c r="FE208" s="19"/>
      <c r="FF208" s="19"/>
      <c r="FG208" s="19"/>
      <c r="FH208" s="19"/>
      <c r="FI208" s="19"/>
    </row>
    <row r="209" spans="1:165" x14ac:dyDescent="0.25">
      <c r="A209" s="32"/>
      <c r="B209" s="49"/>
      <c r="C209" s="49"/>
      <c r="D209" s="32"/>
      <c r="E209" s="66"/>
      <c r="F209" s="66"/>
      <c r="G209" s="49"/>
      <c r="H209" s="29"/>
      <c r="I209" s="29"/>
      <c r="J209" s="29"/>
      <c r="K209" s="29"/>
      <c r="L209" s="29"/>
      <c r="M209" s="29"/>
      <c r="N209" s="29"/>
      <c r="O209" s="29"/>
      <c r="P209" s="29"/>
      <c r="Q209" s="29"/>
      <c r="R209" s="29"/>
      <c r="S209" s="30"/>
      <c r="T209" s="18"/>
      <c r="U209" s="19"/>
      <c r="V209" s="19"/>
      <c r="W209" s="19"/>
      <c r="X209" s="19"/>
      <c r="Y209" s="19"/>
      <c r="Z209" s="19"/>
      <c r="AA209" s="19"/>
      <c r="AB209" s="19"/>
      <c r="AC209" s="19"/>
      <c r="AD209" s="19"/>
      <c r="AE209" s="19"/>
      <c r="AF209" s="143">
        <f t="shared" si="17"/>
        <v>53</v>
      </c>
      <c r="AG209" s="143">
        <f t="shared" si="39"/>
        <v>19.079999999999998</v>
      </c>
      <c r="AH209" s="144">
        <f t="shared" si="28"/>
        <v>702.14399999999989</v>
      </c>
      <c r="AI209" s="145">
        <f t="shared" si="29"/>
        <v>0.97826086956521752</v>
      </c>
      <c r="AJ209" s="145">
        <f t="shared" si="30"/>
        <v>18.665217391304349</v>
      </c>
      <c r="AK209" s="145">
        <f t="shared" si="26"/>
        <v>0.39130434782608459</v>
      </c>
      <c r="AL209" s="145">
        <f t="shared" si="27"/>
        <v>18.665559198401638</v>
      </c>
      <c r="AM209" s="146"/>
      <c r="AN209" s="145">
        <f>MAX(0,Table7[[#This Row],[I_L]]-0.5*Table7[[#This Row],[I_L pkpk]])</f>
        <v>18.469565217391306</v>
      </c>
      <c r="AO209" s="145">
        <f>Table7[[#This Row],[I_L]]+0.5*Table7[[#This Row],[I_L pkpk]]</f>
        <v>18.860869565217392</v>
      </c>
      <c r="AP209" s="145">
        <f ca="1">IF(VACnom&gt;Vbat, (VGS_S-(TI_MOSFET_S_VTH_H_BU+Table7[[#This Row],[I_L]]/TI_MOSFET_S_gFS_H_BU))/3.4, (VGS_S-(TI_MOSFET_S_VTH_L_BO+Table7[[#This Row],[I_L]]/TI_MOSFET_S_gFS_L_BO))/3.4 )</f>
        <v>2.972476883730081</v>
      </c>
      <c r="AQ209" s="145">
        <f ca="1">IF(VACnom&gt;Vbat, ((TI_MOSFET_S_VTH_H_BU+Table7[[#This Row],[I_L]]/TI_MOSFET_S_gFS_H_BU))/1, ((TI_MOSFET_S_VTH_L_BO+Table7[[#This Row],[I_L]]/TI_MOSFET_S_gFS_L_BO))/1 )</f>
        <v>1.8935785953177258</v>
      </c>
      <c r="AR209" s="145">
        <f ca="1">IF(VACnom&gt;Vbat, (TI_MOSFET_S_QGD_H_BU+TI_MOSFET_S_QGS_H_BU)*10^-9/Table7[[#This Row],[Ion (A)]], (TI_MOSFET_S_QGD_L_BO+TI_MOSFET_S_QGS_L_BO)*10^-9/Table7[[#This Row],[Ion (A)]])/10^-9</f>
        <v>9.6888894772024798</v>
      </c>
      <c r="AS209" s="145">
        <f ca="1">IF(VACnom&gt;Vbat, (TI_MOSFET_S_QGD_H_BU+TI_MOSFET_S_QGS_H_BU)*10^-9/Table7[[#This Row],[Ioff (A)]], (TI_MOSFET_S_QGD_L_BO+TI_MOSFET_S_QGS_L_BO)*10^-9/Table7[[#This Row],[Ioff (A)]])/10^-9</f>
        <v>15.209297396587656</v>
      </c>
      <c r="AT209" s="145">
        <f ca="1" xml:space="preserve"> 0.5*VACnom*Table7[[#This Row],[Ivalley (A)]]*Table7[[#This Row],[ton (ns)]]*10^-9*Fsw*10^3+0.5*VACnom*Table7[[#This Row],[Ipeak (A)]]*Table7[[#This Row],[toff (ns)]]*10^-9*Fsw*10^3/10^-3</f>
        <v>1056.3054481423426</v>
      </c>
      <c r="AU209" s="145">
        <f t="shared" ca="1" si="31"/>
        <v>268.64000000000004</v>
      </c>
      <c r="AV209" s="145" t="e">
        <f t="shared" si="32"/>
        <v>#VALUE!</v>
      </c>
      <c r="AW209" s="145">
        <f t="shared" ca="1" si="33"/>
        <v>566.72000000000025</v>
      </c>
      <c r="AX209" s="145">
        <f ca="1">IF(VACnom&gt;Vbat, TI_MOSFET_S_VSD_L_BU*Table7[[#This Row],[Ivalley (A)]]*Fsw*10^3*40*10^-9+TI_MOSFET_S_VSD_L_BU*Table7[[#This Row],[Ipeak (A)]]*Fsw*10^3*30*10^-9, TI_MOSFET_S_VSD_H_BO*Table7[[#This Row],[Ivalley (A)]]*Fsw*10^3*40*10^-9+TI_MOSFET_S_VSD_H_BO*Table7[[#This Row],[Ipeak (A)]]*Fsw*10^3*30*10^-9)/10^-3</f>
        <v>187.8636521739131</v>
      </c>
      <c r="AY209" s="145" t="e">
        <f t="shared" si="34"/>
        <v>#VALUE!</v>
      </c>
      <c r="AZ209" s="145" t="e">
        <f>IF(VACnom&lt;Vbat, Table7[[#This Row],[Duty Cycle]]*Table7[[#This Row],[I_L RMS]]^2*TI_MOSFET_S_RDSON_H_BU*10^-3, (1-Table7[[#This Row],[Duty Cycle]])*Table7[[#This Row],[I_L RMS]]^2*TI_MOSFET_S_RDSON_H_BO*10^-3)/10^-3</f>
        <v>#VALUE!</v>
      </c>
      <c r="BA209" s="145" t="e">
        <f ca="1">IF(VACnom&gt;Vbat, Table7[[#This Row],[PIV (mW)]]+Table7[[#This Row],[Pqoss (mW)]]+Table7[[#This Row],[Pgate_top (mW)]], Table7[[#This Row],[PRR (mW)]]+Table7[[#This Row],[Pdead (mW)]]+Table7[[#This Row],[Pgate_top (mW)]])</f>
        <v>#VALUE!</v>
      </c>
      <c r="BB209" s="145" t="e">
        <f ca="1">Table7[[#This Row],[Pcon_top (mW)]]+Table7[[#This Row],[Psw_top (mW)]]</f>
        <v>#VALUE!</v>
      </c>
      <c r="BC209" s="145" t="e">
        <f>IF(VACnom&gt;Vbat, (1-Table7[[#This Row],[Duty Cycle]])*Table7[[#This Row],[I_L RMS]]^2*TI_MOSFET_S_RDSON_L_BU*10^-3, Table7[[#This Row],[Duty Cycle]]*Table7[[#This Row],[I_L RMS]]^2*TI_MOSFET_S_RDSON_L_BO*10^-3)/10^-3</f>
        <v>#VALUE!</v>
      </c>
      <c r="BD209" s="145" t="e">
        <f ca="1">IF(VACnom&gt;Vbat, Table7[[#This Row],[PRR (mW)]]+Table7[[#This Row],[Pdead (mW)]]+Table7[[#This Row],[Pgate_bottom (mW)]], Table7[[#This Row],[PIV (mW)]]+Table7[[#This Row],[Pqoss (mW)]]+Table7[[#This Row],[Pgate_bottom (mW)]])</f>
        <v>#VALUE!</v>
      </c>
      <c r="BE209" s="147" t="e">
        <f ca="1">Table7[[#This Row],[Pcon_bottom (mW)]]+Table7[[#This Row],[Psw_bottom (mW)]]</f>
        <v>#VALUE!</v>
      </c>
      <c r="BF209" s="145" t="e">
        <f ca="1">Table7[[#This Row],[Pbottom (mW)]]+Table7[[#This Row],[Ptop (mW)]]</f>
        <v>#VALUE!</v>
      </c>
      <c r="BG209" s="142"/>
      <c r="BH209" s="145">
        <f>MAX(0,Table7[[#This Row],[I_L]]-0.5*Table7[[#This Row],[I_L pkpk]])</f>
        <v>18.469565217391306</v>
      </c>
      <c r="BI209" s="145">
        <f>Table7[[#This Row],[I_L]]+0.5*Table7[[#This Row],[I_L pkpk]]</f>
        <v>18.860869565217392</v>
      </c>
      <c r="BJ209" s="145">
        <f>IF(VACnom&gt;Vbat, (VGS_S-(C_MOSFET_S_VTH_H_BU+Table7[[#This Row],[I_L]]/C_MOSFET_S_gFS_H_BU))/3.4, (VGS_S-(C_MOSFET_S_VTH_L_BO+Table7[[#This Row],[I_L]]/C_MOSFET_S_gFS_L_BO))/3.4 )</f>
        <v>2.923262633389188</v>
      </c>
      <c r="BK209" s="145">
        <f>IF(VACnom&gt;Vbat, ((C_MOSFET_S_VTH_H_BU+Table7[[#This Row],[I_L]]/C_MOSFET_S_gFS_H_BU))/1, ((C_MOSFET_S_VTH_L_BO+Table7[[#This Row],[I_L]]/C_MOSFET_S_gFS_L_BO))/1 )</f>
        <v>2.0609070464767614</v>
      </c>
      <c r="BL209" s="145">
        <f>IF(VACnom&gt;Vbat, (C_MOSFET_S_QGD_H_BU+C_MOSFET_S_QGS_H_BU)*10^-9/Table7[[#This Row],[Ion (A) C]], (C_MOSFET_S_QGD_L_BO+C_MOSFET_S_QGS_L_BO)*10^-9/Table7[[#This Row],[Ion (A) C]])/10^-9</f>
        <v>5.3022947110398784</v>
      </c>
      <c r="BM209" s="145">
        <f>IF(VACnom&gt;Vbat, (C_MOSFET_S_QGD_H_BU+C_MOSFET_S_QGS_H_BU)*10^-9/Table7[[#This Row],[Ioff (A) C]], (C_MOSFET_S_QGD_L_BO+C_MOSFET_S_QGS_L_BO)*10^-9/Table7[[#This Row],[Ioff (A) C]])/10^-9</f>
        <v>7.5209602618896074</v>
      </c>
      <c r="BN209" s="145">
        <f xml:space="preserve"> 0.5*VACnom*Table7[[#This Row],[Ivalley (A) C]]*Table7[[#This Row],[ton (ns) C]]*10^-9*Fsw*10^3+0.5*VACnom*Table7[[#This Row],[Ipeak (A) C]]*Table7[[#This Row],[toff (ns) C]]*10^-9*Fsw*10^3/10^-3</f>
        <v>522.37519622415402</v>
      </c>
      <c r="BO209" s="145">
        <f t="shared" si="35"/>
        <v>305.44000000000011</v>
      </c>
      <c r="BP209" s="145">
        <f t="shared" si="36"/>
        <v>357.69600000000014</v>
      </c>
      <c r="BQ209" s="145">
        <f t="shared" si="37"/>
        <v>1067.2000000000003</v>
      </c>
      <c r="BR209" s="145">
        <f>IF(VACnom&gt;Vbat, C_MOSFET_S_VSD_L_BU*Table7[[#This Row],[Ivalley (A) C]]*Fsw*10^3*40*10^-9+C_MOSFET_S_VSD_L_BU*Table7[[#This Row],[Ipeak (A) C]]*Fsw*10^3*30*10^-9, C_MOSFET_S_VSD_H_BO*Table7[[#This Row],[Ivalley (A) C]]*Fsw*10^3*40*10^-9+C_MOSFET_S_VSD_H_BO*Table7[[#This Row],[Ipeak (A) C]]*Fsw*10^3*30*10^-9)/10^-3</f>
        <v>208.73739130434794</v>
      </c>
      <c r="BS209" s="145">
        <f t="shared" si="38"/>
        <v>357.69600000000014</v>
      </c>
      <c r="BT209" s="145">
        <f>IF(VACnom&lt;Vbat, Table7[[#This Row],[Duty Cycle]]*Table7[[#This Row],[I_L RMS]]^2*C_MOSFET_S_RDSON_H_BU*10^-3, (1-Table7[[#This Row],[Duty Cycle]])*Table7[[#This Row],[I_L RMS]]^2*C_MOSFET_S_RDSON_H_BO*10^-3)/10^-3</f>
        <v>19.692349141119315</v>
      </c>
      <c r="BU209" s="145">
        <f>IF(VACnom&gt;Vbat, Table7[[#This Row],[PIV (mW) C]]+Table7[[#This Row],[PQoss (mW) C]]+Table7[[#This Row],[Pgate_top (mW) C]], Table7[[#This Row],[PRR (mW) C]]+Table7[[#This Row],[Pdead (mW) C]]+Table7[[#This Row],[Pgate_top (mW) C]])</f>
        <v>1185.5111962241542</v>
      </c>
      <c r="BV209" s="145">
        <f>Table7[[#This Row],[Pcon_top (mW) C]]+Table7[[#This Row],[Psw_top (mW) C]]</f>
        <v>1205.2035453652736</v>
      </c>
      <c r="BW209" s="145">
        <f>IF(VACnom&gt;Vbat, (1-Table7[[#This Row],[Duty Cycle]])*Table7[[#This Row],[I_L RMS]]^2*C_MOSFET_S_RDSON_L_BU*10^-3, Table7[[#This Row],[Duty Cycle]]*Table7[[#This Row],[I_L RMS]]^2*C_MOSFET_S_RDSON_L_BO*10^-3)/10^-3</f>
        <v>12.875766746116474</v>
      </c>
      <c r="BX209" s="145">
        <f>IF(VACnom&gt;Vbat, Table7[[#This Row],[PRR (mW) C]]+Table7[[#This Row],[Pdead (mW) C]]+Table7[[#This Row],[Pgate_bottom (mW) C]], Table7[[#This Row],[PIV (mW) C]]+Table7[[#This Row],[PQoss (mW) C]]+Table7[[#This Row],[Pgate_bottom (mW) C]])</f>
        <v>1633.6333913043484</v>
      </c>
      <c r="BY209" s="145">
        <f>Table7[[#This Row],[Pcon_bottom (mW) C]]+Table7[[#This Row],[Psw_bottom (mV) C]]</f>
        <v>1646.5091580504647</v>
      </c>
      <c r="BZ209" s="145">
        <f>Table7[[#This Row],[Pbottom (mW) C]]+Table7[[#This Row],[Ptop (mW) C]]</f>
        <v>2851.7127034157384</v>
      </c>
      <c r="CA209" s="148"/>
      <c r="CB209" s="144">
        <f>(RAC_SNS*10^-3*(Table7[[#This Row],[IOUT (A)]]*Vbat/VACnom)^2/10^-3)</f>
        <v>696.78068052930041</v>
      </c>
      <c r="CC209" s="144">
        <f>(RBAT_SNS*10^-3*Table7[[#This Row],[IOUT (A)]]^2)/10^-3</f>
        <v>1820.2319999999997</v>
      </c>
      <c r="CD209" s="144">
        <f>IF(VACnom&gt;Vbat,(L_DRC*10^-3*(Table7[[#This Row],[IOUT (A)]])^2/10^-3),(L_DRC*10^-3*(Table7[[#This Row],[IOUT (A)]]*Vbat/VACnom)^2/10^-3))</f>
        <v>1820.2319999999997</v>
      </c>
      <c r="CE209" s="152"/>
      <c r="CF209" s="145">
        <f>(Table7[[#This Row],[R_AC (mW)]]+Table7[[#This Row],[R_SR (mW)]]+Table7[[#This Row],[Inductor Loss (mW)]])/10^3</f>
        <v>4.3372446805293006</v>
      </c>
      <c r="CG209" s="145" t="e">
        <f ca="1">Table7[[#This Row],[Total TI (mW)]]/10^3</f>
        <v>#VALUE!</v>
      </c>
      <c r="CH209" s="145" t="e">
        <f ca="1">Table7[[#This Row],[Total Sense Loss]]+Table7[[#This Row],[Total MOSFET Loss]]</f>
        <v>#VALUE!</v>
      </c>
      <c r="CI209" s="149" t="e">
        <f ca="1">IF(Table7[[#This Row],[POUT (W)]]=0,0,(Table7[[#This Row],[POUT (W)]])/(Table7[[#This Row],[POUT (W)]]+Table7[[#This Row],[Total Power Loss (W)]]))*100</f>
        <v>#VALUE!</v>
      </c>
      <c r="CJ209" s="153"/>
      <c r="CK209" s="145">
        <f>(Table7[[#This Row],[R_AC (mW)]]+Table7[[#This Row],[R_SR (mW)]]+Table7[[#This Row],[Inductor Loss (mW)]])/10^3</f>
        <v>4.3372446805293006</v>
      </c>
      <c r="CL209" s="145">
        <f>Table7[[#This Row],[Total (mW) C]]/10^3</f>
        <v>2.8517127034157386</v>
      </c>
      <c r="CM209" s="145">
        <f>Table7[[#This Row],[Total Sense Loss C]]+Table7[[#This Row],[Total MOSFET Loss C]]</f>
        <v>7.1889573839450396</v>
      </c>
      <c r="CN209" s="149">
        <f>IF(Table7[[#This Row],[POUT (W)]]=0,0,(Table7[[#This Row],[POUT (W)]])/(Table7[[#This Row],[POUT (W)]]+Table7[[#This Row],[Total Power Loss (W) C]]))*100</f>
        <v>98.986518628648199</v>
      </c>
      <c r="CO209" s="153"/>
      <c r="CP209" s="149">
        <f>IF(MOSFET_S=Custom_MOSFET,Table7[[#This Row],[Total Sense Loss C]],Table7[[#This Row],[Total Sense Loss]])</f>
        <v>4.3372446805293006</v>
      </c>
      <c r="CQ209" s="149">
        <f>IF(MOSFET_S=Custom_MOSFET,Table7[[#This Row],[Total MOSFET Loss C]],Table7[[#This Row],[Total MOSFET Loss]])</f>
        <v>2.8517127034157386</v>
      </c>
      <c r="CR209" s="149">
        <f>IF(MOSFET_S=Custom_MOSFET,Table7[[#This Row],[Efficiency C]],Table7[[#This Row],[Efficiency]])</f>
        <v>98.986518628648199</v>
      </c>
      <c r="CS209" s="153"/>
      <c r="CT209" s="149">
        <f>IF(MOSFET_S=Compare_MOSFET, Table7[[#This Row],[Total Sense Loss C]], -100)</f>
        <v>-100</v>
      </c>
      <c r="CU209" s="149">
        <f>IF(MOSFET_S=Compare_MOSFET, Table7[[#This Row],[Total MOSFET Loss C]], -100)</f>
        <v>-100</v>
      </c>
      <c r="CV209" s="149">
        <f>IF(MOSFET_S=Compare_MOSFET, Table7[[#This Row],[Efficiency C]], -100)</f>
        <v>-100</v>
      </c>
      <c r="CW209" s="153"/>
      <c r="CX209" s="149">
        <f ca="1">IF(Save_Sel=CLR_Save,  Table7[[#This Row],[Total Sense Loss P1]], Table7[[#This Row],[Total Sense Loss P1 Saved]])</f>
        <v>4.3372446805293006</v>
      </c>
      <c r="CY209" s="149">
        <f ca="1">IF(Save_Sel=CLR_Save,  Table7[[#This Row],[Total MOSFET Loss P1]], Table7[[#This Row],[Total MOSFET Loss P1 Saved]] )</f>
        <v>2.8517127034157386</v>
      </c>
      <c r="CZ209" s="149">
        <f ca="1">IF(Save_Sel=CLR_Save, Table7[[#This Row],[Efficiency P1]], Table7[[#This Row],[Efficiency P1 Saved]])</f>
        <v>98.986518628648199</v>
      </c>
      <c r="DA209" s="153"/>
      <c r="DB209" s="149">
        <f ca="1">IF(Save_Sel=CLR_Save,  Table7[[#This Row],[Total Sense Loss P2]], Table7[[#This Row],[Total Sense Loss P2 Saved]])</f>
        <v>-100</v>
      </c>
      <c r="DC209" s="149">
        <f ca="1">IF(Save_Sel=CLR_Save,  Table7[[#This Row],[Total MOSFET Loss P2]], Table7[[#This Row],[Total MOSFET Loss P2 Saved]] )</f>
        <v>-100</v>
      </c>
      <c r="DD209" s="149">
        <f ca="1">IF(Save_Sel=CLR_Save, Table7[[#This Row],[Efficiency P2]], Table7[[#This Row],[Efficiency P2 Saved]])</f>
        <v>-100</v>
      </c>
      <c r="DE209" s="153"/>
      <c r="DF209" s="19"/>
      <c r="DG209" s="19"/>
      <c r="DH209" s="19"/>
      <c r="DI209" s="19"/>
      <c r="DJ209" s="19"/>
      <c r="DK209" s="19"/>
      <c r="DL209" s="19"/>
      <c r="DM209" s="19"/>
      <c r="DN209" s="19"/>
      <c r="DO209" s="19"/>
      <c r="DP209" s="19"/>
      <c r="DQ209" s="19"/>
      <c r="DR209" s="19"/>
      <c r="DS209" s="19"/>
      <c r="DT209" s="19"/>
      <c r="DU209" s="19"/>
      <c r="DV209" s="19"/>
      <c r="DW209" s="19"/>
      <c r="DX209" s="19"/>
      <c r="DY209" s="19"/>
      <c r="DZ209" s="19"/>
      <c r="EA209" s="19"/>
      <c r="EB209" s="19"/>
      <c r="EC209" s="19"/>
      <c r="ED209" s="19"/>
      <c r="EE209" s="19"/>
      <c r="EF209" s="19"/>
      <c r="EG209" s="19"/>
      <c r="EH209" s="19"/>
      <c r="EI209" s="19"/>
      <c r="EJ209" s="19"/>
      <c r="EK209" s="19"/>
      <c r="EL209" s="19"/>
      <c r="EM209" s="19"/>
      <c r="EN209" s="19"/>
      <c r="EO209" s="19"/>
      <c r="EP209" s="19"/>
      <c r="EQ209" s="19"/>
      <c r="ER209" s="19"/>
      <c r="ES209" s="19"/>
      <c r="ET209" s="19"/>
      <c r="EU209" s="19"/>
      <c r="EV209" s="19"/>
      <c r="EW209" s="19"/>
      <c r="EX209" s="19"/>
      <c r="EY209" s="19"/>
      <c r="EZ209" s="19"/>
      <c r="FA209" s="19"/>
      <c r="FB209" s="19"/>
      <c r="FC209" s="19"/>
      <c r="FD209" s="19"/>
      <c r="FE209" s="19"/>
      <c r="FF209" s="19"/>
      <c r="FG209" s="19"/>
      <c r="FH209" s="19"/>
      <c r="FI209" s="19"/>
    </row>
    <row r="210" spans="1:165" x14ac:dyDescent="0.25">
      <c r="A210" s="32"/>
      <c r="B210" s="49"/>
      <c r="C210" s="49"/>
      <c r="D210" s="32"/>
      <c r="E210" s="66"/>
      <c r="F210" s="66"/>
      <c r="G210" s="49"/>
      <c r="H210" s="29"/>
      <c r="I210" s="29"/>
      <c r="J210" s="29"/>
      <c r="K210" s="29"/>
      <c r="L210" s="29"/>
      <c r="M210" s="29"/>
      <c r="N210" s="29"/>
      <c r="O210" s="29"/>
      <c r="P210" s="29"/>
      <c r="Q210" s="29"/>
      <c r="R210" s="29"/>
      <c r="S210" s="30"/>
      <c r="T210" s="18"/>
      <c r="U210" s="19"/>
      <c r="V210" s="19"/>
      <c r="W210" s="19"/>
      <c r="X210" s="19"/>
      <c r="Y210" s="19"/>
      <c r="Z210" s="19"/>
      <c r="AA210" s="19"/>
      <c r="AB210" s="19"/>
      <c r="AC210" s="19"/>
      <c r="AD210" s="19"/>
      <c r="AE210" s="19"/>
      <c r="AF210" s="143">
        <f t="shared" si="17"/>
        <v>54</v>
      </c>
      <c r="AG210" s="143">
        <f t="shared" si="39"/>
        <v>19.440000000000001</v>
      </c>
      <c r="AH210" s="144">
        <f t="shared" si="28"/>
        <v>715.39199999999994</v>
      </c>
      <c r="AI210" s="145">
        <f t="shared" si="29"/>
        <v>0.97826086956521752</v>
      </c>
      <c r="AJ210" s="145">
        <f t="shared" si="30"/>
        <v>19.017391304347829</v>
      </c>
      <c r="AK210" s="145">
        <f t="shared" si="26"/>
        <v>0.39130434782608459</v>
      </c>
      <c r="AL210" s="145">
        <f t="shared" si="27"/>
        <v>19.017726781796767</v>
      </c>
      <c r="AM210" s="146"/>
      <c r="AN210" s="145">
        <f>MAX(0,Table7[[#This Row],[I_L]]-0.5*Table7[[#This Row],[I_L pkpk]])</f>
        <v>18.821739130434786</v>
      </c>
      <c r="AO210" s="145">
        <f>Table7[[#This Row],[I_L]]+0.5*Table7[[#This Row],[I_L pkpk]]</f>
        <v>19.213043478260872</v>
      </c>
      <c r="AP210" s="145">
        <f ca="1">IF(VACnom&gt;Vbat, (VGS_S-(TI_MOSFET_S_VTH_H_BU+Table7[[#This Row],[I_L]]/TI_MOSFET_S_gFS_H_BU))/3.4, (VGS_S-(TI_MOSFET_S_VTH_L_BO+Table7[[#This Row],[I_L]]/TI_MOSFET_S_gFS_L_BO))/3.4 )</f>
        <v>2.971680110171159</v>
      </c>
      <c r="AQ210" s="145">
        <f ca="1">IF(VACnom&gt;Vbat, ((TI_MOSFET_S_VTH_H_BU+Table7[[#This Row],[I_L]]/TI_MOSFET_S_gFS_H_BU))/1, ((TI_MOSFET_S_VTH_L_BO+Table7[[#This Row],[I_L]]/TI_MOSFET_S_gFS_L_BO))/1 )</f>
        <v>1.8962876254180603</v>
      </c>
      <c r="AR210" s="145">
        <f ca="1">IF(VACnom&gt;Vbat, (TI_MOSFET_S_QGD_H_BU+TI_MOSFET_S_QGS_H_BU)*10^-9/Table7[[#This Row],[Ion (A)]], (TI_MOSFET_S_QGD_L_BO+TI_MOSFET_S_QGS_L_BO)*10^-9/Table7[[#This Row],[Ion (A)]])/10^-9</f>
        <v>9.6914872840540092</v>
      </c>
      <c r="AS210" s="145">
        <f ca="1">IF(VACnom&gt;Vbat, (TI_MOSFET_S_QGD_H_BU+TI_MOSFET_S_QGS_H_BU)*10^-9/Table7[[#This Row],[Ioff (A)]], (TI_MOSFET_S_QGD_L_BO+TI_MOSFET_S_QGS_L_BO)*10^-9/Table7[[#This Row],[Ioff (A)]])/10^-9</f>
        <v>15.187569445669235</v>
      </c>
      <c r="AT210" s="145">
        <f ca="1" xml:space="preserve"> 0.5*VACnom*Table7[[#This Row],[Ivalley (A)]]*Table7[[#This Row],[ton (ns)]]*10^-9*Fsw*10^3+0.5*VACnom*Table7[[#This Row],[Ipeak (A)]]*Table7[[#This Row],[toff (ns)]]*10^-9*Fsw*10^3/10^-3</f>
        <v>1074.4931812618406</v>
      </c>
      <c r="AU210" s="145">
        <f t="shared" ca="1" si="31"/>
        <v>268.64000000000004</v>
      </c>
      <c r="AV210" s="145" t="e">
        <f t="shared" si="32"/>
        <v>#VALUE!</v>
      </c>
      <c r="AW210" s="145">
        <f t="shared" ca="1" si="33"/>
        <v>566.72000000000025</v>
      </c>
      <c r="AX210" s="145">
        <f ca="1">IF(VACnom&gt;Vbat, TI_MOSFET_S_VSD_L_BU*Table7[[#This Row],[Ivalley (A)]]*Fsw*10^3*40*10^-9+TI_MOSFET_S_VSD_L_BU*Table7[[#This Row],[Ipeak (A)]]*Fsw*10^3*30*10^-9, TI_MOSFET_S_VSD_H_BO*Table7[[#This Row],[Ivalley (A)]]*Fsw*10^3*40*10^-9+TI_MOSFET_S_VSD_H_BO*Table7[[#This Row],[Ipeak (A)]]*Fsw*10^3*30*10^-9)/10^-3</f>
        <v>191.41356521739138</v>
      </c>
      <c r="AY210" s="145" t="e">
        <f t="shared" si="34"/>
        <v>#VALUE!</v>
      </c>
      <c r="AZ210" s="145" t="e">
        <f>IF(VACnom&lt;Vbat, Table7[[#This Row],[Duty Cycle]]*Table7[[#This Row],[I_L RMS]]^2*TI_MOSFET_S_RDSON_H_BU*10^-3, (1-Table7[[#This Row],[Duty Cycle]])*Table7[[#This Row],[I_L RMS]]^2*TI_MOSFET_S_RDSON_H_BO*10^-3)/10^-3</f>
        <v>#VALUE!</v>
      </c>
      <c r="BA210" s="145" t="e">
        <f ca="1">IF(VACnom&gt;Vbat, Table7[[#This Row],[PIV (mW)]]+Table7[[#This Row],[Pqoss (mW)]]+Table7[[#This Row],[Pgate_top (mW)]], Table7[[#This Row],[PRR (mW)]]+Table7[[#This Row],[Pdead (mW)]]+Table7[[#This Row],[Pgate_top (mW)]])</f>
        <v>#VALUE!</v>
      </c>
      <c r="BB210" s="145" t="e">
        <f ca="1">Table7[[#This Row],[Pcon_top (mW)]]+Table7[[#This Row],[Psw_top (mW)]]</f>
        <v>#VALUE!</v>
      </c>
      <c r="BC210" s="145" t="e">
        <f>IF(VACnom&gt;Vbat, (1-Table7[[#This Row],[Duty Cycle]])*Table7[[#This Row],[I_L RMS]]^2*TI_MOSFET_S_RDSON_L_BU*10^-3, Table7[[#This Row],[Duty Cycle]]*Table7[[#This Row],[I_L RMS]]^2*TI_MOSFET_S_RDSON_L_BO*10^-3)/10^-3</f>
        <v>#VALUE!</v>
      </c>
      <c r="BD210" s="145" t="e">
        <f ca="1">IF(VACnom&gt;Vbat, Table7[[#This Row],[PRR (mW)]]+Table7[[#This Row],[Pdead (mW)]]+Table7[[#This Row],[Pgate_bottom (mW)]], Table7[[#This Row],[PIV (mW)]]+Table7[[#This Row],[Pqoss (mW)]]+Table7[[#This Row],[Pgate_bottom (mW)]])</f>
        <v>#VALUE!</v>
      </c>
      <c r="BE210" s="147" t="e">
        <f ca="1">Table7[[#This Row],[Pcon_bottom (mW)]]+Table7[[#This Row],[Psw_bottom (mW)]]</f>
        <v>#VALUE!</v>
      </c>
      <c r="BF210" s="145" t="e">
        <f ca="1">Table7[[#This Row],[Pbottom (mW)]]+Table7[[#This Row],[Ptop (mW)]]</f>
        <v>#VALUE!</v>
      </c>
      <c r="BG210" s="142"/>
      <c r="BH210" s="145">
        <f>MAX(0,Table7[[#This Row],[I_L]]-0.5*Table7[[#This Row],[I_L pkpk]])</f>
        <v>18.821739130434786</v>
      </c>
      <c r="BI210" s="145">
        <f>Table7[[#This Row],[I_L]]+0.5*Table7[[#This Row],[I_L pkpk]]</f>
        <v>19.213043478260872</v>
      </c>
      <c r="BJ210" s="145">
        <f>IF(VACnom&gt;Vbat, (VGS_S-(C_MOSFET_S_VTH_H_BU+Table7[[#This Row],[I_L]]/C_MOSFET_S_gFS_H_BU))/3.4, (VGS_S-(C_MOSFET_S_VTH_L_BO+Table7[[#This Row],[I_L]]/C_MOSFET_S_gFS_L_BO))/3.4 )</f>
        <v>2.9223696975041893</v>
      </c>
      <c r="BK210" s="145">
        <f>IF(VACnom&gt;Vbat, ((C_MOSFET_S_VTH_H_BU+Table7[[#This Row],[I_L]]/C_MOSFET_S_gFS_H_BU))/1, ((C_MOSFET_S_VTH_L_BO+Table7[[#This Row],[I_L]]/C_MOSFET_S_gFS_L_BO))/1 )</f>
        <v>2.0639430284857569</v>
      </c>
      <c r="BL210" s="145">
        <f>IF(VACnom&gt;Vbat, (C_MOSFET_S_QGD_H_BU+C_MOSFET_S_QGS_H_BU)*10^-9/Table7[[#This Row],[Ion (A) C]], (C_MOSFET_S_QGD_L_BO+C_MOSFET_S_QGS_L_BO)*10^-9/Table7[[#This Row],[Ion (A) C]])/10^-9</f>
        <v>5.3039148377556637</v>
      </c>
      <c r="BM210" s="145">
        <f>IF(VACnom&gt;Vbat, (C_MOSFET_S_QGD_H_BU+C_MOSFET_S_QGS_H_BU)*10^-9/Table7[[#This Row],[Ioff (A) C]], (C_MOSFET_S_QGD_L_BO+C_MOSFET_S_QGS_L_BO)*10^-9/Table7[[#This Row],[Ioff (A) C]])/10^-9</f>
        <v>7.5098972142519882</v>
      </c>
      <c r="BN210" s="145">
        <f xml:space="preserve"> 0.5*VACnom*Table7[[#This Row],[Ivalley (A) C]]*Table7[[#This Row],[ton (ns) C]]*10^-9*Fsw*10^3+0.5*VACnom*Table7[[#This Row],[Ipeak (A) C]]*Table7[[#This Row],[toff (ns) C]]*10^-9*Fsw*10^3/10^-3</f>
        <v>531.34714299379505</v>
      </c>
      <c r="BO210" s="145">
        <f t="shared" si="35"/>
        <v>305.44000000000011</v>
      </c>
      <c r="BP210" s="145">
        <f t="shared" si="36"/>
        <v>357.69600000000014</v>
      </c>
      <c r="BQ210" s="145">
        <f t="shared" si="37"/>
        <v>1067.2000000000003</v>
      </c>
      <c r="BR210" s="145">
        <f>IF(VACnom&gt;Vbat, C_MOSFET_S_VSD_L_BU*Table7[[#This Row],[Ivalley (A) C]]*Fsw*10^3*40*10^-9+C_MOSFET_S_VSD_L_BU*Table7[[#This Row],[Ipeak (A) C]]*Fsw*10^3*30*10^-9, C_MOSFET_S_VSD_H_BO*Table7[[#This Row],[Ivalley (A) C]]*Fsw*10^3*40*10^-9+C_MOSFET_S_VSD_H_BO*Table7[[#This Row],[Ipeak (A) C]]*Fsw*10^3*30*10^-9)/10^-3</f>
        <v>212.68173913043489</v>
      </c>
      <c r="BS210" s="145">
        <f t="shared" si="38"/>
        <v>357.69600000000014</v>
      </c>
      <c r="BT210" s="145">
        <f>IF(VACnom&lt;Vbat, Table7[[#This Row],[Duty Cycle]]*Table7[[#This Row],[I_L RMS]]^2*C_MOSFET_S_RDSON_H_BU*10^-3, (1-Table7[[#This Row],[Duty Cycle]])*Table7[[#This Row],[I_L RMS]]^2*C_MOSFET_S_RDSON_H_BO*10^-3)/10^-3</f>
        <v>20.442439631790801</v>
      </c>
      <c r="BU210" s="145">
        <f>IF(VACnom&gt;Vbat, Table7[[#This Row],[PIV (mW) C]]+Table7[[#This Row],[PQoss (mW) C]]+Table7[[#This Row],[Pgate_top (mW) C]], Table7[[#This Row],[PRR (mW) C]]+Table7[[#This Row],[Pdead (mW) C]]+Table7[[#This Row],[Pgate_top (mW) C]])</f>
        <v>1194.4831429937954</v>
      </c>
      <c r="BV210" s="145">
        <f>Table7[[#This Row],[Pcon_top (mW) C]]+Table7[[#This Row],[Psw_top (mW) C]]</f>
        <v>1214.9255826255862</v>
      </c>
      <c r="BW210" s="145">
        <f>IF(VACnom&gt;Vbat, (1-Table7[[#This Row],[Duty Cycle]])*Table7[[#This Row],[I_L RMS]]^2*C_MOSFET_S_RDSON_L_BU*10^-3, Table7[[#This Row],[Duty Cycle]]*Table7[[#This Row],[I_L RMS]]^2*C_MOSFET_S_RDSON_L_BO*10^-3)/10^-3</f>
        <v>13.366210528478598</v>
      </c>
      <c r="BX210" s="145">
        <f>IF(VACnom&gt;Vbat, Table7[[#This Row],[PRR (mW) C]]+Table7[[#This Row],[Pdead (mW) C]]+Table7[[#This Row],[Pgate_bottom (mW) C]], Table7[[#This Row],[PIV (mW) C]]+Table7[[#This Row],[PQoss (mW) C]]+Table7[[#This Row],[Pgate_bottom (mW) C]])</f>
        <v>1637.5777391304352</v>
      </c>
      <c r="BY210" s="145">
        <f>Table7[[#This Row],[Pcon_bottom (mW) C]]+Table7[[#This Row],[Psw_bottom (mV) C]]</f>
        <v>1650.9439496589139</v>
      </c>
      <c r="BZ210" s="145">
        <f>Table7[[#This Row],[Pbottom (mW) C]]+Table7[[#This Row],[Ptop (mW) C]]</f>
        <v>2865.8695322845001</v>
      </c>
      <c r="CA210" s="148"/>
      <c r="CB210" s="144">
        <f>(RAC_SNS*10^-3*(Table7[[#This Row],[IOUT (A)]]*Vbat/VACnom)^2/10^-3)</f>
        <v>723.32234404536882</v>
      </c>
      <c r="CC210" s="144">
        <f>(RBAT_SNS*10^-3*Table7[[#This Row],[IOUT (A)]]^2)/10^-3</f>
        <v>1889.568</v>
      </c>
      <c r="CD210" s="144">
        <f>IF(VACnom&gt;Vbat,(L_DRC*10^-3*(Table7[[#This Row],[IOUT (A)]])^2/10^-3),(L_DRC*10^-3*(Table7[[#This Row],[IOUT (A)]]*Vbat/VACnom)^2/10^-3))</f>
        <v>1889.568</v>
      </c>
      <c r="CE210" s="152"/>
      <c r="CF210" s="145">
        <f>(Table7[[#This Row],[R_AC (mW)]]+Table7[[#This Row],[R_SR (mW)]]+Table7[[#This Row],[Inductor Loss (mW)]])/10^3</f>
        <v>4.5024583440453689</v>
      </c>
      <c r="CG210" s="145" t="e">
        <f ca="1">Table7[[#This Row],[Total TI (mW)]]/10^3</f>
        <v>#VALUE!</v>
      </c>
      <c r="CH210" s="145" t="e">
        <f ca="1">Table7[[#This Row],[Total Sense Loss]]+Table7[[#This Row],[Total MOSFET Loss]]</f>
        <v>#VALUE!</v>
      </c>
      <c r="CI210" s="149" t="e">
        <f ca="1">IF(Table7[[#This Row],[POUT (W)]]=0,0,(Table7[[#This Row],[POUT (W)]])/(Table7[[#This Row],[POUT (W)]]+Table7[[#This Row],[Total Power Loss (W)]]))*100</f>
        <v>#VALUE!</v>
      </c>
      <c r="CJ210" s="153"/>
      <c r="CK210" s="145">
        <f>(Table7[[#This Row],[R_AC (mW)]]+Table7[[#This Row],[R_SR (mW)]]+Table7[[#This Row],[Inductor Loss (mW)]])/10^3</f>
        <v>4.5024583440453689</v>
      </c>
      <c r="CL210" s="145">
        <f>Table7[[#This Row],[Total (mW) C]]/10^3</f>
        <v>2.8658695322845</v>
      </c>
      <c r="CM210" s="145">
        <f>Table7[[#This Row],[Total Sense Loss C]]+Table7[[#This Row],[Total MOSFET Loss C]]</f>
        <v>7.368327876329869</v>
      </c>
      <c r="CN210" s="149">
        <f>IF(Table7[[#This Row],[POUT (W)]]=0,0,(Table7[[#This Row],[POUT (W)]])/(Table7[[#This Row],[POUT (W)]]+Table7[[#This Row],[Total Power Loss (W) C]]))*100</f>
        <v>98.980529562548057</v>
      </c>
      <c r="CO210" s="153"/>
      <c r="CP210" s="149">
        <f>IF(MOSFET_S=Custom_MOSFET,Table7[[#This Row],[Total Sense Loss C]],Table7[[#This Row],[Total Sense Loss]])</f>
        <v>4.5024583440453689</v>
      </c>
      <c r="CQ210" s="149">
        <f>IF(MOSFET_S=Custom_MOSFET,Table7[[#This Row],[Total MOSFET Loss C]],Table7[[#This Row],[Total MOSFET Loss]])</f>
        <v>2.8658695322845</v>
      </c>
      <c r="CR210" s="149">
        <f>IF(MOSFET_S=Custom_MOSFET,Table7[[#This Row],[Efficiency C]],Table7[[#This Row],[Efficiency]])</f>
        <v>98.980529562548057</v>
      </c>
      <c r="CS210" s="153"/>
      <c r="CT210" s="149">
        <f>IF(MOSFET_S=Compare_MOSFET, Table7[[#This Row],[Total Sense Loss C]], -100)</f>
        <v>-100</v>
      </c>
      <c r="CU210" s="149">
        <f>IF(MOSFET_S=Compare_MOSFET, Table7[[#This Row],[Total MOSFET Loss C]], -100)</f>
        <v>-100</v>
      </c>
      <c r="CV210" s="149">
        <f>IF(MOSFET_S=Compare_MOSFET, Table7[[#This Row],[Efficiency C]], -100)</f>
        <v>-100</v>
      </c>
      <c r="CW210" s="153"/>
      <c r="CX210" s="149">
        <f ca="1">IF(Save_Sel=CLR_Save,  Table7[[#This Row],[Total Sense Loss P1]], Table7[[#This Row],[Total Sense Loss P1 Saved]])</f>
        <v>4.5024583440453689</v>
      </c>
      <c r="CY210" s="149">
        <f ca="1">IF(Save_Sel=CLR_Save,  Table7[[#This Row],[Total MOSFET Loss P1]], Table7[[#This Row],[Total MOSFET Loss P1 Saved]] )</f>
        <v>2.8658695322845</v>
      </c>
      <c r="CZ210" s="149">
        <f ca="1">IF(Save_Sel=CLR_Save, Table7[[#This Row],[Efficiency P1]], Table7[[#This Row],[Efficiency P1 Saved]])</f>
        <v>98.980529562548057</v>
      </c>
      <c r="DA210" s="153"/>
      <c r="DB210" s="149">
        <f ca="1">IF(Save_Sel=CLR_Save,  Table7[[#This Row],[Total Sense Loss P2]], Table7[[#This Row],[Total Sense Loss P2 Saved]])</f>
        <v>-100</v>
      </c>
      <c r="DC210" s="149">
        <f ca="1">IF(Save_Sel=CLR_Save,  Table7[[#This Row],[Total MOSFET Loss P2]], Table7[[#This Row],[Total MOSFET Loss P2 Saved]] )</f>
        <v>-100</v>
      </c>
      <c r="DD210" s="149">
        <f ca="1">IF(Save_Sel=CLR_Save, Table7[[#This Row],[Efficiency P2]], Table7[[#This Row],[Efficiency P2 Saved]])</f>
        <v>-100</v>
      </c>
      <c r="DE210" s="153"/>
      <c r="DF210" s="19"/>
      <c r="DG210" s="19"/>
      <c r="DH210" s="19"/>
      <c r="DI210" s="19"/>
      <c r="DJ210" s="19"/>
      <c r="DK210" s="19"/>
      <c r="DL210" s="19"/>
      <c r="DM210" s="19"/>
      <c r="DN210" s="19"/>
      <c r="DO210" s="19"/>
      <c r="DP210" s="19"/>
      <c r="DQ210" s="19"/>
      <c r="DR210" s="19"/>
      <c r="DS210" s="19"/>
      <c r="DT210" s="19"/>
      <c r="DU210" s="19"/>
      <c r="DV210" s="19"/>
      <c r="DW210" s="19"/>
      <c r="DX210" s="19"/>
      <c r="DY210" s="19"/>
      <c r="DZ210" s="19"/>
      <c r="EA210" s="19"/>
      <c r="EB210" s="19"/>
      <c r="EC210" s="19"/>
      <c r="ED210" s="19"/>
      <c r="EE210" s="19"/>
      <c r="EF210" s="19"/>
      <c r="EG210" s="19"/>
      <c r="EH210" s="19"/>
      <c r="EI210" s="19"/>
      <c r="EJ210" s="19"/>
      <c r="EK210" s="19"/>
      <c r="EL210" s="19"/>
      <c r="EM210" s="19"/>
      <c r="EN210" s="19"/>
      <c r="EO210" s="19"/>
      <c r="EP210" s="19"/>
      <c r="EQ210" s="19"/>
      <c r="ER210" s="19"/>
      <c r="ES210" s="19"/>
      <c r="ET210" s="19"/>
      <c r="EU210" s="19"/>
      <c r="EV210" s="19"/>
      <c r="EW210" s="19"/>
      <c r="EX210" s="19"/>
      <c r="EY210" s="19"/>
      <c r="EZ210" s="19"/>
      <c r="FA210" s="19"/>
      <c r="FB210" s="19"/>
      <c r="FC210" s="19"/>
      <c r="FD210" s="19"/>
      <c r="FE210" s="19"/>
      <c r="FF210" s="19"/>
      <c r="FG210" s="19"/>
      <c r="FH210" s="19"/>
      <c r="FI210" s="19"/>
    </row>
    <row r="211" spans="1:165" x14ac:dyDescent="0.25">
      <c r="A211" s="32"/>
      <c r="B211" s="49"/>
      <c r="C211" s="49"/>
      <c r="D211" s="32"/>
      <c r="E211" s="66"/>
      <c r="F211" s="66"/>
      <c r="G211" s="49"/>
      <c r="H211" s="29"/>
      <c r="I211" s="29"/>
      <c r="J211" s="29"/>
      <c r="K211" s="29"/>
      <c r="L211" s="29"/>
      <c r="M211" s="29"/>
      <c r="N211" s="29"/>
      <c r="O211" s="29"/>
      <c r="P211" s="29"/>
      <c r="Q211" s="29"/>
      <c r="R211" s="29"/>
      <c r="S211" s="30"/>
      <c r="T211" s="18"/>
      <c r="U211" s="19"/>
      <c r="V211" s="19"/>
      <c r="W211" s="19"/>
      <c r="X211" s="19"/>
      <c r="Y211" s="19"/>
      <c r="Z211" s="19"/>
      <c r="AA211" s="19"/>
      <c r="AB211" s="19"/>
      <c r="AC211" s="19"/>
      <c r="AD211" s="19"/>
      <c r="AE211" s="19"/>
      <c r="AF211" s="143">
        <f t="shared" si="17"/>
        <v>55</v>
      </c>
      <c r="AG211" s="143">
        <f t="shared" si="39"/>
        <v>19.8</v>
      </c>
      <c r="AH211" s="144">
        <f t="shared" si="28"/>
        <v>728.64</v>
      </c>
      <c r="AI211" s="145">
        <f t="shared" si="29"/>
        <v>0.97826086956521752</v>
      </c>
      <c r="AJ211" s="145">
        <f t="shared" si="30"/>
        <v>19.369565217391308</v>
      </c>
      <c r="AK211" s="145">
        <f t="shared" si="26"/>
        <v>0.39130434782608459</v>
      </c>
      <c r="AL211" s="145">
        <f t="shared" si="27"/>
        <v>19.36989459535495</v>
      </c>
      <c r="AM211" s="146"/>
      <c r="AN211" s="145">
        <f>MAX(0,Table7[[#This Row],[I_L]]-0.5*Table7[[#This Row],[I_L pkpk]])</f>
        <v>19.173913043478265</v>
      </c>
      <c r="AO211" s="145">
        <f>Table7[[#This Row],[I_L]]+0.5*Table7[[#This Row],[I_L pkpk]]</f>
        <v>19.565217391304351</v>
      </c>
      <c r="AP211" s="145">
        <f ca="1">IF(VACnom&gt;Vbat, (VGS_S-(TI_MOSFET_S_VTH_H_BU+Table7[[#This Row],[I_L]]/TI_MOSFET_S_gFS_H_BU))/3.4, (VGS_S-(TI_MOSFET_S_VTH_L_BO+Table7[[#This Row],[I_L]]/TI_MOSFET_S_gFS_L_BO))/3.4 )</f>
        <v>2.9708833366122369</v>
      </c>
      <c r="AQ211" s="145">
        <f ca="1">IF(VACnom&gt;Vbat, ((TI_MOSFET_S_VTH_H_BU+Table7[[#This Row],[I_L]]/TI_MOSFET_S_gFS_H_BU))/1, ((TI_MOSFET_S_VTH_L_BO+Table7[[#This Row],[I_L]]/TI_MOSFET_S_gFS_L_BO))/1 )</f>
        <v>1.8989966555183946</v>
      </c>
      <c r="AR211" s="145">
        <f ca="1">IF(VACnom&gt;Vbat, (TI_MOSFET_S_QGD_H_BU+TI_MOSFET_S_QGS_H_BU)*10^-9/Table7[[#This Row],[Ion (A)]], (TI_MOSFET_S_QGD_L_BO+TI_MOSFET_S_QGS_L_BO)*10^-9/Table7[[#This Row],[Ion (A)]])/10^-9</f>
        <v>9.6940864843387846</v>
      </c>
      <c r="AS211" s="145">
        <f ca="1">IF(VACnom&gt;Vbat, (TI_MOSFET_S_QGD_H_BU+TI_MOSFET_S_QGS_H_BU)*10^-9/Table7[[#This Row],[Ioff (A)]], (TI_MOSFET_S_QGD_L_BO+TI_MOSFET_S_QGS_L_BO)*10^-9/Table7[[#This Row],[Ioff (A)]])/10^-9</f>
        <v>15.165903487143362</v>
      </c>
      <c r="AT211" s="145">
        <f ca="1" xml:space="preserve"> 0.5*VACnom*Table7[[#This Row],[Ivalley (A)]]*Table7[[#This Row],[ton (ns)]]*10^-9*Fsw*10^3+0.5*VACnom*Table7[[#This Row],[Ipeak (A)]]*Table7[[#This Row],[toff (ns)]]*10^-9*Fsw*10^3/10^-3</f>
        <v>1092.6290658166577</v>
      </c>
      <c r="AU211" s="145">
        <f t="shared" ca="1" si="31"/>
        <v>268.64000000000004</v>
      </c>
      <c r="AV211" s="145" t="e">
        <f t="shared" si="32"/>
        <v>#VALUE!</v>
      </c>
      <c r="AW211" s="145">
        <f t="shared" ca="1" si="33"/>
        <v>566.72000000000025</v>
      </c>
      <c r="AX211" s="145">
        <f ca="1">IF(VACnom&gt;Vbat, TI_MOSFET_S_VSD_L_BU*Table7[[#This Row],[Ivalley (A)]]*Fsw*10^3*40*10^-9+TI_MOSFET_S_VSD_L_BU*Table7[[#This Row],[Ipeak (A)]]*Fsw*10^3*30*10^-9, TI_MOSFET_S_VSD_H_BO*Table7[[#This Row],[Ivalley (A)]]*Fsw*10^3*40*10^-9+TI_MOSFET_S_VSD_H_BO*Table7[[#This Row],[Ipeak (A)]]*Fsw*10^3*30*10^-9)/10^-3</f>
        <v>194.96347826086969</v>
      </c>
      <c r="AY211" s="145" t="e">
        <f t="shared" si="34"/>
        <v>#VALUE!</v>
      </c>
      <c r="AZ211" s="145" t="e">
        <f>IF(VACnom&lt;Vbat, Table7[[#This Row],[Duty Cycle]]*Table7[[#This Row],[I_L RMS]]^2*TI_MOSFET_S_RDSON_H_BU*10^-3, (1-Table7[[#This Row],[Duty Cycle]])*Table7[[#This Row],[I_L RMS]]^2*TI_MOSFET_S_RDSON_H_BO*10^-3)/10^-3</f>
        <v>#VALUE!</v>
      </c>
      <c r="BA211" s="145" t="e">
        <f ca="1">IF(VACnom&gt;Vbat, Table7[[#This Row],[PIV (mW)]]+Table7[[#This Row],[Pqoss (mW)]]+Table7[[#This Row],[Pgate_top (mW)]], Table7[[#This Row],[PRR (mW)]]+Table7[[#This Row],[Pdead (mW)]]+Table7[[#This Row],[Pgate_top (mW)]])</f>
        <v>#VALUE!</v>
      </c>
      <c r="BB211" s="145" t="e">
        <f ca="1">Table7[[#This Row],[Pcon_top (mW)]]+Table7[[#This Row],[Psw_top (mW)]]</f>
        <v>#VALUE!</v>
      </c>
      <c r="BC211" s="145" t="e">
        <f>IF(VACnom&gt;Vbat, (1-Table7[[#This Row],[Duty Cycle]])*Table7[[#This Row],[I_L RMS]]^2*TI_MOSFET_S_RDSON_L_BU*10^-3, Table7[[#This Row],[Duty Cycle]]*Table7[[#This Row],[I_L RMS]]^2*TI_MOSFET_S_RDSON_L_BO*10^-3)/10^-3</f>
        <v>#VALUE!</v>
      </c>
      <c r="BD211" s="145" t="e">
        <f ca="1">IF(VACnom&gt;Vbat, Table7[[#This Row],[PRR (mW)]]+Table7[[#This Row],[Pdead (mW)]]+Table7[[#This Row],[Pgate_bottom (mW)]], Table7[[#This Row],[PIV (mW)]]+Table7[[#This Row],[Pqoss (mW)]]+Table7[[#This Row],[Pgate_bottom (mW)]])</f>
        <v>#VALUE!</v>
      </c>
      <c r="BE211" s="147" t="e">
        <f ca="1">Table7[[#This Row],[Pcon_bottom (mW)]]+Table7[[#This Row],[Psw_bottom (mW)]]</f>
        <v>#VALUE!</v>
      </c>
      <c r="BF211" s="145" t="e">
        <f ca="1">Table7[[#This Row],[Pbottom (mW)]]+Table7[[#This Row],[Ptop (mW)]]</f>
        <v>#VALUE!</v>
      </c>
      <c r="BG211" s="142"/>
      <c r="BH211" s="145">
        <f>MAX(0,Table7[[#This Row],[I_L]]-0.5*Table7[[#This Row],[I_L pkpk]])</f>
        <v>19.173913043478265</v>
      </c>
      <c r="BI211" s="145">
        <f>Table7[[#This Row],[I_L]]+0.5*Table7[[#This Row],[I_L pkpk]]</f>
        <v>19.565217391304351</v>
      </c>
      <c r="BJ211" s="145">
        <f>IF(VACnom&gt;Vbat, (VGS_S-(C_MOSFET_S_VTH_H_BU+Table7[[#This Row],[I_L]]/C_MOSFET_S_gFS_H_BU))/3.4, (VGS_S-(C_MOSFET_S_VTH_L_BO+Table7[[#This Row],[I_L]]/C_MOSFET_S_gFS_L_BO))/3.4 )</f>
        <v>2.9214767616191906</v>
      </c>
      <c r="BK211" s="145">
        <f>IF(VACnom&gt;Vbat, ((C_MOSFET_S_VTH_H_BU+Table7[[#This Row],[I_L]]/C_MOSFET_S_gFS_H_BU))/1, ((C_MOSFET_S_VTH_L_BO+Table7[[#This Row],[I_L]]/C_MOSFET_S_gFS_L_BO))/1 )</f>
        <v>2.0669790104947525</v>
      </c>
      <c r="BL211" s="145">
        <f>IF(VACnom&gt;Vbat, (C_MOSFET_S_QGD_H_BU+C_MOSFET_S_QGS_H_BU)*10^-9/Table7[[#This Row],[Ion (A) C]], (C_MOSFET_S_QGD_L_BO+C_MOSFET_S_QGS_L_BO)*10^-9/Table7[[#This Row],[Ion (A) C]])/10^-9</f>
        <v>5.305535954839951</v>
      </c>
      <c r="BM211" s="145">
        <f>IF(VACnom&gt;Vbat, (C_MOSFET_S_QGD_H_BU+C_MOSFET_S_QGS_H_BU)*10^-9/Table7[[#This Row],[Ioff (A) C]], (C_MOSFET_S_QGD_L_BO+C_MOSFET_S_QGS_L_BO)*10^-9/Table7[[#This Row],[Ioff (A) C]])/10^-9</f>
        <v>7.4988666654577765</v>
      </c>
      <c r="BN211" s="145">
        <f xml:space="preserve"> 0.5*VACnom*Table7[[#This Row],[Ivalley (A) C]]*Table7[[#This Row],[ton (ns) C]]*10^-9*Fsw*10^3+0.5*VACnom*Table7[[#This Row],[Ipeak (A) C]]*Table7[[#This Row],[toff (ns) C]]*10^-9*Fsw*10^3/10^-3</f>
        <v>540.29275852993374</v>
      </c>
      <c r="BO211" s="145">
        <f t="shared" si="35"/>
        <v>305.44000000000011</v>
      </c>
      <c r="BP211" s="145">
        <f t="shared" si="36"/>
        <v>357.69600000000014</v>
      </c>
      <c r="BQ211" s="145">
        <f t="shared" si="37"/>
        <v>1067.2000000000003</v>
      </c>
      <c r="BR211" s="145">
        <f>IF(VACnom&gt;Vbat, C_MOSFET_S_VSD_L_BU*Table7[[#This Row],[Ivalley (A) C]]*Fsw*10^3*40*10^-9+C_MOSFET_S_VSD_L_BU*Table7[[#This Row],[Ipeak (A) C]]*Fsw*10^3*30*10^-9, C_MOSFET_S_VSD_H_BO*Table7[[#This Row],[Ivalley (A) C]]*Fsw*10^3*40*10^-9+C_MOSFET_S_VSD_H_BO*Table7[[#This Row],[Ipeak (A) C]]*Fsw*10^3*30*10^-9)/10^-3</f>
        <v>216.62608695652185</v>
      </c>
      <c r="BS211" s="145">
        <f t="shared" si="38"/>
        <v>357.69600000000014</v>
      </c>
      <c r="BT211" s="145">
        <f>IF(VACnom&lt;Vbat, Table7[[#This Row],[Duty Cycle]]*Table7[[#This Row],[I_L RMS]]^2*C_MOSFET_S_RDSON_H_BU*10^-3, (1-Table7[[#This Row],[Duty Cycle]])*Table7[[#This Row],[I_L RMS]]^2*C_MOSFET_S_RDSON_H_BO*10^-3)/10^-3</f>
        <v>21.206550505465493</v>
      </c>
      <c r="BU211" s="145">
        <f>IF(VACnom&gt;Vbat, Table7[[#This Row],[PIV (mW) C]]+Table7[[#This Row],[PQoss (mW) C]]+Table7[[#This Row],[Pgate_top (mW) C]], Table7[[#This Row],[PRR (mW) C]]+Table7[[#This Row],[Pdead (mW) C]]+Table7[[#This Row],[Pgate_top (mW) C]])</f>
        <v>1203.4287585299339</v>
      </c>
      <c r="BV211" s="145">
        <f>Table7[[#This Row],[Pcon_top (mW) C]]+Table7[[#This Row],[Psw_top (mW) C]]</f>
        <v>1224.6353090353994</v>
      </c>
      <c r="BW211" s="145">
        <f>IF(VACnom&gt;Vbat, (1-Table7[[#This Row],[Duty Cycle]])*Table7[[#This Row],[I_L RMS]]^2*C_MOSFET_S_RDSON_L_BU*10^-3, Table7[[#This Row],[Duty Cycle]]*Table7[[#This Row],[I_L RMS]]^2*C_MOSFET_S_RDSON_L_BO*10^-3)/10^-3</f>
        <v>13.865821484342822</v>
      </c>
      <c r="BX211" s="145">
        <f>IF(VACnom&gt;Vbat, Table7[[#This Row],[PRR (mW) C]]+Table7[[#This Row],[Pdead (mW) C]]+Table7[[#This Row],[Pgate_bottom (mW) C]], Table7[[#This Row],[PIV (mW) C]]+Table7[[#This Row],[PQoss (mW) C]]+Table7[[#This Row],[Pgate_bottom (mW) C]])</f>
        <v>1641.5220869565223</v>
      </c>
      <c r="BY211" s="145">
        <f>Table7[[#This Row],[Pcon_bottom (mW) C]]+Table7[[#This Row],[Psw_bottom (mV) C]]</f>
        <v>1655.3879084408652</v>
      </c>
      <c r="BZ211" s="145">
        <f>Table7[[#This Row],[Pbottom (mW) C]]+Table7[[#This Row],[Ptop (mW) C]]</f>
        <v>2880.0232174762646</v>
      </c>
      <c r="CA211" s="148"/>
      <c r="CB211" s="144">
        <f>(RAC_SNS*10^-3*(Table7[[#This Row],[IOUT (A)]]*Vbat/VACnom)^2/10^-3)</f>
        <v>750.36011342155041</v>
      </c>
      <c r="CC211" s="144">
        <f>(RBAT_SNS*10^-3*Table7[[#This Row],[IOUT (A)]]^2)/10^-3</f>
        <v>1960.2</v>
      </c>
      <c r="CD211" s="144">
        <f>IF(VACnom&gt;Vbat,(L_DRC*10^-3*(Table7[[#This Row],[IOUT (A)]])^2/10^-3),(L_DRC*10^-3*(Table7[[#This Row],[IOUT (A)]]*Vbat/VACnom)^2/10^-3))</f>
        <v>1960.2</v>
      </c>
      <c r="CE211" s="152"/>
      <c r="CF211" s="145">
        <f>(Table7[[#This Row],[R_AC (mW)]]+Table7[[#This Row],[R_SR (mW)]]+Table7[[#This Row],[Inductor Loss (mW)]])/10^3</f>
        <v>4.67076011342155</v>
      </c>
      <c r="CG211" s="145" t="e">
        <f ca="1">Table7[[#This Row],[Total TI (mW)]]/10^3</f>
        <v>#VALUE!</v>
      </c>
      <c r="CH211" s="145" t="e">
        <f ca="1">Table7[[#This Row],[Total Sense Loss]]+Table7[[#This Row],[Total MOSFET Loss]]</f>
        <v>#VALUE!</v>
      </c>
      <c r="CI211" s="149" t="e">
        <f ca="1">IF(Table7[[#This Row],[POUT (W)]]=0,0,(Table7[[#This Row],[POUT (W)]])/(Table7[[#This Row],[POUT (W)]]+Table7[[#This Row],[Total Power Loss (W)]]))*100</f>
        <v>#VALUE!</v>
      </c>
      <c r="CJ211" s="153"/>
      <c r="CK211" s="145">
        <f>(Table7[[#This Row],[R_AC (mW)]]+Table7[[#This Row],[R_SR (mW)]]+Table7[[#This Row],[Inductor Loss (mW)]])/10^3</f>
        <v>4.67076011342155</v>
      </c>
      <c r="CL211" s="145">
        <f>Table7[[#This Row],[Total (mW) C]]/10^3</f>
        <v>2.8800232174762646</v>
      </c>
      <c r="CM211" s="145">
        <f>Table7[[#This Row],[Total Sense Loss C]]+Table7[[#This Row],[Total MOSFET Loss C]]</f>
        <v>7.5507833308978149</v>
      </c>
      <c r="CN211" s="149">
        <f>IF(Table7[[#This Row],[POUT (W)]]=0,0,(Table7[[#This Row],[POUT (W)]])/(Table7[[#This Row],[POUT (W)]]+Table7[[#This Row],[Total Power Loss (W) C]]))*100</f>
        <v>98.974344218663774</v>
      </c>
      <c r="CO211" s="153"/>
      <c r="CP211" s="149">
        <f>IF(MOSFET_S=Custom_MOSFET,Table7[[#This Row],[Total Sense Loss C]],Table7[[#This Row],[Total Sense Loss]])</f>
        <v>4.67076011342155</v>
      </c>
      <c r="CQ211" s="149">
        <f>IF(MOSFET_S=Custom_MOSFET,Table7[[#This Row],[Total MOSFET Loss C]],Table7[[#This Row],[Total MOSFET Loss]])</f>
        <v>2.8800232174762646</v>
      </c>
      <c r="CR211" s="149">
        <f>IF(MOSFET_S=Custom_MOSFET,Table7[[#This Row],[Efficiency C]],Table7[[#This Row],[Efficiency]])</f>
        <v>98.974344218663774</v>
      </c>
      <c r="CS211" s="153"/>
      <c r="CT211" s="149">
        <f>IF(MOSFET_S=Compare_MOSFET, Table7[[#This Row],[Total Sense Loss C]], -100)</f>
        <v>-100</v>
      </c>
      <c r="CU211" s="149">
        <f>IF(MOSFET_S=Compare_MOSFET, Table7[[#This Row],[Total MOSFET Loss C]], -100)</f>
        <v>-100</v>
      </c>
      <c r="CV211" s="149">
        <f>IF(MOSFET_S=Compare_MOSFET, Table7[[#This Row],[Efficiency C]], -100)</f>
        <v>-100</v>
      </c>
      <c r="CW211" s="153"/>
      <c r="CX211" s="149">
        <f ca="1">IF(Save_Sel=CLR_Save,  Table7[[#This Row],[Total Sense Loss P1]], Table7[[#This Row],[Total Sense Loss P1 Saved]])</f>
        <v>4.67076011342155</v>
      </c>
      <c r="CY211" s="149">
        <f ca="1">IF(Save_Sel=CLR_Save,  Table7[[#This Row],[Total MOSFET Loss P1]], Table7[[#This Row],[Total MOSFET Loss P1 Saved]] )</f>
        <v>2.8800232174762646</v>
      </c>
      <c r="CZ211" s="149">
        <f ca="1">IF(Save_Sel=CLR_Save, Table7[[#This Row],[Efficiency P1]], Table7[[#This Row],[Efficiency P1 Saved]])</f>
        <v>98.974344218663774</v>
      </c>
      <c r="DA211" s="153"/>
      <c r="DB211" s="149">
        <f ca="1">IF(Save_Sel=CLR_Save,  Table7[[#This Row],[Total Sense Loss P2]], Table7[[#This Row],[Total Sense Loss P2 Saved]])</f>
        <v>-100</v>
      </c>
      <c r="DC211" s="149">
        <f ca="1">IF(Save_Sel=CLR_Save,  Table7[[#This Row],[Total MOSFET Loss P2]], Table7[[#This Row],[Total MOSFET Loss P2 Saved]] )</f>
        <v>-100</v>
      </c>
      <c r="DD211" s="149">
        <f ca="1">IF(Save_Sel=CLR_Save, Table7[[#This Row],[Efficiency P2]], Table7[[#This Row],[Efficiency P2 Saved]])</f>
        <v>-100</v>
      </c>
      <c r="DE211" s="153"/>
      <c r="DF211" s="19"/>
      <c r="DG211" s="19"/>
      <c r="DH211" s="19"/>
      <c r="DI211" s="19"/>
      <c r="DJ211" s="19"/>
      <c r="DK211" s="19"/>
      <c r="DL211" s="19"/>
      <c r="DM211" s="19"/>
      <c r="DN211" s="19"/>
      <c r="DO211" s="19"/>
      <c r="DP211" s="19"/>
      <c r="DQ211" s="19"/>
      <c r="DR211" s="19"/>
      <c r="DS211" s="19"/>
      <c r="DT211" s="19"/>
      <c r="DU211" s="19"/>
      <c r="DV211" s="19"/>
      <c r="DW211" s="19"/>
      <c r="DX211" s="19"/>
      <c r="DY211" s="19"/>
      <c r="DZ211" s="19"/>
      <c r="EA211" s="19"/>
      <c r="EB211" s="19"/>
      <c r="EC211" s="19"/>
      <c r="ED211" s="19"/>
      <c r="EE211" s="19"/>
      <c r="EF211" s="19"/>
      <c r="EG211" s="19"/>
      <c r="EH211" s="19"/>
      <c r="EI211" s="19"/>
      <c r="EJ211" s="19"/>
      <c r="EK211" s="19"/>
      <c r="EL211" s="19"/>
      <c r="EM211" s="19"/>
      <c r="EN211" s="19"/>
      <c r="EO211" s="19"/>
      <c r="EP211" s="19"/>
      <c r="EQ211" s="19"/>
      <c r="ER211" s="19"/>
      <c r="ES211" s="19"/>
      <c r="ET211" s="19"/>
      <c r="EU211" s="19"/>
      <c r="EV211" s="19"/>
      <c r="EW211" s="19"/>
      <c r="EX211" s="19"/>
      <c r="EY211" s="19"/>
      <c r="EZ211" s="19"/>
      <c r="FA211" s="19"/>
      <c r="FB211" s="19"/>
      <c r="FC211" s="19"/>
      <c r="FD211" s="19"/>
      <c r="FE211" s="19"/>
      <c r="FF211" s="19"/>
      <c r="FG211" s="19"/>
      <c r="FH211" s="19"/>
      <c r="FI211" s="19"/>
    </row>
    <row r="212" spans="1:165" x14ac:dyDescent="0.25">
      <c r="A212" s="32"/>
      <c r="B212" s="49"/>
      <c r="C212" s="49"/>
      <c r="D212" s="32"/>
      <c r="E212" s="66"/>
      <c r="F212" s="66"/>
      <c r="G212" s="49"/>
      <c r="H212" s="29"/>
      <c r="I212" s="29"/>
      <c r="J212" s="29"/>
      <c r="K212" s="29"/>
      <c r="L212" s="29"/>
      <c r="M212" s="29"/>
      <c r="N212" s="29"/>
      <c r="O212" s="29"/>
      <c r="P212" s="29"/>
      <c r="Q212" s="29"/>
      <c r="R212" s="29"/>
      <c r="S212" s="30"/>
      <c r="T212" s="18"/>
      <c r="U212" s="19"/>
      <c r="V212" s="19"/>
      <c r="W212" s="19"/>
      <c r="X212" s="19"/>
      <c r="Y212" s="19"/>
      <c r="Z212" s="19"/>
      <c r="AA212" s="19"/>
      <c r="AB212" s="19"/>
      <c r="AC212" s="19"/>
      <c r="AD212" s="19"/>
      <c r="AE212" s="19"/>
      <c r="AF212" s="143">
        <f t="shared" si="17"/>
        <v>56</v>
      </c>
      <c r="AG212" s="143">
        <f t="shared" si="39"/>
        <v>20.16</v>
      </c>
      <c r="AH212" s="144">
        <f t="shared" si="28"/>
        <v>741.88799999999992</v>
      </c>
      <c r="AI212" s="145">
        <f t="shared" si="29"/>
        <v>0.97826086956521752</v>
      </c>
      <c r="AJ212" s="145">
        <f t="shared" si="30"/>
        <v>19.721739130434784</v>
      </c>
      <c r="AK212" s="145">
        <f t="shared" si="26"/>
        <v>0.39130434782608459</v>
      </c>
      <c r="AL212" s="145">
        <f t="shared" si="27"/>
        <v>19.722062626746428</v>
      </c>
      <c r="AM212" s="146"/>
      <c r="AN212" s="145">
        <f>MAX(0,Table7[[#This Row],[I_L]]-0.5*Table7[[#This Row],[I_L pkpk]])</f>
        <v>19.526086956521741</v>
      </c>
      <c r="AO212" s="145">
        <f>Table7[[#This Row],[I_L]]+0.5*Table7[[#This Row],[I_L pkpk]]</f>
        <v>19.917391304347827</v>
      </c>
      <c r="AP212" s="145">
        <f ca="1">IF(VACnom&gt;Vbat, (VGS_S-(TI_MOSFET_S_VTH_H_BU+Table7[[#This Row],[I_L]]/TI_MOSFET_S_gFS_H_BU))/3.4, (VGS_S-(TI_MOSFET_S_VTH_L_BO+Table7[[#This Row],[I_L]]/TI_MOSFET_S_gFS_L_BO))/3.4 )</f>
        <v>2.9700865630533149</v>
      </c>
      <c r="AQ212" s="145">
        <f ca="1">IF(VACnom&gt;Vbat, ((TI_MOSFET_S_VTH_H_BU+Table7[[#This Row],[I_L]]/TI_MOSFET_S_gFS_H_BU))/1, ((TI_MOSFET_S_VTH_L_BO+Table7[[#This Row],[I_L]]/TI_MOSFET_S_gFS_L_BO))/1 )</f>
        <v>1.9017056856187291</v>
      </c>
      <c r="AR212" s="145">
        <f ca="1">IF(VACnom&gt;Vbat, (TI_MOSFET_S_QGD_H_BU+TI_MOSFET_S_QGS_H_BU)*10^-9/Table7[[#This Row],[Ion (A)]], (TI_MOSFET_S_QGD_L_BO+TI_MOSFET_S_QGS_L_BO)*10^-9/Table7[[#This Row],[Ion (A)]])/10^-9</f>
        <v>9.6966870791782451</v>
      </c>
      <c r="AS212" s="145">
        <f ca="1">IF(VACnom&gt;Vbat, (TI_MOSFET_S_QGD_H_BU+TI_MOSFET_S_QGS_H_BU)*10^-9/Table7[[#This Row],[Ioff (A)]], (TI_MOSFET_S_QGD_L_BO+TI_MOSFET_S_QGS_L_BO)*10^-9/Table7[[#This Row],[Ioff (A)]])/10^-9</f>
        <v>15.144299256080616</v>
      </c>
      <c r="AT212" s="145">
        <f ca="1" xml:space="preserve"> 0.5*VACnom*Table7[[#This Row],[Ivalley (A)]]*Table7[[#This Row],[ton (ns)]]*10^-9*Fsw*10^3+0.5*VACnom*Table7[[#This Row],[Ipeak (A)]]*Table7[[#This Row],[toff (ns)]]*10^-9*Fsw*10^3/10^-3</f>
        <v>1110.7133234204466</v>
      </c>
      <c r="AU212" s="145">
        <f t="shared" ca="1" si="31"/>
        <v>268.64000000000004</v>
      </c>
      <c r="AV212" s="145" t="e">
        <f t="shared" si="32"/>
        <v>#VALUE!</v>
      </c>
      <c r="AW212" s="145">
        <f t="shared" ca="1" si="33"/>
        <v>566.72000000000025</v>
      </c>
      <c r="AX212" s="145">
        <f ca="1">IF(VACnom&gt;Vbat, TI_MOSFET_S_VSD_L_BU*Table7[[#This Row],[Ivalley (A)]]*Fsw*10^3*40*10^-9+TI_MOSFET_S_VSD_L_BU*Table7[[#This Row],[Ipeak (A)]]*Fsw*10^3*30*10^-9, TI_MOSFET_S_VSD_H_BO*Table7[[#This Row],[Ivalley (A)]]*Fsw*10^3*40*10^-9+TI_MOSFET_S_VSD_H_BO*Table7[[#This Row],[Ipeak (A)]]*Fsw*10^3*30*10^-9)/10^-3</f>
        <v>198.51339130434795</v>
      </c>
      <c r="AY212" s="145" t="e">
        <f t="shared" si="34"/>
        <v>#VALUE!</v>
      </c>
      <c r="AZ212" s="145" t="e">
        <f>IF(VACnom&lt;Vbat, Table7[[#This Row],[Duty Cycle]]*Table7[[#This Row],[I_L RMS]]^2*TI_MOSFET_S_RDSON_H_BU*10^-3, (1-Table7[[#This Row],[Duty Cycle]])*Table7[[#This Row],[I_L RMS]]^2*TI_MOSFET_S_RDSON_H_BO*10^-3)/10^-3</f>
        <v>#VALUE!</v>
      </c>
      <c r="BA212" s="145" t="e">
        <f ca="1">IF(VACnom&gt;Vbat, Table7[[#This Row],[PIV (mW)]]+Table7[[#This Row],[Pqoss (mW)]]+Table7[[#This Row],[Pgate_top (mW)]], Table7[[#This Row],[PRR (mW)]]+Table7[[#This Row],[Pdead (mW)]]+Table7[[#This Row],[Pgate_top (mW)]])</f>
        <v>#VALUE!</v>
      </c>
      <c r="BB212" s="145" t="e">
        <f ca="1">Table7[[#This Row],[Pcon_top (mW)]]+Table7[[#This Row],[Psw_top (mW)]]</f>
        <v>#VALUE!</v>
      </c>
      <c r="BC212" s="145" t="e">
        <f>IF(VACnom&gt;Vbat, (1-Table7[[#This Row],[Duty Cycle]])*Table7[[#This Row],[I_L RMS]]^2*TI_MOSFET_S_RDSON_L_BU*10^-3, Table7[[#This Row],[Duty Cycle]]*Table7[[#This Row],[I_L RMS]]^2*TI_MOSFET_S_RDSON_L_BO*10^-3)/10^-3</f>
        <v>#VALUE!</v>
      </c>
      <c r="BD212" s="145" t="e">
        <f ca="1">IF(VACnom&gt;Vbat, Table7[[#This Row],[PRR (mW)]]+Table7[[#This Row],[Pdead (mW)]]+Table7[[#This Row],[Pgate_bottom (mW)]], Table7[[#This Row],[PIV (mW)]]+Table7[[#This Row],[Pqoss (mW)]]+Table7[[#This Row],[Pgate_bottom (mW)]])</f>
        <v>#VALUE!</v>
      </c>
      <c r="BE212" s="147" t="e">
        <f ca="1">Table7[[#This Row],[Pcon_bottom (mW)]]+Table7[[#This Row],[Psw_bottom (mW)]]</f>
        <v>#VALUE!</v>
      </c>
      <c r="BF212" s="145" t="e">
        <f ca="1">Table7[[#This Row],[Pbottom (mW)]]+Table7[[#This Row],[Ptop (mW)]]</f>
        <v>#VALUE!</v>
      </c>
      <c r="BG212" s="142"/>
      <c r="BH212" s="145">
        <f>MAX(0,Table7[[#This Row],[I_L]]-0.5*Table7[[#This Row],[I_L pkpk]])</f>
        <v>19.526086956521741</v>
      </c>
      <c r="BI212" s="145">
        <f>Table7[[#This Row],[I_L]]+0.5*Table7[[#This Row],[I_L pkpk]]</f>
        <v>19.917391304347827</v>
      </c>
      <c r="BJ212" s="145">
        <f>IF(VACnom&gt;Vbat, (VGS_S-(C_MOSFET_S_VTH_H_BU+Table7[[#This Row],[I_L]]/C_MOSFET_S_gFS_H_BU))/3.4, (VGS_S-(C_MOSFET_S_VTH_L_BO+Table7[[#This Row],[I_L]]/C_MOSFET_S_gFS_L_BO))/3.4 )</f>
        <v>2.9205838257341923</v>
      </c>
      <c r="BK212" s="145">
        <f>IF(VACnom&gt;Vbat, ((C_MOSFET_S_VTH_H_BU+Table7[[#This Row],[I_L]]/C_MOSFET_S_gFS_H_BU))/1, ((C_MOSFET_S_VTH_L_BO+Table7[[#This Row],[I_L]]/C_MOSFET_S_gFS_L_BO))/1 )</f>
        <v>2.0700149925037481</v>
      </c>
      <c r="BL212" s="145">
        <f>IF(VACnom&gt;Vbat, (C_MOSFET_S_QGD_H_BU+C_MOSFET_S_QGS_H_BU)*10^-9/Table7[[#This Row],[Ion (A) C]], (C_MOSFET_S_QGD_L_BO+C_MOSFET_S_QGS_L_BO)*10^-9/Table7[[#This Row],[Ion (A) C]])/10^-9</f>
        <v>5.3071580632011219</v>
      </c>
      <c r="BM212" s="145">
        <f>IF(VACnom&gt;Vbat, (C_MOSFET_S_QGD_H_BU+C_MOSFET_S_QGS_H_BU)*10^-9/Table7[[#This Row],[Ioff (A) C]], (C_MOSFET_S_QGD_L_BO+C_MOSFET_S_QGS_L_BO)*10^-9/Table7[[#This Row],[Ioff (A) C]])/10^-9</f>
        <v>7.4878684725139424</v>
      </c>
      <c r="BN212" s="145">
        <f xml:space="preserve"> 0.5*VACnom*Table7[[#This Row],[Ivalley (A) C]]*Table7[[#This Row],[ton (ns) C]]*10^-9*Fsw*10^3+0.5*VACnom*Table7[[#This Row],[Ipeak (A) C]]*Table7[[#This Row],[toff (ns) C]]*10^-9*Fsw*10^3/10^-3</f>
        <v>549.21215871117147</v>
      </c>
      <c r="BO212" s="145">
        <f t="shared" si="35"/>
        <v>305.44000000000011</v>
      </c>
      <c r="BP212" s="145">
        <f t="shared" si="36"/>
        <v>357.69600000000014</v>
      </c>
      <c r="BQ212" s="145">
        <f t="shared" si="37"/>
        <v>1067.2000000000003</v>
      </c>
      <c r="BR212" s="145">
        <f>IF(VACnom&gt;Vbat, C_MOSFET_S_VSD_L_BU*Table7[[#This Row],[Ivalley (A) C]]*Fsw*10^3*40*10^-9+C_MOSFET_S_VSD_L_BU*Table7[[#This Row],[Ipeak (A) C]]*Fsw*10^3*30*10^-9, C_MOSFET_S_VSD_H_BO*Table7[[#This Row],[Ivalley (A) C]]*Fsw*10^3*40*10^-9+C_MOSFET_S_VSD_H_BO*Table7[[#This Row],[Ipeak (A) C]]*Fsw*10^3*30*10^-9)/10^-3</f>
        <v>220.5704347826088</v>
      </c>
      <c r="BS212" s="145">
        <f t="shared" si="38"/>
        <v>357.69600000000014</v>
      </c>
      <c r="BT212" s="145">
        <f>IF(VACnom&lt;Vbat, Table7[[#This Row],[Duty Cycle]]*Table7[[#This Row],[I_L RMS]]^2*C_MOSFET_S_RDSON_H_BU*10^-3, (1-Table7[[#This Row],[Duty Cycle]])*Table7[[#This Row],[I_L RMS]]^2*C_MOSFET_S_RDSON_H_BO*10^-3)/10^-3</f>
        <v>21.984681762143381</v>
      </c>
      <c r="BU212" s="145">
        <f>IF(VACnom&gt;Vbat, Table7[[#This Row],[PIV (mW) C]]+Table7[[#This Row],[PQoss (mW) C]]+Table7[[#This Row],[Pgate_top (mW) C]], Table7[[#This Row],[PRR (mW) C]]+Table7[[#This Row],[Pdead (mW) C]]+Table7[[#This Row],[Pgate_top (mW) C]])</f>
        <v>1212.3481587111717</v>
      </c>
      <c r="BV212" s="145">
        <f>Table7[[#This Row],[Pcon_top (mW) C]]+Table7[[#This Row],[Psw_top (mW) C]]</f>
        <v>1234.3328404733149</v>
      </c>
      <c r="BW212" s="145">
        <f>IF(VACnom&gt;Vbat, (1-Table7[[#This Row],[Duty Cycle]])*Table7[[#This Row],[I_L RMS]]^2*C_MOSFET_S_RDSON_L_BU*10^-3, Table7[[#This Row],[Duty Cycle]]*Table7[[#This Row],[I_L RMS]]^2*C_MOSFET_S_RDSON_L_BO*10^-3)/10^-3</f>
        <v>14.374599613709133</v>
      </c>
      <c r="BX212" s="145">
        <f>IF(VACnom&gt;Vbat, Table7[[#This Row],[PRR (mW) C]]+Table7[[#This Row],[Pdead (mW) C]]+Table7[[#This Row],[Pgate_bottom (mW) C]], Table7[[#This Row],[PIV (mW) C]]+Table7[[#This Row],[PQoss (mW) C]]+Table7[[#This Row],[Pgate_bottom (mW) C]])</f>
        <v>1645.4664347826092</v>
      </c>
      <c r="BY212" s="145">
        <f>Table7[[#This Row],[Pcon_bottom (mW) C]]+Table7[[#This Row],[Psw_bottom (mV) C]]</f>
        <v>1659.8410343963183</v>
      </c>
      <c r="BZ212" s="145">
        <f>Table7[[#This Row],[Pbottom (mW) C]]+Table7[[#This Row],[Ptop (mW) C]]</f>
        <v>2894.1738748696334</v>
      </c>
      <c r="CA212" s="148"/>
      <c r="CB212" s="144">
        <f>(RAC_SNS*10^-3*(Table7[[#This Row],[IOUT (A)]]*Vbat/VACnom)^2/10^-3)</f>
        <v>777.89398865784517</v>
      </c>
      <c r="CC212" s="144">
        <f>(RBAT_SNS*10^-3*Table7[[#This Row],[IOUT (A)]]^2)/10^-3</f>
        <v>2032.1280000000002</v>
      </c>
      <c r="CD212" s="144">
        <f>IF(VACnom&gt;Vbat,(L_DRC*10^-3*(Table7[[#This Row],[IOUT (A)]])^2/10^-3),(L_DRC*10^-3*(Table7[[#This Row],[IOUT (A)]]*Vbat/VACnom)^2/10^-3))</f>
        <v>2032.1280000000002</v>
      </c>
      <c r="CE212" s="152"/>
      <c r="CF212" s="145">
        <f>(Table7[[#This Row],[R_AC (mW)]]+Table7[[#This Row],[R_SR (mW)]]+Table7[[#This Row],[Inductor Loss (mW)]])/10^3</f>
        <v>4.8421499886578454</v>
      </c>
      <c r="CG212" s="145" t="e">
        <f ca="1">Table7[[#This Row],[Total TI (mW)]]/10^3</f>
        <v>#VALUE!</v>
      </c>
      <c r="CH212" s="145" t="e">
        <f ca="1">Table7[[#This Row],[Total Sense Loss]]+Table7[[#This Row],[Total MOSFET Loss]]</f>
        <v>#VALUE!</v>
      </c>
      <c r="CI212" s="149" t="e">
        <f ca="1">IF(Table7[[#This Row],[POUT (W)]]=0,0,(Table7[[#This Row],[POUT (W)]])/(Table7[[#This Row],[POUT (W)]]+Table7[[#This Row],[Total Power Loss (W)]]))*100</f>
        <v>#VALUE!</v>
      </c>
      <c r="CJ212" s="153"/>
      <c r="CK212" s="145">
        <f>(Table7[[#This Row],[R_AC (mW)]]+Table7[[#This Row],[R_SR (mW)]]+Table7[[#This Row],[Inductor Loss (mW)]])/10^3</f>
        <v>4.8421499886578454</v>
      </c>
      <c r="CL212" s="145">
        <f>Table7[[#This Row],[Total (mW) C]]/10^3</f>
        <v>2.8941738748696335</v>
      </c>
      <c r="CM212" s="145">
        <f>Table7[[#This Row],[Total Sense Loss C]]+Table7[[#This Row],[Total MOSFET Loss C]]</f>
        <v>7.7363238635274794</v>
      </c>
      <c r="CN212" s="149">
        <f>IF(Table7[[#This Row],[POUT (W)]]=0,0,(Table7[[#This Row],[POUT (W)]])/(Table7[[#This Row],[POUT (W)]]+Table7[[#This Row],[Total Power Loss (W) C]]))*100</f>
        <v>98.967973207745601</v>
      </c>
      <c r="CO212" s="153"/>
      <c r="CP212" s="149">
        <f>IF(MOSFET_S=Custom_MOSFET,Table7[[#This Row],[Total Sense Loss C]],Table7[[#This Row],[Total Sense Loss]])</f>
        <v>4.8421499886578454</v>
      </c>
      <c r="CQ212" s="149">
        <f>IF(MOSFET_S=Custom_MOSFET,Table7[[#This Row],[Total MOSFET Loss C]],Table7[[#This Row],[Total MOSFET Loss]])</f>
        <v>2.8941738748696335</v>
      </c>
      <c r="CR212" s="149">
        <f>IF(MOSFET_S=Custom_MOSFET,Table7[[#This Row],[Efficiency C]],Table7[[#This Row],[Efficiency]])</f>
        <v>98.967973207745601</v>
      </c>
      <c r="CS212" s="153"/>
      <c r="CT212" s="149">
        <f>IF(MOSFET_S=Compare_MOSFET, Table7[[#This Row],[Total Sense Loss C]], -100)</f>
        <v>-100</v>
      </c>
      <c r="CU212" s="149">
        <f>IF(MOSFET_S=Compare_MOSFET, Table7[[#This Row],[Total MOSFET Loss C]], -100)</f>
        <v>-100</v>
      </c>
      <c r="CV212" s="149">
        <f>IF(MOSFET_S=Compare_MOSFET, Table7[[#This Row],[Efficiency C]], -100)</f>
        <v>-100</v>
      </c>
      <c r="CW212" s="153"/>
      <c r="CX212" s="149">
        <f ca="1">IF(Save_Sel=CLR_Save,  Table7[[#This Row],[Total Sense Loss P1]], Table7[[#This Row],[Total Sense Loss P1 Saved]])</f>
        <v>4.8421499886578454</v>
      </c>
      <c r="CY212" s="149">
        <f ca="1">IF(Save_Sel=CLR_Save,  Table7[[#This Row],[Total MOSFET Loss P1]], Table7[[#This Row],[Total MOSFET Loss P1 Saved]] )</f>
        <v>2.8941738748696335</v>
      </c>
      <c r="CZ212" s="149">
        <f ca="1">IF(Save_Sel=CLR_Save, Table7[[#This Row],[Efficiency P1]], Table7[[#This Row],[Efficiency P1 Saved]])</f>
        <v>98.967973207745601</v>
      </c>
      <c r="DA212" s="153"/>
      <c r="DB212" s="149">
        <f ca="1">IF(Save_Sel=CLR_Save,  Table7[[#This Row],[Total Sense Loss P2]], Table7[[#This Row],[Total Sense Loss P2 Saved]])</f>
        <v>-100</v>
      </c>
      <c r="DC212" s="149">
        <f ca="1">IF(Save_Sel=CLR_Save,  Table7[[#This Row],[Total MOSFET Loss P2]], Table7[[#This Row],[Total MOSFET Loss P2 Saved]] )</f>
        <v>-100</v>
      </c>
      <c r="DD212" s="149">
        <f ca="1">IF(Save_Sel=CLR_Save, Table7[[#This Row],[Efficiency P2]], Table7[[#This Row],[Efficiency P2 Saved]])</f>
        <v>-100</v>
      </c>
      <c r="DE212" s="153"/>
      <c r="DF212" s="19"/>
      <c r="DG212" s="19"/>
      <c r="DH212" s="19"/>
      <c r="DI212" s="19"/>
      <c r="DJ212" s="19"/>
      <c r="DK212" s="19"/>
      <c r="DL212" s="19"/>
      <c r="DM212" s="19"/>
      <c r="DN212" s="19"/>
      <c r="DO212" s="19"/>
      <c r="DP212" s="19"/>
      <c r="DQ212" s="19"/>
      <c r="DR212" s="19"/>
      <c r="DS212" s="19"/>
      <c r="DT212" s="19"/>
      <c r="DU212" s="19"/>
      <c r="DV212" s="19"/>
      <c r="DW212" s="19"/>
      <c r="DX212" s="19"/>
      <c r="DY212" s="19"/>
      <c r="DZ212" s="19"/>
      <c r="EA212" s="19"/>
      <c r="EB212" s="19"/>
      <c r="EC212" s="19"/>
      <c r="ED212" s="19"/>
      <c r="EE212" s="19"/>
      <c r="EF212" s="19"/>
      <c r="EG212" s="19"/>
      <c r="EH212" s="19"/>
      <c r="EI212" s="19"/>
      <c r="EJ212" s="19"/>
      <c r="EK212" s="19"/>
      <c r="EL212" s="19"/>
      <c r="EM212" s="19"/>
      <c r="EN212" s="19"/>
      <c r="EO212" s="19"/>
      <c r="EP212" s="19"/>
      <c r="EQ212" s="19"/>
      <c r="ER212" s="19"/>
      <c r="ES212" s="19"/>
      <c r="ET212" s="19"/>
      <c r="EU212" s="19"/>
      <c r="EV212" s="19"/>
      <c r="EW212" s="19"/>
      <c r="EX212" s="19"/>
      <c r="EY212" s="19"/>
      <c r="EZ212" s="19"/>
      <c r="FA212" s="19"/>
      <c r="FB212" s="19"/>
      <c r="FC212" s="19"/>
      <c r="FD212" s="19"/>
      <c r="FE212" s="19"/>
      <c r="FF212" s="19"/>
      <c r="FG212" s="19"/>
      <c r="FH212" s="19"/>
      <c r="FI212" s="19"/>
    </row>
    <row r="213" spans="1:165" x14ac:dyDescent="0.25">
      <c r="A213" s="32"/>
      <c r="B213" s="49"/>
      <c r="C213" s="49"/>
      <c r="D213" s="32"/>
      <c r="E213" s="66"/>
      <c r="F213" s="66"/>
      <c r="G213" s="49"/>
      <c r="H213" s="29"/>
      <c r="I213" s="29"/>
      <c r="J213" s="29"/>
      <c r="K213" s="29"/>
      <c r="L213" s="29"/>
      <c r="M213" s="29"/>
      <c r="N213" s="29"/>
      <c r="O213" s="29"/>
      <c r="P213" s="29"/>
      <c r="Q213" s="29"/>
      <c r="R213" s="29"/>
      <c r="S213" s="30"/>
      <c r="T213" s="18"/>
      <c r="U213" s="19"/>
      <c r="V213" s="19"/>
      <c r="W213" s="19"/>
      <c r="X213" s="19"/>
      <c r="Y213" s="19"/>
      <c r="Z213" s="19"/>
      <c r="AA213" s="19"/>
      <c r="AB213" s="19"/>
      <c r="AC213" s="19"/>
      <c r="AD213" s="19"/>
      <c r="AE213" s="19"/>
      <c r="AF213" s="143">
        <f t="shared" si="17"/>
        <v>57</v>
      </c>
      <c r="AG213" s="143">
        <f t="shared" si="39"/>
        <v>20.52</v>
      </c>
      <c r="AH213" s="144">
        <f t="shared" si="28"/>
        <v>755.13599999999997</v>
      </c>
      <c r="AI213" s="145">
        <f t="shared" si="29"/>
        <v>0.97826086956521752</v>
      </c>
      <c r="AJ213" s="145">
        <f t="shared" si="30"/>
        <v>20.073913043478264</v>
      </c>
      <c r="AK213" s="145">
        <f t="shared" si="26"/>
        <v>0.39130434782608459</v>
      </c>
      <c r="AL213" s="145">
        <f t="shared" si="27"/>
        <v>20.074230864506674</v>
      </c>
      <c r="AM213" s="146"/>
      <c r="AN213" s="145">
        <f>MAX(0,Table7[[#This Row],[I_L]]-0.5*Table7[[#This Row],[I_L pkpk]])</f>
        <v>19.878260869565221</v>
      </c>
      <c r="AO213" s="145">
        <f>Table7[[#This Row],[I_L]]+0.5*Table7[[#This Row],[I_L pkpk]]</f>
        <v>20.269565217391307</v>
      </c>
      <c r="AP213" s="145">
        <f ca="1">IF(VACnom&gt;Vbat, (VGS_S-(TI_MOSFET_S_VTH_H_BU+Table7[[#This Row],[I_L]]/TI_MOSFET_S_gFS_H_BU))/3.4, (VGS_S-(TI_MOSFET_S_VTH_L_BO+Table7[[#This Row],[I_L]]/TI_MOSFET_S_gFS_L_BO))/3.4 )</f>
        <v>2.9692897894943933</v>
      </c>
      <c r="AQ213" s="145">
        <f ca="1">IF(VACnom&gt;Vbat, ((TI_MOSFET_S_VTH_H_BU+Table7[[#This Row],[I_L]]/TI_MOSFET_S_gFS_H_BU))/1, ((TI_MOSFET_S_VTH_L_BO+Table7[[#This Row],[I_L]]/TI_MOSFET_S_gFS_L_BO))/1 )</f>
        <v>1.9044147157190636</v>
      </c>
      <c r="AR213" s="145">
        <f ca="1">IF(VACnom&gt;Vbat, (TI_MOSFET_S_QGD_H_BU+TI_MOSFET_S_QGS_H_BU)*10^-9/Table7[[#This Row],[Ion (A)]], (TI_MOSFET_S_QGD_L_BO+TI_MOSFET_S_QGS_L_BO)*10^-9/Table7[[#This Row],[Ion (A)]])/10^-9</f>
        <v>9.6992890696950234</v>
      </c>
      <c r="AS213" s="145">
        <f ca="1">IF(VACnom&gt;Vbat, (TI_MOSFET_S_QGD_H_BU+TI_MOSFET_S_QGS_H_BU)*10^-9/Table7[[#This Row],[Ioff (A)]], (TI_MOSFET_S_QGD_L_BO+TI_MOSFET_S_QGS_L_BO)*10^-9/Table7[[#This Row],[Ioff (A)]])/10^-9</f>
        <v>15.122756489059043</v>
      </c>
      <c r="AT213" s="145">
        <f ca="1" xml:space="preserve"> 0.5*VACnom*Table7[[#This Row],[Ivalley (A)]]*Table7[[#This Row],[ton (ns)]]*10^-9*Fsw*10^3+0.5*VACnom*Table7[[#This Row],[Ipeak (A)]]*Table7[[#This Row],[toff (ns)]]*10^-9*Fsw*10^3/10^-3</f>
        <v>1128.7461744259192</v>
      </c>
      <c r="AU213" s="145">
        <f t="shared" ca="1" si="31"/>
        <v>268.64000000000004</v>
      </c>
      <c r="AV213" s="145" t="e">
        <f t="shared" si="32"/>
        <v>#VALUE!</v>
      </c>
      <c r="AW213" s="145">
        <f t="shared" ca="1" si="33"/>
        <v>566.72000000000025</v>
      </c>
      <c r="AX213" s="145">
        <f ca="1">IF(VACnom&gt;Vbat, TI_MOSFET_S_VSD_L_BU*Table7[[#This Row],[Ivalley (A)]]*Fsw*10^3*40*10^-9+TI_MOSFET_S_VSD_L_BU*Table7[[#This Row],[Ipeak (A)]]*Fsw*10^3*30*10^-9, TI_MOSFET_S_VSD_H_BO*Table7[[#This Row],[Ivalley (A)]]*Fsw*10^3*40*10^-9+TI_MOSFET_S_VSD_H_BO*Table7[[#This Row],[Ipeak (A)]]*Fsw*10^3*30*10^-9)/10^-3</f>
        <v>202.06330434782615</v>
      </c>
      <c r="AY213" s="145" t="e">
        <f t="shared" si="34"/>
        <v>#VALUE!</v>
      </c>
      <c r="AZ213" s="145" t="e">
        <f>IF(VACnom&lt;Vbat, Table7[[#This Row],[Duty Cycle]]*Table7[[#This Row],[I_L RMS]]^2*TI_MOSFET_S_RDSON_H_BU*10^-3, (1-Table7[[#This Row],[Duty Cycle]])*Table7[[#This Row],[I_L RMS]]^2*TI_MOSFET_S_RDSON_H_BO*10^-3)/10^-3</f>
        <v>#VALUE!</v>
      </c>
      <c r="BA213" s="145" t="e">
        <f ca="1">IF(VACnom&gt;Vbat, Table7[[#This Row],[PIV (mW)]]+Table7[[#This Row],[Pqoss (mW)]]+Table7[[#This Row],[Pgate_top (mW)]], Table7[[#This Row],[PRR (mW)]]+Table7[[#This Row],[Pdead (mW)]]+Table7[[#This Row],[Pgate_top (mW)]])</f>
        <v>#VALUE!</v>
      </c>
      <c r="BB213" s="145" t="e">
        <f ca="1">Table7[[#This Row],[Pcon_top (mW)]]+Table7[[#This Row],[Psw_top (mW)]]</f>
        <v>#VALUE!</v>
      </c>
      <c r="BC213" s="145" t="e">
        <f>IF(VACnom&gt;Vbat, (1-Table7[[#This Row],[Duty Cycle]])*Table7[[#This Row],[I_L RMS]]^2*TI_MOSFET_S_RDSON_L_BU*10^-3, Table7[[#This Row],[Duty Cycle]]*Table7[[#This Row],[I_L RMS]]^2*TI_MOSFET_S_RDSON_L_BO*10^-3)/10^-3</f>
        <v>#VALUE!</v>
      </c>
      <c r="BD213" s="145" t="e">
        <f ca="1">IF(VACnom&gt;Vbat, Table7[[#This Row],[PRR (mW)]]+Table7[[#This Row],[Pdead (mW)]]+Table7[[#This Row],[Pgate_bottom (mW)]], Table7[[#This Row],[PIV (mW)]]+Table7[[#This Row],[Pqoss (mW)]]+Table7[[#This Row],[Pgate_bottom (mW)]])</f>
        <v>#VALUE!</v>
      </c>
      <c r="BE213" s="147" t="e">
        <f ca="1">Table7[[#This Row],[Pcon_bottom (mW)]]+Table7[[#This Row],[Psw_bottom (mW)]]</f>
        <v>#VALUE!</v>
      </c>
      <c r="BF213" s="145" t="e">
        <f ca="1">Table7[[#This Row],[Pbottom (mW)]]+Table7[[#This Row],[Ptop (mW)]]</f>
        <v>#VALUE!</v>
      </c>
      <c r="BG213" s="142"/>
      <c r="BH213" s="145">
        <f>MAX(0,Table7[[#This Row],[I_L]]-0.5*Table7[[#This Row],[I_L pkpk]])</f>
        <v>19.878260869565221</v>
      </c>
      <c r="BI213" s="145">
        <f>Table7[[#This Row],[I_L]]+0.5*Table7[[#This Row],[I_L pkpk]]</f>
        <v>20.269565217391307</v>
      </c>
      <c r="BJ213" s="145">
        <f>IF(VACnom&gt;Vbat, (VGS_S-(C_MOSFET_S_VTH_H_BU+Table7[[#This Row],[I_L]]/C_MOSFET_S_gFS_H_BU))/3.4, (VGS_S-(C_MOSFET_S_VTH_L_BO+Table7[[#This Row],[I_L]]/C_MOSFET_S_gFS_L_BO))/3.4 )</f>
        <v>2.9196908898491936</v>
      </c>
      <c r="BK213" s="145">
        <f>IF(VACnom&gt;Vbat, ((C_MOSFET_S_VTH_H_BU+Table7[[#This Row],[I_L]]/C_MOSFET_S_gFS_H_BU))/1, ((C_MOSFET_S_VTH_L_BO+Table7[[#This Row],[I_L]]/C_MOSFET_S_gFS_L_BO))/1 )</f>
        <v>2.0730509745127437</v>
      </c>
      <c r="BL213" s="145">
        <f>IF(VACnom&gt;Vbat, (C_MOSFET_S_QGD_H_BU+C_MOSFET_S_QGS_H_BU)*10^-9/Table7[[#This Row],[Ion (A) C]], (C_MOSFET_S_QGD_L_BO+C_MOSFET_S_QGS_L_BO)*10^-9/Table7[[#This Row],[Ion (A) C]])/10^-9</f>
        <v>5.3087811637486721</v>
      </c>
      <c r="BM213" s="145">
        <f>IF(VACnom&gt;Vbat, (C_MOSFET_S_QGD_H_BU+C_MOSFET_S_QGS_H_BU)*10^-9/Table7[[#This Row],[Ioff (A) C]], (C_MOSFET_S_QGD_L_BO+C_MOSFET_S_QGS_L_BO)*10^-9/Table7[[#This Row],[Ioff (A) C]])/10^-9</f>
        <v>7.4769024932651096</v>
      </c>
      <c r="BN213" s="145">
        <f xml:space="preserve"> 0.5*VACnom*Table7[[#This Row],[Ivalley (A) C]]*Table7[[#This Row],[ton (ns) C]]*10^-9*Fsw*10^3+0.5*VACnom*Table7[[#This Row],[Ipeak (A) C]]*Table7[[#This Row],[toff (ns) C]]*10^-9*Fsw*10^3/10^-3</f>
        <v>558.1054587373219</v>
      </c>
      <c r="BO213" s="145">
        <f t="shared" si="35"/>
        <v>305.44000000000011</v>
      </c>
      <c r="BP213" s="145">
        <f t="shared" si="36"/>
        <v>357.69600000000014</v>
      </c>
      <c r="BQ213" s="145">
        <f t="shared" si="37"/>
        <v>1067.2000000000003</v>
      </c>
      <c r="BR213" s="145">
        <f>IF(VACnom&gt;Vbat, C_MOSFET_S_VSD_L_BU*Table7[[#This Row],[Ivalley (A) C]]*Fsw*10^3*40*10^-9+C_MOSFET_S_VSD_L_BU*Table7[[#This Row],[Ipeak (A) C]]*Fsw*10^3*30*10^-9, C_MOSFET_S_VSD_H_BO*Table7[[#This Row],[Ivalley (A) C]]*Fsw*10^3*40*10^-9+C_MOSFET_S_VSD_H_BO*Table7[[#This Row],[Ipeak (A) C]]*Fsw*10^3*30*10^-9)/10^-3</f>
        <v>224.51478260869578</v>
      </c>
      <c r="BS213" s="145">
        <f t="shared" si="38"/>
        <v>357.69600000000014</v>
      </c>
      <c r="BT213" s="145">
        <f>IF(VACnom&lt;Vbat, Table7[[#This Row],[Duty Cycle]]*Table7[[#This Row],[I_L RMS]]^2*C_MOSFET_S_RDSON_H_BU*10^-3, (1-Table7[[#This Row],[Duty Cycle]])*Table7[[#This Row],[I_L RMS]]^2*C_MOSFET_S_RDSON_H_BO*10^-3)/10^-3</f>
        <v>22.776833401824483</v>
      </c>
      <c r="BU213" s="145">
        <f>IF(VACnom&gt;Vbat, Table7[[#This Row],[PIV (mW) C]]+Table7[[#This Row],[PQoss (mW) C]]+Table7[[#This Row],[Pgate_top (mW) C]], Table7[[#This Row],[PRR (mW) C]]+Table7[[#This Row],[Pdead (mW) C]]+Table7[[#This Row],[Pgate_top (mW) C]])</f>
        <v>1221.2414587373221</v>
      </c>
      <c r="BV213" s="145">
        <f>Table7[[#This Row],[Pcon_top (mW) C]]+Table7[[#This Row],[Psw_top (mW) C]]</f>
        <v>1244.0182921391465</v>
      </c>
      <c r="BW213" s="145">
        <f>IF(VACnom&gt;Vbat, (1-Table7[[#This Row],[Duty Cycle]])*Table7[[#This Row],[I_L RMS]]^2*C_MOSFET_S_RDSON_L_BU*10^-3, Table7[[#This Row],[Duty Cycle]]*Table7[[#This Row],[I_L RMS]]^2*C_MOSFET_S_RDSON_L_BO*10^-3)/10^-3</f>
        <v>14.892544916577544</v>
      </c>
      <c r="BX213" s="145">
        <f>IF(VACnom&gt;Vbat, Table7[[#This Row],[PRR (mW) C]]+Table7[[#This Row],[Pdead (mW) C]]+Table7[[#This Row],[Pgate_bottom (mW) C]], Table7[[#This Row],[PIV (mW) C]]+Table7[[#This Row],[PQoss (mW) C]]+Table7[[#This Row],[Pgate_bottom (mW) C]])</f>
        <v>1649.4107826086963</v>
      </c>
      <c r="BY213" s="145">
        <f>Table7[[#This Row],[Pcon_bottom (mW) C]]+Table7[[#This Row],[Psw_bottom (mV) C]]</f>
        <v>1664.3033275252737</v>
      </c>
      <c r="BZ213" s="145">
        <f>Table7[[#This Row],[Pbottom (mW) C]]+Table7[[#This Row],[Ptop (mW) C]]</f>
        <v>2908.3216196644203</v>
      </c>
      <c r="CA213" s="148"/>
      <c r="CB213" s="144">
        <f>(RAC_SNS*10^-3*(Table7[[#This Row],[IOUT (A)]]*Vbat/VACnom)^2/10^-3)</f>
        <v>805.92396975425356</v>
      </c>
      <c r="CC213" s="144">
        <f>(RBAT_SNS*10^-3*Table7[[#This Row],[IOUT (A)]]^2)/10^-3</f>
        <v>2105.3519999999999</v>
      </c>
      <c r="CD213" s="144">
        <f>IF(VACnom&gt;Vbat,(L_DRC*10^-3*(Table7[[#This Row],[IOUT (A)]])^2/10^-3),(L_DRC*10^-3*(Table7[[#This Row],[IOUT (A)]]*Vbat/VACnom)^2/10^-3))</f>
        <v>2105.3519999999999</v>
      </c>
      <c r="CE213" s="152"/>
      <c r="CF213" s="145">
        <f>(Table7[[#This Row],[R_AC (mW)]]+Table7[[#This Row],[R_SR (mW)]]+Table7[[#This Row],[Inductor Loss (mW)]])/10^3</f>
        <v>5.0166279697542535</v>
      </c>
      <c r="CG213" s="145" t="e">
        <f ca="1">Table7[[#This Row],[Total TI (mW)]]/10^3</f>
        <v>#VALUE!</v>
      </c>
      <c r="CH213" s="145" t="e">
        <f ca="1">Table7[[#This Row],[Total Sense Loss]]+Table7[[#This Row],[Total MOSFET Loss]]</f>
        <v>#VALUE!</v>
      </c>
      <c r="CI213" s="149" t="e">
        <f ca="1">IF(Table7[[#This Row],[POUT (W)]]=0,0,(Table7[[#This Row],[POUT (W)]])/(Table7[[#This Row],[POUT (W)]]+Table7[[#This Row],[Total Power Loss (W)]]))*100</f>
        <v>#VALUE!</v>
      </c>
      <c r="CJ213" s="153"/>
      <c r="CK213" s="145">
        <f>(Table7[[#This Row],[R_AC (mW)]]+Table7[[#This Row],[R_SR (mW)]]+Table7[[#This Row],[Inductor Loss (mW)]])/10^3</f>
        <v>5.0166279697542535</v>
      </c>
      <c r="CL213" s="145">
        <f>Table7[[#This Row],[Total (mW) C]]/10^3</f>
        <v>2.9083216196644202</v>
      </c>
      <c r="CM213" s="145">
        <f>Table7[[#This Row],[Total Sense Loss C]]+Table7[[#This Row],[Total MOSFET Loss C]]</f>
        <v>7.9249495894186737</v>
      </c>
      <c r="CN213" s="149">
        <f>IF(Table7[[#This Row],[POUT (W)]]=0,0,(Table7[[#This Row],[POUT (W)]])/(Table7[[#This Row],[POUT (W)]]+Table7[[#This Row],[Total Power Loss (W) C]]))*100</f>
        <v>98.961426398024571</v>
      </c>
      <c r="CO213" s="153"/>
      <c r="CP213" s="149">
        <f>IF(MOSFET_S=Custom_MOSFET,Table7[[#This Row],[Total Sense Loss C]],Table7[[#This Row],[Total Sense Loss]])</f>
        <v>5.0166279697542535</v>
      </c>
      <c r="CQ213" s="149">
        <f>IF(MOSFET_S=Custom_MOSFET,Table7[[#This Row],[Total MOSFET Loss C]],Table7[[#This Row],[Total MOSFET Loss]])</f>
        <v>2.9083216196644202</v>
      </c>
      <c r="CR213" s="149">
        <f>IF(MOSFET_S=Custom_MOSFET,Table7[[#This Row],[Efficiency C]],Table7[[#This Row],[Efficiency]])</f>
        <v>98.961426398024571</v>
      </c>
      <c r="CS213" s="153"/>
      <c r="CT213" s="149">
        <f>IF(MOSFET_S=Compare_MOSFET, Table7[[#This Row],[Total Sense Loss C]], -100)</f>
        <v>-100</v>
      </c>
      <c r="CU213" s="149">
        <f>IF(MOSFET_S=Compare_MOSFET, Table7[[#This Row],[Total MOSFET Loss C]], -100)</f>
        <v>-100</v>
      </c>
      <c r="CV213" s="149">
        <f>IF(MOSFET_S=Compare_MOSFET, Table7[[#This Row],[Efficiency C]], -100)</f>
        <v>-100</v>
      </c>
      <c r="CW213" s="153"/>
      <c r="CX213" s="149">
        <f ca="1">IF(Save_Sel=CLR_Save,  Table7[[#This Row],[Total Sense Loss P1]], Table7[[#This Row],[Total Sense Loss P1 Saved]])</f>
        <v>5.0166279697542535</v>
      </c>
      <c r="CY213" s="149">
        <f ca="1">IF(Save_Sel=CLR_Save,  Table7[[#This Row],[Total MOSFET Loss P1]], Table7[[#This Row],[Total MOSFET Loss P1 Saved]] )</f>
        <v>2.9083216196644202</v>
      </c>
      <c r="CZ213" s="149">
        <f ca="1">IF(Save_Sel=CLR_Save, Table7[[#This Row],[Efficiency P1]], Table7[[#This Row],[Efficiency P1 Saved]])</f>
        <v>98.961426398024571</v>
      </c>
      <c r="DA213" s="153"/>
      <c r="DB213" s="149">
        <f ca="1">IF(Save_Sel=CLR_Save,  Table7[[#This Row],[Total Sense Loss P2]], Table7[[#This Row],[Total Sense Loss P2 Saved]])</f>
        <v>-100</v>
      </c>
      <c r="DC213" s="149">
        <f ca="1">IF(Save_Sel=CLR_Save,  Table7[[#This Row],[Total MOSFET Loss P2]], Table7[[#This Row],[Total MOSFET Loss P2 Saved]] )</f>
        <v>-100</v>
      </c>
      <c r="DD213" s="149">
        <f ca="1">IF(Save_Sel=CLR_Save, Table7[[#This Row],[Efficiency P2]], Table7[[#This Row],[Efficiency P2 Saved]])</f>
        <v>-100</v>
      </c>
      <c r="DE213" s="153"/>
      <c r="DF213" s="19"/>
      <c r="DG213" s="19"/>
      <c r="DH213" s="19"/>
      <c r="DI213" s="19"/>
      <c r="DJ213" s="19"/>
      <c r="DK213" s="19"/>
      <c r="DL213" s="19"/>
      <c r="DM213" s="19"/>
      <c r="DN213" s="19"/>
      <c r="DO213" s="19"/>
      <c r="DP213" s="19"/>
      <c r="DQ213" s="19"/>
      <c r="DR213" s="19"/>
      <c r="DS213" s="19"/>
      <c r="DT213" s="19"/>
      <c r="DU213" s="19"/>
      <c r="DV213" s="19"/>
      <c r="DW213" s="19"/>
      <c r="DX213" s="19"/>
      <c r="DY213" s="19"/>
      <c r="DZ213" s="19"/>
      <c r="EA213" s="19"/>
      <c r="EB213" s="19"/>
      <c r="EC213" s="19"/>
      <c r="ED213" s="19"/>
      <c r="EE213" s="19"/>
      <c r="EF213" s="19"/>
      <c r="EG213" s="19"/>
      <c r="EH213" s="19"/>
      <c r="EI213" s="19"/>
      <c r="EJ213" s="19"/>
      <c r="EK213" s="19"/>
      <c r="EL213" s="19"/>
      <c r="EM213" s="19"/>
      <c r="EN213" s="19"/>
      <c r="EO213" s="19"/>
      <c r="EP213" s="19"/>
      <c r="EQ213" s="19"/>
      <c r="ER213" s="19"/>
      <c r="ES213" s="19"/>
      <c r="ET213" s="19"/>
      <c r="EU213" s="19"/>
      <c r="EV213" s="19"/>
      <c r="EW213" s="19"/>
      <c r="EX213" s="19"/>
      <c r="EY213" s="19"/>
      <c r="EZ213" s="19"/>
      <c r="FA213" s="19"/>
      <c r="FB213" s="19"/>
      <c r="FC213" s="19"/>
      <c r="FD213" s="19"/>
      <c r="FE213" s="19"/>
      <c r="FF213" s="19"/>
      <c r="FG213" s="19"/>
      <c r="FH213" s="19"/>
      <c r="FI213" s="19"/>
    </row>
    <row r="214" spans="1:165" x14ac:dyDescent="0.25">
      <c r="A214" s="32"/>
      <c r="B214" s="49"/>
      <c r="C214" s="49"/>
      <c r="D214" s="32"/>
      <c r="E214" s="66"/>
      <c r="F214" s="66"/>
      <c r="G214" s="49"/>
      <c r="H214" s="29"/>
      <c r="I214" s="29"/>
      <c r="J214" s="29"/>
      <c r="K214" s="29"/>
      <c r="L214" s="29"/>
      <c r="M214" s="29"/>
      <c r="N214" s="29"/>
      <c r="O214" s="29"/>
      <c r="P214" s="29"/>
      <c r="Q214" s="29"/>
      <c r="R214" s="29"/>
      <c r="S214" s="30"/>
      <c r="T214" s="18"/>
      <c r="U214" s="19"/>
      <c r="V214" s="19"/>
      <c r="W214" s="19"/>
      <c r="X214" s="19"/>
      <c r="Y214" s="19"/>
      <c r="Z214" s="19"/>
      <c r="AA214" s="19"/>
      <c r="AB214" s="19"/>
      <c r="AC214" s="19"/>
      <c r="AD214" s="19"/>
      <c r="AE214" s="19"/>
      <c r="AF214" s="143">
        <f t="shared" si="17"/>
        <v>58</v>
      </c>
      <c r="AG214" s="143">
        <f t="shared" si="39"/>
        <v>20.88</v>
      </c>
      <c r="AH214" s="144">
        <f t="shared" si="28"/>
        <v>768.3839999999999</v>
      </c>
      <c r="AI214" s="145">
        <f t="shared" si="29"/>
        <v>0.97826086956521752</v>
      </c>
      <c r="AJ214" s="145">
        <f t="shared" si="30"/>
        <v>20.42608695652174</v>
      </c>
      <c r="AK214" s="145">
        <f t="shared" si="26"/>
        <v>0.39130434782608459</v>
      </c>
      <c r="AL214" s="145">
        <f t="shared" si="27"/>
        <v>20.426399297961773</v>
      </c>
      <c r="AM214" s="146"/>
      <c r="AN214" s="145">
        <f>MAX(0,Table7[[#This Row],[I_L]]-0.5*Table7[[#This Row],[I_L pkpk]])</f>
        <v>20.230434782608697</v>
      </c>
      <c r="AO214" s="145">
        <f>Table7[[#This Row],[I_L]]+0.5*Table7[[#This Row],[I_L pkpk]]</f>
        <v>20.621739130434783</v>
      </c>
      <c r="AP214" s="145">
        <f ca="1">IF(VACnom&gt;Vbat, (VGS_S-(TI_MOSFET_S_VTH_H_BU+Table7[[#This Row],[I_L]]/TI_MOSFET_S_gFS_H_BU))/3.4, (VGS_S-(TI_MOSFET_S_VTH_L_BO+Table7[[#This Row],[I_L]]/TI_MOSFET_S_gFS_L_BO))/3.4 )</f>
        <v>2.9684930159354712</v>
      </c>
      <c r="AQ214" s="145">
        <f ca="1">IF(VACnom&gt;Vbat, ((TI_MOSFET_S_VTH_H_BU+Table7[[#This Row],[I_L]]/TI_MOSFET_S_gFS_H_BU))/1, ((TI_MOSFET_S_VTH_L_BO+Table7[[#This Row],[I_L]]/TI_MOSFET_S_gFS_L_BO))/1 )</f>
        <v>1.9071237458193979</v>
      </c>
      <c r="AR214" s="145">
        <f ca="1">IF(VACnom&gt;Vbat, (TI_MOSFET_S_QGD_H_BU+TI_MOSFET_S_QGS_H_BU)*10^-9/Table7[[#This Row],[Ion (A)]], (TI_MOSFET_S_QGD_L_BO+TI_MOSFET_S_QGS_L_BO)*10^-9/Table7[[#This Row],[Ion (A)]])/10^-9</f>
        <v>9.7018924570129599</v>
      </c>
      <c r="AS214" s="145">
        <f ca="1">IF(VACnom&gt;Vbat, (TI_MOSFET_S_QGD_H_BU+TI_MOSFET_S_QGS_H_BU)*10^-9/Table7[[#This Row],[Ioff (A)]], (TI_MOSFET_S_QGD_L_BO+TI_MOSFET_S_QGS_L_BO)*10^-9/Table7[[#This Row],[Ioff (A)]])/10^-9</f>
        <v>15.101274924153412</v>
      </c>
      <c r="AT214" s="145">
        <f ca="1" xml:space="preserve"> 0.5*VACnom*Table7[[#This Row],[Ivalley (A)]]*Table7[[#This Row],[ton (ns)]]*10^-9*Fsw*10^3+0.5*VACnom*Table7[[#This Row],[Ipeak (A)]]*Table7[[#This Row],[toff (ns)]]*10^-9*Fsw*10^3/10^-3</f>
        <v>1146.727837933794</v>
      </c>
      <c r="AU214" s="145">
        <f t="shared" ca="1" si="31"/>
        <v>268.64000000000004</v>
      </c>
      <c r="AV214" s="145" t="e">
        <f t="shared" si="32"/>
        <v>#VALUE!</v>
      </c>
      <c r="AW214" s="145">
        <f t="shared" ca="1" si="33"/>
        <v>566.72000000000025</v>
      </c>
      <c r="AX214" s="145">
        <f ca="1">IF(VACnom&gt;Vbat, TI_MOSFET_S_VSD_L_BU*Table7[[#This Row],[Ivalley (A)]]*Fsw*10^3*40*10^-9+TI_MOSFET_S_VSD_L_BU*Table7[[#This Row],[Ipeak (A)]]*Fsw*10^3*30*10^-9, TI_MOSFET_S_VSD_H_BO*Table7[[#This Row],[Ivalley (A)]]*Fsw*10^3*40*10^-9+TI_MOSFET_S_VSD_H_BO*Table7[[#This Row],[Ipeak (A)]]*Fsw*10^3*30*10^-9)/10^-3</f>
        <v>205.61321739130437</v>
      </c>
      <c r="AY214" s="145" t="e">
        <f t="shared" si="34"/>
        <v>#VALUE!</v>
      </c>
      <c r="AZ214" s="145" t="e">
        <f>IF(VACnom&lt;Vbat, Table7[[#This Row],[Duty Cycle]]*Table7[[#This Row],[I_L RMS]]^2*TI_MOSFET_S_RDSON_H_BU*10^-3, (1-Table7[[#This Row],[Duty Cycle]])*Table7[[#This Row],[I_L RMS]]^2*TI_MOSFET_S_RDSON_H_BO*10^-3)/10^-3</f>
        <v>#VALUE!</v>
      </c>
      <c r="BA214" s="145" t="e">
        <f ca="1">IF(VACnom&gt;Vbat, Table7[[#This Row],[PIV (mW)]]+Table7[[#This Row],[Pqoss (mW)]]+Table7[[#This Row],[Pgate_top (mW)]], Table7[[#This Row],[PRR (mW)]]+Table7[[#This Row],[Pdead (mW)]]+Table7[[#This Row],[Pgate_top (mW)]])</f>
        <v>#VALUE!</v>
      </c>
      <c r="BB214" s="145" t="e">
        <f ca="1">Table7[[#This Row],[Pcon_top (mW)]]+Table7[[#This Row],[Psw_top (mW)]]</f>
        <v>#VALUE!</v>
      </c>
      <c r="BC214" s="145" t="e">
        <f>IF(VACnom&gt;Vbat, (1-Table7[[#This Row],[Duty Cycle]])*Table7[[#This Row],[I_L RMS]]^2*TI_MOSFET_S_RDSON_L_BU*10^-3, Table7[[#This Row],[Duty Cycle]]*Table7[[#This Row],[I_L RMS]]^2*TI_MOSFET_S_RDSON_L_BO*10^-3)/10^-3</f>
        <v>#VALUE!</v>
      </c>
      <c r="BD214" s="145" t="e">
        <f ca="1">IF(VACnom&gt;Vbat, Table7[[#This Row],[PRR (mW)]]+Table7[[#This Row],[Pdead (mW)]]+Table7[[#This Row],[Pgate_bottom (mW)]], Table7[[#This Row],[PIV (mW)]]+Table7[[#This Row],[Pqoss (mW)]]+Table7[[#This Row],[Pgate_bottom (mW)]])</f>
        <v>#VALUE!</v>
      </c>
      <c r="BE214" s="147" t="e">
        <f ca="1">Table7[[#This Row],[Pcon_bottom (mW)]]+Table7[[#This Row],[Psw_bottom (mW)]]</f>
        <v>#VALUE!</v>
      </c>
      <c r="BF214" s="145" t="e">
        <f ca="1">Table7[[#This Row],[Pbottom (mW)]]+Table7[[#This Row],[Ptop (mW)]]</f>
        <v>#VALUE!</v>
      </c>
      <c r="BG214" s="142"/>
      <c r="BH214" s="145">
        <f>MAX(0,Table7[[#This Row],[I_L]]-0.5*Table7[[#This Row],[I_L pkpk]])</f>
        <v>20.230434782608697</v>
      </c>
      <c r="BI214" s="145">
        <f>Table7[[#This Row],[I_L]]+0.5*Table7[[#This Row],[I_L pkpk]]</f>
        <v>20.621739130434783</v>
      </c>
      <c r="BJ214" s="145">
        <f>IF(VACnom&gt;Vbat, (VGS_S-(C_MOSFET_S_VTH_H_BU+Table7[[#This Row],[I_L]]/C_MOSFET_S_gFS_H_BU))/3.4, (VGS_S-(C_MOSFET_S_VTH_L_BO+Table7[[#This Row],[I_L]]/C_MOSFET_S_gFS_L_BO))/3.4 )</f>
        <v>2.9187979539641948</v>
      </c>
      <c r="BK214" s="145">
        <f>IF(VACnom&gt;Vbat, ((C_MOSFET_S_VTH_H_BU+Table7[[#This Row],[I_L]]/C_MOSFET_S_gFS_H_BU))/1, ((C_MOSFET_S_VTH_L_BO+Table7[[#This Row],[I_L]]/C_MOSFET_S_gFS_L_BO))/1 )</f>
        <v>2.0760869565217392</v>
      </c>
      <c r="BL214" s="145">
        <f>IF(VACnom&gt;Vbat, (C_MOSFET_S_QGD_H_BU+C_MOSFET_S_QGS_H_BU)*10^-9/Table7[[#This Row],[Ion (A) C]], (C_MOSFET_S_QGD_L_BO+C_MOSFET_S_QGS_L_BO)*10^-9/Table7[[#This Row],[Ion (A) C]])/10^-9</f>
        <v>5.3104052573932075</v>
      </c>
      <c r="BM214" s="145">
        <f>IF(VACnom&gt;Vbat, (C_MOSFET_S_QGD_H_BU+C_MOSFET_S_QGS_H_BU)*10^-9/Table7[[#This Row],[Ioff (A) C]], (C_MOSFET_S_QGD_L_BO+C_MOSFET_S_QGS_L_BO)*10^-9/Table7[[#This Row],[Ioff (A) C]])/10^-9</f>
        <v>7.4659685863874348</v>
      </c>
      <c r="BN214" s="145">
        <f xml:space="preserve"> 0.5*VACnom*Table7[[#This Row],[Ivalley (A) C]]*Table7[[#This Row],[ton (ns) C]]*10^-9*Fsw*10^3+0.5*VACnom*Table7[[#This Row],[Ipeak (A) C]]*Table7[[#This Row],[toff (ns) C]]*10^-9*Fsw*10^3/10^-3</f>
        <v>566.97277313437212</v>
      </c>
      <c r="BO214" s="145">
        <f t="shared" si="35"/>
        <v>305.44000000000011</v>
      </c>
      <c r="BP214" s="145">
        <f t="shared" si="36"/>
        <v>357.69600000000014</v>
      </c>
      <c r="BQ214" s="145">
        <f t="shared" si="37"/>
        <v>1067.2000000000003</v>
      </c>
      <c r="BR214" s="145">
        <f>IF(VACnom&gt;Vbat, C_MOSFET_S_VSD_L_BU*Table7[[#This Row],[Ivalley (A) C]]*Fsw*10^3*40*10^-9+C_MOSFET_S_VSD_L_BU*Table7[[#This Row],[Ipeak (A) C]]*Fsw*10^3*30*10^-9, C_MOSFET_S_VSD_H_BO*Table7[[#This Row],[Ivalley (A) C]]*Fsw*10^3*40*10^-9+C_MOSFET_S_VSD_H_BO*Table7[[#This Row],[Ipeak (A) C]]*Fsw*10^3*30*10^-9)/10^-3</f>
        <v>228.45913043478271</v>
      </c>
      <c r="BS214" s="145">
        <f t="shared" si="38"/>
        <v>357.69600000000014</v>
      </c>
      <c r="BT214" s="145">
        <f>IF(VACnom&lt;Vbat, Table7[[#This Row],[Duty Cycle]]*Table7[[#This Row],[I_L RMS]]^2*C_MOSFET_S_RDSON_H_BU*10^-3, (1-Table7[[#This Row],[Duty Cycle]])*Table7[[#This Row],[I_L RMS]]^2*C_MOSFET_S_RDSON_H_BO*10^-3)/10^-3</f>
        <v>23.583005424508784</v>
      </c>
      <c r="BU214" s="145">
        <f>IF(VACnom&gt;Vbat, Table7[[#This Row],[PIV (mW) C]]+Table7[[#This Row],[PQoss (mW) C]]+Table7[[#This Row],[Pgate_top (mW) C]], Table7[[#This Row],[PRR (mW) C]]+Table7[[#This Row],[Pdead (mW) C]]+Table7[[#This Row],[Pgate_top (mW) C]])</f>
        <v>1230.1087731343723</v>
      </c>
      <c r="BV214" s="145">
        <f>Table7[[#This Row],[Pcon_top (mW) C]]+Table7[[#This Row],[Psw_top (mW) C]]</f>
        <v>1253.6917785588812</v>
      </c>
      <c r="BW214" s="145">
        <f>IF(VACnom&gt;Vbat, (1-Table7[[#This Row],[Duty Cycle]])*Table7[[#This Row],[I_L RMS]]^2*C_MOSFET_S_RDSON_L_BU*10^-3, Table7[[#This Row],[Duty Cycle]]*Table7[[#This Row],[I_L RMS]]^2*C_MOSFET_S_RDSON_L_BO*10^-3)/10^-3</f>
        <v>15.41965739294805</v>
      </c>
      <c r="BX214" s="145">
        <f>IF(VACnom&gt;Vbat, Table7[[#This Row],[PRR (mW) C]]+Table7[[#This Row],[Pdead (mW) C]]+Table7[[#This Row],[Pgate_bottom (mW) C]], Table7[[#This Row],[PIV (mW) C]]+Table7[[#This Row],[PQoss (mW) C]]+Table7[[#This Row],[Pgate_bottom (mW) C]])</f>
        <v>1653.3551304347832</v>
      </c>
      <c r="BY214" s="145">
        <f>Table7[[#This Row],[Pcon_bottom (mW) C]]+Table7[[#This Row],[Psw_bottom (mV) C]]</f>
        <v>1668.7747878277312</v>
      </c>
      <c r="BZ214" s="145">
        <f>Table7[[#This Row],[Pbottom (mW) C]]+Table7[[#This Row],[Ptop (mW) C]]</f>
        <v>2922.4665663866126</v>
      </c>
      <c r="CA214" s="148"/>
      <c r="CB214" s="144">
        <f>(RAC_SNS*10^-3*(Table7[[#This Row],[IOUT (A)]]*Vbat/VACnom)^2/10^-3)</f>
        <v>834.45005671077513</v>
      </c>
      <c r="CC214" s="144">
        <f>(RBAT_SNS*10^-3*Table7[[#This Row],[IOUT (A)]]^2)/10^-3</f>
        <v>2179.8719999999994</v>
      </c>
      <c r="CD214" s="144">
        <f>IF(VACnom&gt;Vbat,(L_DRC*10^-3*(Table7[[#This Row],[IOUT (A)]])^2/10^-3),(L_DRC*10^-3*(Table7[[#This Row],[IOUT (A)]]*Vbat/VACnom)^2/10^-3))</f>
        <v>2179.8719999999994</v>
      </c>
      <c r="CE214" s="152"/>
      <c r="CF214" s="145">
        <f>(Table7[[#This Row],[R_AC (mW)]]+Table7[[#This Row],[R_SR (mW)]]+Table7[[#This Row],[Inductor Loss (mW)]])/10^3</f>
        <v>5.1941940567107743</v>
      </c>
      <c r="CG214" s="145" t="e">
        <f ca="1">Table7[[#This Row],[Total TI (mW)]]/10^3</f>
        <v>#VALUE!</v>
      </c>
      <c r="CH214" s="145" t="e">
        <f ca="1">Table7[[#This Row],[Total Sense Loss]]+Table7[[#This Row],[Total MOSFET Loss]]</f>
        <v>#VALUE!</v>
      </c>
      <c r="CI214" s="149" t="e">
        <f ca="1">IF(Table7[[#This Row],[POUT (W)]]=0,0,(Table7[[#This Row],[POUT (W)]])/(Table7[[#This Row],[POUT (W)]]+Table7[[#This Row],[Total Power Loss (W)]]))*100</f>
        <v>#VALUE!</v>
      </c>
      <c r="CJ214" s="153"/>
      <c r="CK214" s="145">
        <f>(Table7[[#This Row],[R_AC (mW)]]+Table7[[#This Row],[R_SR (mW)]]+Table7[[#This Row],[Inductor Loss (mW)]])/10^3</f>
        <v>5.1941940567107743</v>
      </c>
      <c r="CL214" s="145">
        <f>Table7[[#This Row],[Total (mW) C]]/10^3</f>
        <v>2.9224665663866127</v>
      </c>
      <c r="CM214" s="145">
        <f>Table7[[#This Row],[Total Sense Loss C]]+Table7[[#This Row],[Total MOSFET Loss C]]</f>
        <v>8.1166606230973866</v>
      </c>
      <c r="CN214" s="149">
        <f>IF(Table7[[#This Row],[POUT (W)]]=0,0,(Table7[[#This Row],[POUT (W)]])/(Table7[[#This Row],[POUT (W)]]+Table7[[#This Row],[Total Power Loss (W) C]]))*100</f>
        <v>98.95471297904831</v>
      </c>
      <c r="CO214" s="153"/>
      <c r="CP214" s="149">
        <f>IF(MOSFET_S=Custom_MOSFET,Table7[[#This Row],[Total Sense Loss C]],Table7[[#This Row],[Total Sense Loss]])</f>
        <v>5.1941940567107743</v>
      </c>
      <c r="CQ214" s="149">
        <f>IF(MOSFET_S=Custom_MOSFET,Table7[[#This Row],[Total MOSFET Loss C]],Table7[[#This Row],[Total MOSFET Loss]])</f>
        <v>2.9224665663866127</v>
      </c>
      <c r="CR214" s="149">
        <f>IF(MOSFET_S=Custom_MOSFET,Table7[[#This Row],[Efficiency C]],Table7[[#This Row],[Efficiency]])</f>
        <v>98.95471297904831</v>
      </c>
      <c r="CS214" s="153"/>
      <c r="CT214" s="149">
        <f>IF(MOSFET_S=Compare_MOSFET, Table7[[#This Row],[Total Sense Loss C]], -100)</f>
        <v>-100</v>
      </c>
      <c r="CU214" s="149">
        <f>IF(MOSFET_S=Compare_MOSFET, Table7[[#This Row],[Total MOSFET Loss C]], -100)</f>
        <v>-100</v>
      </c>
      <c r="CV214" s="149">
        <f>IF(MOSFET_S=Compare_MOSFET, Table7[[#This Row],[Efficiency C]], -100)</f>
        <v>-100</v>
      </c>
      <c r="CW214" s="153"/>
      <c r="CX214" s="149">
        <f ca="1">IF(Save_Sel=CLR_Save,  Table7[[#This Row],[Total Sense Loss P1]], Table7[[#This Row],[Total Sense Loss P1 Saved]])</f>
        <v>5.1941940567107743</v>
      </c>
      <c r="CY214" s="149">
        <f ca="1">IF(Save_Sel=CLR_Save,  Table7[[#This Row],[Total MOSFET Loss P1]], Table7[[#This Row],[Total MOSFET Loss P1 Saved]] )</f>
        <v>2.9224665663866127</v>
      </c>
      <c r="CZ214" s="149">
        <f ca="1">IF(Save_Sel=CLR_Save, Table7[[#This Row],[Efficiency P1]], Table7[[#This Row],[Efficiency P1 Saved]])</f>
        <v>98.95471297904831</v>
      </c>
      <c r="DA214" s="153"/>
      <c r="DB214" s="149">
        <f ca="1">IF(Save_Sel=CLR_Save,  Table7[[#This Row],[Total Sense Loss P2]], Table7[[#This Row],[Total Sense Loss P2 Saved]])</f>
        <v>-100</v>
      </c>
      <c r="DC214" s="149">
        <f ca="1">IF(Save_Sel=CLR_Save,  Table7[[#This Row],[Total MOSFET Loss P2]], Table7[[#This Row],[Total MOSFET Loss P2 Saved]] )</f>
        <v>-100</v>
      </c>
      <c r="DD214" s="149">
        <f ca="1">IF(Save_Sel=CLR_Save, Table7[[#This Row],[Efficiency P2]], Table7[[#This Row],[Efficiency P2 Saved]])</f>
        <v>-100</v>
      </c>
      <c r="DE214" s="153"/>
      <c r="DF214" s="19"/>
      <c r="DG214" s="19"/>
      <c r="DH214" s="19"/>
      <c r="DI214" s="19"/>
      <c r="DJ214" s="19"/>
      <c r="DK214" s="19"/>
      <c r="DL214" s="19"/>
      <c r="DM214" s="19"/>
      <c r="DN214" s="19"/>
      <c r="DO214" s="19"/>
      <c r="DP214" s="19"/>
      <c r="DQ214" s="19"/>
      <c r="DR214" s="19"/>
      <c r="DS214" s="19"/>
      <c r="DT214" s="19"/>
      <c r="DU214" s="19"/>
      <c r="DV214" s="19"/>
      <c r="DW214" s="19"/>
      <c r="DX214" s="19"/>
      <c r="DY214" s="19"/>
      <c r="DZ214" s="19"/>
      <c r="EA214" s="19"/>
      <c r="EB214" s="19"/>
      <c r="EC214" s="19"/>
      <c r="ED214" s="19"/>
      <c r="EE214" s="19"/>
      <c r="EF214" s="19"/>
      <c r="EG214" s="19"/>
      <c r="EH214" s="19"/>
      <c r="EI214" s="19"/>
      <c r="EJ214" s="19"/>
      <c r="EK214" s="19"/>
      <c r="EL214" s="19"/>
      <c r="EM214" s="19"/>
      <c r="EN214" s="19"/>
      <c r="EO214" s="19"/>
      <c r="EP214" s="19"/>
      <c r="EQ214" s="19"/>
      <c r="ER214" s="19"/>
      <c r="ES214" s="19"/>
      <c r="ET214" s="19"/>
      <c r="EU214" s="19"/>
      <c r="EV214" s="19"/>
      <c r="EW214" s="19"/>
      <c r="EX214" s="19"/>
      <c r="EY214" s="19"/>
      <c r="EZ214" s="19"/>
      <c r="FA214" s="19"/>
      <c r="FB214" s="19"/>
      <c r="FC214" s="19"/>
      <c r="FD214" s="19"/>
      <c r="FE214" s="19"/>
      <c r="FF214" s="19"/>
      <c r="FG214" s="19"/>
      <c r="FH214" s="19"/>
      <c r="FI214" s="19"/>
    </row>
    <row r="215" spans="1:165" x14ac:dyDescent="0.25">
      <c r="A215" s="32"/>
      <c r="B215" s="49"/>
      <c r="C215" s="49"/>
      <c r="D215" s="32"/>
      <c r="E215" s="66"/>
      <c r="F215" s="66"/>
      <c r="G215" s="49"/>
      <c r="H215" s="29"/>
      <c r="I215" s="29"/>
      <c r="J215" s="29"/>
      <c r="K215" s="29"/>
      <c r="L215" s="29"/>
      <c r="M215" s="29"/>
      <c r="N215" s="29"/>
      <c r="O215" s="29"/>
      <c r="P215" s="29"/>
      <c r="Q215" s="29"/>
      <c r="R215" s="29"/>
      <c r="S215" s="30"/>
      <c r="T215" s="18"/>
      <c r="U215" s="19"/>
      <c r="V215" s="19"/>
      <c r="W215" s="19"/>
      <c r="X215" s="19"/>
      <c r="Y215" s="19"/>
      <c r="Z215" s="19"/>
      <c r="AA215" s="19"/>
      <c r="AB215" s="19"/>
      <c r="AC215" s="19"/>
      <c r="AD215" s="19"/>
      <c r="AE215" s="19"/>
      <c r="AF215" s="143">
        <f t="shared" si="17"/>
        <v>59</v>
      </c>
      <c r="AG215" s="143">
        <f t="shared" si="39"/>
        <v>21.24</v>
      </c>
      <c r="AH215" s="144">
        <f t="shared" si="28"/>
        <v>781.63199999999983</v>
      </c>
      <c r="AI215" s="145">
        <f t="shared" si="29"/>
        <v>0.97826086956521752</v>
      </c>
      <c r="AJ215" s="145">
        <f t="shared" si="30"/>
        <v>20.778260869565219</v>
      </c>
      <c r="AK215" s="145">
        <f t="shared" si="26"/>
        <v>0.39130434782608459</v>
      </c>
      <c r="AL215" s="145">
        <f t="shared" si="27"/>
        <v>20.778567917161443</v>
      </c>
      <c r="AM215" s="146"/>
      <c r="AN215" s="145">
        <f>MAX(0,Table7[[#This Row],[I_L]]-0.5*Table7[[#This Row],[I_L pkpk]])</f>
        <v>20.582608695652176</v>
      </c>
      <c r="AO215" s="145">
        <f>Table7[[#This Row],[I_L]]+0.5*Table7[[#This Row],[I_L pkpk]]</f>
        <v>20.973913043478262</v>
      </c>
      <c r="AP215" s="145">
        <f ca="1">IF(VACnom&gt;Vbat, (VGS_S-(TI_MOSFET_S_VTH_H_BU+Table7[[#This Row],[I_L]]/TI_MOSFET_S_gFS_H_BU))/3.4, (VGS_S-(TI_MOSFET_S_VTH_L_BO+Table7[[#This Row],[I_L]]/TI_MOSFET_S_gFS_L_BO))/3.4 )</f>
        <v>2.9676962423765496</v>
      </c>
      <c r="AQ215" s="145">
        <f ca="1">IF(VACnom&gt;Vbat, ((TI_MOSFET_S_VTH_H_BU+Table7[[#This Row],[I_L]]/TI_MOSFET_S_gFS_H_BU))/1, ((TI_MOSFET_S_VTH_L_BO+Table7[[#This Row],[I_L]]/TI_MOSFET_S_gFS_L_BO))/1 )</f>
        <v>1.9098327759197324</v>
      </c>
      <c r="AR215" s="145">
        <f ca="1">IF(VACnom&gt;Vbat, (TI_MOSFET_S_QGD_H_BU+TI_MOSFET_S_QGS_H_BU)*10^-9/Table7[[#This Row],[Ion (A)]], (TI_MOSFET_S_QGD_L_BO+TI_MOSFET_S_QGS_L_BO)*10^-9/Table7[[#This Row],[Ion (A)]])/10^-9</f>
        <v>9.704497242257105</v>
      </c>
      <c r="AS215" s="145">
        <f ca="1">IF(VACnom&gt;Vbat, (TI_MOSFET_S_QGD_H_BU+TI_MOSFET_S_QGS_H_BU)*10^-9/Table7[[#This Row],[Ioff (A)]], (TI_MOSFET_S_QGD_L_BO+TI_MOSFET_S_QGS_L_BO)*10^-9/Table7[[#This Row],[Ioff (A)]])/10^-9</f>
        <v>15.07985430092463</v>
      </c>
      <c r="AT215" s="145">
        <f ca="1" xml:space="preserve"> 0.5*VACnom*Table7[[#This Row],[Ivalley (A)]]*Table7[[#This Row],[ton (ns)]]*10^-9*Fsw*10^3+0.5*VACnom*Table7[[#This Row],[Ipeak (A)]]*Table7[[#This Row],[toff (ns)]]*10^-9*Fsw*10^3/10^-3</f>
        <v>1164.6585318016848</v>
      </c>
      <c r="AU215" s="145">
        <f t="shared" ca="1" si="31"/>
        <v>268.64000000000004</v>
      </c>
      <c r="AV215" s="145" t="e">
        <f t="shared" si="32"/>
        <v>#VALUE!</v>
      </c>
      <c r="AW215" s="145">
        <f t="shared" ca="1" si="33"/>
        <v>566.72000000000025</v>
      </c>
      <c r="AX215" s="145">
        <f ca="1">IF(VACnom&gt;Vbat, TI_MOSFET_S_VSD_L_BU*Table7[[#This Row],[Ivalley (A)]]*Fsw*10^3*40*10^-9+TI_MOSFET_S_VSD_L_BU*Table7[[#This Row],[Ipeak (A)]]*Fsw*10^3*30*10^-9, TI_MOSFET_S_VSD_H_BO*Table7[[#This Row],[Ivalley (A)]]*Fsw*10^3*40*10^-9+TI_MOSFET_S_VSD_H_BO*Table7[[#This Row],[Ipeak (A)]]*Fsw*10^3*30*10^-9)/10^-3</f>
        <v>209.16313043478269</v>
      </c>
      <c r="AY215" s="145" t="e">
        <f t="shared" si="34"/>
        <v>#VALUE!</v>
      </c>
      <c r="AZ215" s="145" t="e">
        <f>IF(VACnom&lt;Vbat, Table7[[#This Row],[Duty Cycle]]*Table7[[#This Row],[I_L RMS]]^2*TI_MOSFET_S_RDSON_H_BU*10^-3, (1-Table7[[#This Row],[Duty Cycle]])*Table7[[#This Row],[I_L RMS]]^2*TI_MOSFET_S_RDSON_H_BO*10^-3)/10^-3</f>
        <v>#VALUE!</v>
      </c>
      <c r="BA215" s="145" t="e">
        <f ca="1">IF(VACnom&gt;Vbat, Table7[[#This Row],[PIV (mW)]]+Table7[[#This Row],[Pqoss (mW)]]+Table7[[#This Row],[Pgate_top (mW)]], Table7[[#This Row],[PRR (mW)]]+Table7[[#This Row],[Pdead (mW)]]+Table7[[#This Row],[Pgate_top (mW)]])</f>
        <v>#VALUE!</v>
      </c>
      <c r="BB215" s="145" t="e">
        <f ca="1">Table7[[#This Row],[Pcon_top (mW)]]+Table7[[#This Row],[Psw_top (mW)]]</f>
        <v>#VALUE!</v>
      </c>
      <c r="BC215" s="145" t="e">
        <f>IF(VACnom&gt;Vbat, (1-Table7[[#This Row],[Duty Cycle]])*Table7[[#This Row],[I_L RMS]]^2*TI_MOSFET_S_RDSON_L_BU*10^-3, Table7[[#This Row],[Duty Cycle]]*Table7[[#This Row],[I_L RMS]]^2*TI_MOSFET_S_RDSON_L_BO*10^-3)/10^-3</f>
        <v>#VALUE!</v>
      </c>
      <c r="BD215" s="145" t="e">
        <f ca="1">IF(VACnom&gt;Vbat, Table7[[#This Row],[PRR (mW)]]+Table7[[#This Row],[Pdead (mW)]]+Table7[[#This Row],[Pgate_bottom (mW)]], Table7[[#This Row],[PIV (mW)]]+Table7[[#This Row],[Pqoss (mW)]]+Table7[[#This Row],[Pgate_bottom (mW)]])</f>
        <v>#VALUE!</v>
      </c>
      <c r="BE215" s="147" t="e">
        <f ca="1">Table7[[#This Row],[Pcon_bottom (mW)]]+Table7[[#This Row],[Psw_bottom (mW)]]</f>
        <v>#VALUE!</v>
      </c>
      <c r="BF215" s="145" t="e">
        <f ca="1">Table7[[#This Row],[Pbottom (mW)]]+Table7[[#This Row],[Ptop (mW)]]</f>
        <v>#VALUE!</v>
      </c>
      <c r="BG215" s="142"/>
      <c r="BH215" s="145">
        <f>MAX(0,Table7[[#This Row],[I_L]]-0.5*Table7[[#This Row],[I_L pkpk]])</f>
        <v>20.582608695652176</v>
      </c>
      <c r="BI215" s="145">
        <f>Table7[[#This Row],[I_L]]+0.5*Table7[[#This Row],[I_L pkpk]]</f>
        <v>20.973913043478262</v>
      </c>
      <c r="BJ215" s="145">
        <f>IF(VACnom&gt;Vbat, (VGS_S-(C_MOSFET_S_VTH_H_BU+Table7[[#This Row],[I_L]]/C_MOSFET_S_gFS_H_BU))/3.4, (VGS_S-(C_MOSFET_S_VTH_L_BO+Table7[[#This Row],[I_L]]/C_MOSFET_S_gFS_L_BO))/3.4 )</f>
        <v>2.9179050180791961</v>
      </c>
      <c r="BK215" s="145">
        <f>IF(VACnom&gt;Vbat, ((C_MOSFET_S_VTH_H_BU+Table7[[#This Row],[I_L]]/C_MOSFET_S_gFS_H_BU))/1, ((C_MOSFET_S_VTH_L_BO+Table7[[#This Row],[I_L]]/C_MOSFET_S_gFS_L_BO))/1 )</f>
        <v>2.0791229385307344</v>
      </c>
      <c r="BL215" s="145">
        <f>IF(VACnom&gt;Vbat, (C_MOSFET_S_QGD_H_BU+C_MOSFET_S_QGS_H_BU)*10^-9/Table7[[#This Row],[Ion (A) C]], (C_MOSFET_S_QGD_L_BO+C_MOSFET_S_QGS_L_BO)*10^-9/Table7[[#This Row],[Ion (A) C]])/10^-9</f>
        <v>5.3120303450464501</v>
      </c>
      <c r="BM215" s="145">
        <f>IF(VACnom&gt;Vbat, (C_MOSFET_S_QGD_H_BU+C_MOSFET_S_QGS_H_BU)*10^-9/Table7[[#This Row],[Ioff (A) C]], (C_MOSFET_S_QGD_L_BO+C_MOSFET_S_QGS_L_BO)*10^-9/Table7[[#This Row],[Ioff (A) C]])/10^-9</f>
        <v>7.4550666113825255</v>
      </c>
      <c r="BN215" s="145">
        <f xml:space="preserve"> 0.5*VACnom*Table7[[#This Row],[Ivalley (A) C]]*Table7[[#This Row],[ton (ns) C]]*10^-9*Fsw*10^3+0.5*VACnom*Table7[[#This Row],[Ipeak (A) C]]*Table7[[#This Row],[toff (ns) C]]*10^-9*Fsw*10^3/10^-3</f>
        <v>575.81421575940431</v>
      </c>
      <c r="BO215" s="145">
        <f t="shared" si="35"/>
        <v>305.44000000000011</v>
      </c>
      <c r="BP215" s="145">
        <f t="shared" si="36"/>
        <v>357.69600000000014</v>
      </c>
      <c r="BQ215" s="145">
        <f t="shared" si="37"/>
        <v>1067.2000000000003</v>
      </c>
      <c r="BR215" s="145">
        <f>IF(VACnom&gt;Vbat, C_MOSFET_S_VSD_L_BU*Table7[[#This Row],[Ivalley (A) C]]*Fsw*10^3*40*10^-9+C_MOSFET_S_VSD_L_BU*Table7[[#This Row],[Ipeak (A) C]]*Fsw*10^3*30*10^-9, C_MOSFET_S_VSD_H_BO*Table7[[#This Row],[Ivalley (A) C]]*Fsw*10^3*40*10^-9+C_MOSFET_S_VSD_H_BO*Table7[[#This Row],[Ipeak (A) C]]*Fsw*10^3*30*10^-9)/10^-3</f>
        <v>232.40347826086972</v>
      </c>
      <c r="BS215" s="145">
        <f t="shared" si="38"/>
        <v>357.69600000000014</v>
      </c>
      <c r="BT215" s="145">
        <f>IF(VACnom&lt;Vbat, Table7[[#This Row],[Duty Cycle]]*Table7[[#This Row],[I_L RMS]]^2*C_MOSFET_S_RDSON_H_BU*10^-3, (1-Table7[[#This Row],[Duty Cycle]])*Table7[[#This Row],[I_L RMS]]^2*C_MOSFET_S_RDSON_H_BO*10^-3)/10^-3</f>
        <v>24.403197830196298</v>
      </c>
      <c r="BU215" s="145">
        <f>IF(VACnom&gt;Vbat, Table7[[#This Row],[PIV (mW) C]]+Table7[[#This Row],[PQoss (mW) C]]+Table7[[#This Row],[Pgate_top (mW) C]], Table7[[#This Row],[PRR (mW) C]]+Table7[[#This Row],[Pdead (mW) C]]+Table7[[#This Row],[Pgate_top (mW) C]])</f>
        <v>1238.9502157594045</v>
      </c>
      <c r="BV215" s="145">
        <f>Table7[[#This Row],[Pcon_top (mW) C]]+Table7[[#This Row],[Psw_top (mW) C]]</f>
        <v>1263.3534135896009</v>
      </c>
      <c r="BW215" s="145">
        <f>IF(VACnom&gt;Vbat, (1-Table7[[#This Row],[Duty Cycle]])*Table7[[#This Row],[I_L RMS]]^2*C_MOSFET_S_RDSON_L_BU*10^-3, Table7[[#This Row],[Duty Cycle]]*Table7[[#This Row],[I_L RMS]]^2*C_MOSFET_S_RDSON_L_BO*10^-3)/10^-3</f>
        <v>15.955937042820656</v>
      </c>
      <c r="BX215" s="145">
        <f>IF(VACnom&gt;Vbat, Table7[[#This Row],[PRR (mW) C]]+Table7[[#This Row],[Pdead (mW) C]]+Table7[[#This Row],[Pgate_bottom (mW) C]], Table7[[#This Row],[PIV (mW) C]]+Table7[[#This Row],[PQoss (mW) C]]+Table7[[#This Row],[Pgate_bottom (mW) C]])</f>
        <v>1657.29947826087</v>
      </c>
      <c r="BY215" s="145">
        <f>Table7[[#This Row],[Pcon_bottom (mW) C]]+Table7[[#This Row],[Psw_bottom (mV) C]]</f>
        <v>1673.2554153036906</v>
      </c>
      <c r="BZ215" s="145">
        <f>Table7[[#This Row],[Pbottom (mW) C]]+Table7[[#This Row],[Ptop (mW) C]]</f>
        <v>2936.6088288932915</v>
      </c>
      <c r="CA215" s="148"/>
      <c r="CB215" s="144">
        <f>(RAC_SNS*10^-3*(Table7[[#This Row],[IOUT (A)]]*Vbat/VACnom)^2/10^-3)</f>
        <v>863.47224952741033</v>
      </c>
      <c r="CC215" s="144">
        <f>(RBAT_SNS*10^-3*Table7[[#This Row],[IOUT (A)]]^2)/10^-3</f>
        <v>2255.6879999999996</v>
      </c>
      <c r="CD215" s="144">
        <f>IF(VACnom&gt;Vbat,(L_DRC*10^-3*(Table7[[#This Row],[IOUT (A)]])^2/10^-3),(L_DRC*10^-3*(Table7[[#This Row],[IOUT (A)]]*Vbat/VACnom)^2/10^-3))</f>
        <v>2255.6879999999996</v>
      </c>
      <c r="CE215" s="152"/>
      <c r="CF215" s="145">
        <f>(Table7[[#This Row],[R_AC (mW)]]+Table7[[#This Row],[R_SR (mW)]]+Table7[[#This Row],[Inductor Loss (mW)]])/10^3</f>
        <v>5.3748482495274095</v>
      </c>
      <c r="CG215" s="145" t="e">
        <f ca="1">Table7[[#This Row],[Total TI (mW)]]/10^3</f>
        <v>#VALUE!</v>
      </c>
      <c r="CH215" s="145" t="e">
        <f ca="1">Table7[[#This Row],[Total Sense Loss]]+Table7[[#This Row],[Total MOSFET Loss]]</f>
        <v>#VALUE!</v>
      </c>
      <c r="CI215" s="149" t="e">
        <f ca="1">IF(Table7[[#This Row],[POUT (W)]]=0,0,(Table7[[#This Row],[POUT (W)]])/(Table7[[#This Row],[POUT (W)]]+Table7[[#This Row],[Total Power Loss (W)]]))*100</f>
        <v>#VALUE!</v>
      </c>
      <c r="CJ215" s="153"/>
      <c r="CK215" s="145">
        <f>(Table7[[#This Row],[R_AC (mW)]]+Table7[[#This Row],[R_SR (mW)]]+Table7[[#This Row],[Inductor Loss (mW)]])/10^3</f>
        <v>5.3748482495274095</v>
      </c>
      <c r="CL215" s="145">
        <f>Table7[[#This Row],[Total (mW) C]]/10^3</f>
        <v>2.9366088288932914</v>
      </c>
      <c r="CM215" s="145">
        <f>Table7[[#This Row],[Total Sense Loss C]]+Table7[[#This Row],[Total MOSFET Loss C]]</f>
        <v>8.3114570784207018</v>
      </c>
      <c r="CN215" s="149">
        <f>IF(Table7[[#This Row],[POUT (W)]]=0,0,(Table7[[#This Row],[POUT (W)]])/(Table7[[#This Row],[POUT (W)]]+Table7[[#This Row],[Total Power Loss (W) C]]))*100</f>
        <v>98.947841519042328</v>
      </c>
      <c r="CO215" s="153"/>
      <c r="CP215" s="149">
        <f>IF(MOSFET_S=Custom_MOSFET,Table7[[#This Row],[Total Sense Loss C]],Table7[[#This Row],[Total Sense Loss]])</f>
        <v>5.3748482495274095</v>
      </c>
      <c r="CQ215" s="149">
        <f>IF(MOSFET_S=Custom_MOSFET,Table7[[#This Row],[Total MOSFET Loss C]],Table7[[#This Row],[Total MOSFET Loss]])</f>
        <v>2.9366088288932914</v>
      </c>
      <c r="CR215" s="149">
        <f>IF(MOSFET_S=Custom_MOSFET,Table7[[#This Row],[Efficiency C]],Table7[[#This Row],[Efficiency]])</f>
        <v>98.947841519042328</v>
      </c>
      <c r="CS215" s="153"/>
      <c r="CT215" s="149">
        <f>IF(MOSFET_S=Compare_MOSFET, Table7[[#This Row],[Total Sense Loss C]], -100)</f>
        <v>-100</v>
      </c>
      <c r="CU215" s="149">
        <f>IF(MOSFET_S=Compare_MOSFET, Table7[[#This Row],[Total MOSFET Loss C]], -100)</f>
        <v>-100</v>
      </c>
      <c r="CV215" s="149">
        <f>IF(MOSFET_S=Compare_MOSFET, Table7[[#This Row],[Efficiency C]], -100)</f>
        <v>-100</v>
      </c>
      <c r="CW215" s="153"/>
      <c r="CX215" s="149">
        <f ca="1">IF(Save_Sel=CLR_Save,  Table7[[#This Row],[Total Sense Loss P1]], Table7[[#This Row],[Total Sense Loss P1 Saved]])</f>
        <v>5.3748482495274095</v>
      </c>
      <c r="CY215" s="149">
        <f ca="1">IF(Save_Sel=CLR_Save,  Table7[[#This Row],[Total MOSFET Loss P1]], Table7[[#This Row],[Total MOSFET Loss P1 Saved]] )</f>
        <v>2.9366088288932914</v>
      </c>
      <c r="CZ215" s="149">
        <f ca="1">IF(Save_Sel=CLR_Save, Table7[[#This Row],[Efficiency P1]], Table7[[#This Row],[Efficiency P1 Saved]])</f>
        <v>98.947841519042328</v>
      </c>
      <c r="DA215" s="153"/>
      <c r="DB215" s="149">
        <f ca="1">IF(Save_Sel=CLR_Save,  Table7[[#This Row],[Total Sense Loss P2]], Table7[[#This Row],[Total Sense Loss P2 Saved]])</f>
        <v>-100</v>
      </c>
      <c r="DC215" s="149">
        <f ca="1">IF(Save_Sel=CLR_Save,  Table7[[#This Row],[Total MOSFET Loss P2]], Table7[[#This Row],[Total MOSFET Loss P2 Saved]] )</f>
        <v>-100</v>
      </c>
      <c r="DD215" s="149">
        <f ca="1">IF(Save_Sel=CLR_Save, Table7[[#This Row],[Efficiency P2]], Table7[[#This Row],[Efficiency P2 Saved]])</f>
        <v>-100</v>
      </c>
      <c r="DE215" s="153"/>
      <c r="DF215" s="19"/>
      <c r="DG215" s="19"/>
      <c r="DH215" s="19"/>
      <c r="DI215" s="19"/>
      <c r="DJ215" s="19"/>
      <c r="DK215" s="19"/>
      <c r="DL215" s="19"/>
      <c r="DM215" s="19"/>
      <c r="DN215" s="19"/>
      <c r="DO215" s="19"/>
      <c r="DP215" s="19"/>
      <c r="DQ215" s="19"/>
      <c r="DR215" s="19"/>
      <c r="DS215" s="19"/>
      <c r="DT215" s="19"/>
      <c r="DU215" s="19"/>
      <c r="DV215" s="19"/>
      <c r="DW215" s="19"/>
      <c r="DX215" s="19"/>
      <c r="DY215" s="19"/>
      <c r="DZ215" s="19"/>
      <c r="EA215" s="19"/>
      <c r="EB215" s="19"/>
      <c r="EC215" s="19"/>
      <c r="ED215" s="19"/>
      <c r="EE215" s="19"/>
      <c r="EF215" s="19"/>
      <c r="EG215" s="19"/>
      <c r="EH215" s="19"/>
      <c r="EI215" s="19"/>
      <c r="EJ215" s="19"/>
      <c r="EK215" s="19"/>
      <c r="EL215" s="19"/>
      <c r="EM215" s="19"/>
      <c r="EN215" s="19"/>
      <c r="EO215" s="19"/>
      <c r="EP215" s="19"/>
      <c r="EQ215" s="19"/>
      <c r="ER215" s="19"/>
      <c r="ES215" s="19"/>
      <c r="ET215" s="19"/>
      <c r="EU215" s="19"/>
      <c r="EV215" s="19"/>
      <c r="EW215" s="19"/>
      <c r="EX215" s="19"/>
      <c r="EY215" s="19"/>
      <c r="EZ215" s="19"/>
      <c r="FA215" s="19"/>
      <c r="FB215" s="19"/>
      <c r="FC215" s="19"/>
      <c r="FD215" s="19"/>
      <c r="FE215" s="19"/>
      <c r="FF215" s="19"/>
      <c r="FG215" s="19"/>
      <c r="FH215" s="19"/>
      <c r="FI215" s="19"/>
    </row>
    <row r="216" spans="1:165" x14ac:dyDescent="0.25">
      <c r="A216" s="32"/>
      <c r="B216" s="49"/>
      <c r="C216" s="49"/>
      <c r="D216" s="32"/>
      <c r="E216" s="66"/>
      <c r="F216" s="66"/>
      <c r="G216" s="49"/>
      <c r="H216" s="29"/>
      <c r="I216" s="29"/>
      <c r="J216" s="29"/>
      <c r="K216" s="29"/>
      <c r="L216" s="29"/>
      <c r="M216" s="29"/>
      <c r="N216" s="29"/>
      <c r="O216" s="29"/>
      <c r="P216" s="29"/>
      <c r="Q216" s="29"/>
      <c r="R216" s="29"/>
      <c r="S216" s="30"/>
      <c r="T216" s="18"/>
      <c r="U216" s="19"/>
      <c r="V216" s="19"/>
      <c r="W216" s="19"/>
      <c r="X216" s="19"/>
      <c r="Y216" s="19"/>
      <c r="Z216" s="19"/>
      <c r="AA216" s="19"/>
      <c r="AB216" s="19"/>
      <c r="AC216" s="19"/>
      <c r="AD216" s="19"/>
      <c r="AE216" s="19"/>
      <c r="AF216" s="143">
        <f t="shared" si="17"/>
        <v>60</v>
      </c>
      <c r="AG216" s="143">
        <f t="shared" si="39"/>
        <v>21.6</v>
      </c>
      <c r="AH216" s="144">
        <f t="shared" si="28"/>
        <v>794.88</v>
      </c>
      <c r="AI216" s="145">
        <f t="shared" si="29"/>
        <v>0.97826086956521752</v>
      </c>
      <c r="AJ216" s="145">
        <f t="shared" si="30"/>
        <v>21.130434782608699</v>
      </c>
      <c r="AK216" s="145">
        <f t="shared" si="26"/>
        <v>0.39130434782608459</v>
      </c>
      <c r="AL216" s="145">
        <f t="shared" si="27"/>
        <v>21.130736712818727</v>
      </c>
      <c r="AM216" s="146"/>
      <c r="AN216" s="145">
        <f>MAX(0,Table7[[#This Row],[I_L]]-0.5*Table7[[#This Row],[I_L pkpk]])</f>
        <v>20.934782608695656</v>
      </c>
      <c r="AO216" s="145">
        <f>Table7[[#This Row],[I_L]]+0.5*Table7[[#This Row],[I_L pkpk]]</f>
        <v>21.326086956521742</v>
      </c>
      <c r="AP216" s="145">
        <f ca="1">IF(VACnom&gt;Vbat, (VGS_S-(TI_MOSFET_S_VTH_H_BU+Table7[[#This Row],[I_L]]/TI_MOSFET_S_gFS_H_BU))/3.4, (VGS_S-(TI_MOSFET_S_VTH_L_BO+Table7[[#This Row],[I_L]]/TI_MOSFET_S_gFS_L_BO))/3.4 )</f>
        <v>2.9668994688176271</v>
      </c>
      <c r="AQ216" s="145">
        <f ca="1">IF(VACnom&gt;Vbat, ((TI_MOSFET_S_VTH_H_BU+Table7[[#This Row],[I_L]]/TI_MOSFET_S_gFS_H_BU))/1, ((TI_MOSFET_S_VTH_L_BO+Table7[[#This Row],[I_L]]/TI_MOSFET_S_gFS_L_BO))/1 )</f>
        <v>1.912541806020067</v>
      </c>
      <c r="AR216" s="145">
        <f ca="1">IF(VACnom&gt;Vbat, (TI_MOSFET_S_QGD_H_BU+TI_MOSFET_S_QGS_H_BU)*10^-9/Table7[[#This Row],[Ion (A)]], (TI_MOSFET_S_QGD_L_BO+TI_MOSFET_S_QGS_L_BO)*10^-9/Table7[[#This Row],[Ion (A)]])/10^-9</f>
        <v>9.7071034265537204</v>
      </c>
      <c r="AS216" s="145">
        <f ca="1">IF(VACnom&gt;Vbat, (TI_MOSFET_S_QGD_H_BU+TI_MOSFET_S_QGS_H_BU)*10^-9/Table7[[#This Row],[Ioff (A)]], (TI_MOSFET_S_QGD_L_BO+TI_MOSFET_S_QGS_L_BO)*10^-9/Table7[[#This Row],[Ioff (A)]])/10^-9</f>
        <v>15.058494360409199</v>
      </c>
      <c r="AT216" s="145">
        <f ca="1" xml:space="preserve"> 0.5*VACnom*Table7[[#This Row],[Ivalley (A)]]*Table7[[#This Row],[ton (ns)]]*10^-9*Fsw*10^3+0.5*VACnom*Table7[[#This Row],[Ipeak (A)]]*Table7[[#This Row],[toff (ns)]]*10^-9*Fsw*10^3/10^-3</f>
        <v>1182.5384726528962</v>
      </c>
      <c r="AU216" s="145">
        <f t="shared" ca="1" si="31"/>
        <v>268.64000000000004</v>
      </c>
      <c r="AV216" s="145" t="e">
        <f t="shared" si="32"/>
        <v>#VALUE!</v>
      </c>
      <c r="AW216" s="145">
        <f t="shared" ca="1" si="33"/>
        <v>566.72000000000025</v>
      </c>
      <c r="AX216" s="145">
        <f ca="1">IF(VACnom&gt;Vbat, TI_MOSFET_S_VSD_L_BU*Table7[[#This Row],[Ivalley (A)]]*Fsw*10^3*40*10^-9+TI_MOSFET_S_VSD_L_BU*Table7[[#This Row],[Ipeak (A)]]*Fsw*10^3*30*10^-9, TI_MOSFET_S_VSD_H_BO*Table7[[#This Row],[Ivalley (A)]]*Fsw*10^3*40*10^-9+TI_MOSFET_S_VSD_H_BO*Table7[[#This Row],[Ipeak (A)]]*Fsw*10^3*30*10^-9)/10^-3</f>
        <v>212.71304347826094</v>
      </c>
      <c r="AY216" s="145" t="e">
        <f t="shared" si="34"/>
        <v>#VALUE!</v>
      </c>
      <c r="AZ216" s="145" t="e">
        <f>IF(VACnom&lt;Vbat, Table7[[#This Row],[Duty Cycle]]*Table7[[#This Row],[I_L RMS]]^2*TI_MOSFET_S_RDSON_H_BU*10^-3, (1-Table7[[#This Row],[Duty Cycle]])*Table7[[#This Row],[I_L RMS]]^2*TI_MOSFET_S_RDSON_H_BO*10^-3)/10^-3</f>
        <v>#VALUE!</v>
      </c>
      <c r="BA216" s="145" t="e">
        <f ca="1">IF(VACnom&gt;Vbat, Table7[[#This Row],[PIV (mW)]]+Table7[[#This Row],[Pqoss (mW)]]+Table7[[#This Row],[Pgate_top (mW)]], Table7[[#This Row],[PRR (mW)]]+Table7[[#This Row],[Pdead (mW)]]+Table7[[#This Row],[Pgate_top (mW)]])</f>
        <v>#VALUE!</v>
      </c>
      <c r="BB216" s="145" t="e">
        <f ca="1">Table7[[#This Row],[Pcon_top (mW)]]+Table7[[#This Row],[Psw_top (mW)]]</f>
        <v>#VALUE!</v>
      </c>
      <c r="BC216" s="145" t="e">
        <f>IF(VACnom&gt;Vbat, (1-Table7[[#This Row],[Duty Cycle]])*Table7[[#This Row],[I_L RMS]]^2*TI_MOSFET_S_RDSON_L_BU*10^-3, Table7[[#This Row],[Duty Cycle]]*Table7[[#This Row],[I_L RMS]]^2*TI_MOSFET_S_RDSON_L_BO*10^-3)/10^-3</f>
        <v>#VALUE!</v>
      </c>
      <c r="BD216" s="145" t="e">
        <f ca="1">IF(VACnom&gt;Vbat, Table7[[#This Row],[PRR (mW)]]+Table7[[#This Row],[Pdead (mW)]]+Table7[[#This Row],[Pgate_bottom (mW)]], Table7[[#This Row],[PIV (mW)]]+Table7[[#This Row],[Pqoss (mW)]]+Table7[[#This Row],[Pgate_bottom (mW)]])</f>
        <v>#VALUE!</v>
      </c>
      <c r="BE216" s="147" t="e">
        <f ca="1">Table7[[#This Row],[Pcon_bottom (mW)]]+Table7[[#This Row],[Psw_bottom (mW)]]</f>
        <v>#VALUE!</v>
      </c>
      <c r="BF216" s="145" t="e">
        <f ca="1">Table7[[#This Row],[Pbottom (mW)]]+Table7[[#This Row],[Ptop (mW)]]</f>
        <v>#VALUE!</v>
      </c>
      <c r="BG216" s="142"/>
      <c r="BH216" s="145">
        <f>MAX(0,Table7[[#This Row],[I_L]]-0.5*Table7[[#This Row],[I_L pkpk]])</f>
        <v>20.934782608695656</v>
      </c>
      <c r="BI216" s="145">
        <f>Table7[[#This Row],[I_L]]+0.5*Table7[[#This Row],[I_L pkpk]]</f>
        <v>21.326086956521742</v>
      </c>
      <c r="BJ216" s="145">
        <f>IF(VACnom&gt;Vbat, (VGS_S-(C_MOSFET_S_VTH_H_BU+Table7[[#This Row],[I_L]]/C_MOSFET_S_gFS_H_BU))/3.4, (VGS_S-(C_MOSFET_S_VTH_L_BO+Table7[[#This Row],[I_L]]/C_MOSFET_S_gFS_L_BO))/3.4 )</f>
        <v>2.9170120821941974</v>
      </c>
      <c r="BK216" s="145">
        <f>IF(VACnom&gt;Vbat, ((C_MOSFET_S_VTH_H_BU+Table7[[#This Row],[I_L]]/C_MOSFET_S_gFS_H_BU))/1, ((C_MOSFET_S_VTH_L_BO+Table7[[#This Row],[I_L]]/C_MOSFET_S_gFS_L_BO))/1 )</f>
        <v>2.08215892053973</v>
      </c>
      <c r="BL216" s="145">
        <f>IF(VACnom&gt;Vbat, (C_MOSFET_S_QGD_H_BU+C_MOSFET_S_QGS_H_BU)*10^-9/Table7[[#This Row],[Ion (A) C]], (C_MOSFET_S_QGD_L_BO+C_MOSFET_S_QGS_L_BO)*10^-9/Table7[[#This Row],[Ion (A) C]])/10^-9</f>
        <v>5.3136564276212344</v>
      </c>
      <c r="BM216" s="145">
        <f>IF(VACnom&gt;Vbat, (C_MOSFET_S_QGD_H_BU+C_MOSFET_S_QGS_H_BU)*10^-9/Table7[[#This Row],[Ioff (A) C]], (C_MOSFET_S_QGD_L_BO+C_MOSFET_S_QGS_L_BO)*10^-9/Table7[[#This Row],[Ioff (A) C]])/10^-9</f>
        <v>7.4441964285714288</v>
      </c>
      <c r="BN216" s="145">
        <f xml:space="preserve"> 0.5*VACnom*Table7[[#This Row],[Ivalley (A) C]]*Table7[[#This Row],[ton (ns) C]]*10^-9*Fsw*10^3+0.5*VACnom*Table7[[#This Row],[Ipeak (A) C]]*Table7[[#This Row],[toff (ns) C]]*10^-9*Fsw*10^3/10^-3</f>
        <v>584.62989980547002</v>
      </c>
      <c r="BO216" s="145">
        <f t="shared" si="35"/>
        <v>305.44000000000011</v>
      </c>
      <c r="BP216" s="145">
        <f t="shared" si="36"/>
        <v>357.69600000000014</v>
      </c>
      <c r="BQ216" s="145">
        <f t="shared" si="37"/>
        <v>1067.2000000000003</v>
      </c>
      <c r="BR216" s="145">
        <f>IF(VACnom&gt;Vbat, C_MOSFET_S_VSD_L_BU*Table7[[#This Row],[Ivalley (A) C]]*Fsw*10^3*40*10^-9+C_MOSFET_S_VSD_L_BU*Table7[[#This Row],[Ipeak (A) C]]*Fsw*10^3*30*10^-9, C_MOSFET_S_VSD_H_BO*Table7[[#This Row],[Ivalley (A) C]]*Fsw*10^3*40*10^-9+C_MOSFET_S_VSD_H_BO*Table7[[#This Row],[Ipeak (A) C]]*Fsw*10^3*30*10^-9)/10^-3</f>
        <v>236.34782608695667</v>
      </c>
      <c r="BS216" s="145">
        <f t="shared" si="38"/>
        <v>357.69600000000014</v>
      </c>
      <c r="BT216" s="145">
        <f>IF(VACnom&lt;Vbat, Table7[[#This Row],[Duty Cycle]]*Table7[[#This Row],[I_L RMS]]^2*C_MOSFET_S_RDSON_H_BU*10^-3, (1-Table7[[#This Row],[Duty Cycle]])*Table7[[#This Row],[I_L RMS]]^2*C_MOSFET_S_RDSON_H_BO*10^-3)/10^-3</f>
        <v>25.237410618887015</v>
      </c>
      <c r="BU216" s="145">
        <f>IF(VACnom&gt;Vbat, Table7[[#This Row],[PIV (mW) C]]+Table7[[#This Row],[PQoss (mW) C]]+Table7[[#This Row],[Pgate_top (mW) C]], Table7[[#This Row],[PRR (mW) C]]+Table7[[#This Row],[Pdead (mW) C]]+Table7[[#This Row],[Pgate_top (mW) C]])</f>
        <v>1247.7658998054703</v>
      </c>
      <c r="BV216" s="145">
        <f>Table7[[#This Row],[Pcon_top (mW) C]]+Table7[[#This Row],[Psw_top (mW) C]]</f>
        <v>1273.0033104243573</v>
      </c>
      <c r="BW216" s="145">
        <f>IF(VACnom&gt;Vbat, (1-Table7[[#This Row],[Duty Cycle]])*Table7[[#This Row],[I_L RMS]]^2*C_MOSFET_S_RDSON_L_BU*10^-3, Table7[[#This Row],[Duty Cycle]]*Table7[[#This Row],[I_L RMS]]^2*C_MOSFET_S_RDSON_L_BO*10^-3)/10^-3</f>
        <v>16.501383866195354</v>
      </c>
      <c r="BX216" s="145">
        <f>IF(VACnom&gt;Vbat, Table7[[#This Row],[PRR (mW) C]]+Table7[[#This Row],[Pdead (mW) C]]+Table7[[#This Row],[Pgate_bottom (mW) C]], Table7[[#This Row],[PIV (mW) C]]+Table7[[#This Row],[PQoss (mW) C]]+Table7[[#This Row],[Pgate_bottom (mW) C]])</f>
        <v>1661.2438260869571</v>
      </c>
      <c r="BY216" s="145">
        <f>Table7[[#This Row],[Pcon_bottom (mW) C]]+Table7[[#This Row],[Psw_bottom (mV) C]]</f>
        <v>1677.7452099531524</v>
      </c>
      <c r="BZ216" s="145">
        <f>Table7[[#This Row],[Pbottom (mW) C]]+Table7[[#This Row],[Ptop (mW) C]]</f>
        <v>2950.7485203775095</v>
      </c>
      <c r="CA216" s="148"/>
      <c r="CB216" s="144">
        <f>(RAC_SNS*10^-3*(Table7[[#This Row],[IOUT (A)]]*Vbat/VACnom)^2/10^-3)</f>
        <v>892.99054820415904</v>
      </c>
      <c r="CC216" s="144">
        <f>(RBAT_SNS*10^-3*Table7[[#This Row],[IOUT (A)]]^2)/10^-3</f>
        <v>2332.8000000000002</v>
      </c>
      <c r="CD216" s="144">
        <f>IF(VACnom&gt;Vbat,(L_DRC*10^-3*(Table7[[#This Row],[IOUT (A)]])^2/10^-3),(L_DRC*10^-3*(Table7[[#This Row],[IOUT (A)]]*Vbat/VACnom)^2/10^-3))</f>
        <v>2332.8000000000002</v>
      </c>
      <c r="CE216" s="152"/>
      <c r="CF216" s="145">
        <f>(Table7[[#This Row],[R_AC (mW)]]+Table7[[#This Row],[R_SR (mW)]]+Table7[[#This Row],[Inductor Loss (mW)]])/10^3</f>
        <v>5.55859054820416</v>
      </c>
      <c r="CG216" s="145" t="e">
        <f ca="1">Table7[[#This Row],[Total TI (mW)]]/10^3</f>
        <v>#VALUE!</v>
      </c>
      <c r="CH216" s="145" t="e">
        <f ca="1">Table7[[#This Row],[Total Sense Loss]]+Table7[[#This Row],[Total MOSFET Loss]]</f>
        <v>#VALUE!</v>
      </c>
      <c r="CI216" s="149" t="e">
        <f ca="1">IF(Table7[[#This Row],[POUT (W)]]=0,0,(Table7[[#This Row],[POUT (W)]])/(Table7[[#This Row],[POUT (W)]]+Table7[[#This Row],[Total Power Loss (W)]]))*100</f>
        <v>#VALUE!</v>
      </c>
      <c r="CJ216" s="153"/>
      <c r="CK216" s="145">
        <f>(Table7[[#This Row],[R_AC (mW)]]+Table7[[#This Row],[R_SR (mW)]]+Table7[[#This Row],[Inductor Loss (mW)]])/10^3</f>
        <v>5.55859054820416</v>
      </c>
      <c r="CL216" s="145">
        <f>Table7[[#This Row],[Total (mW) C]]/10^3</f>
        <v>2.9507485203775095</v>
      </c>
      <c r="CM216" s="145">
        <f>Table7[[#This Row],[Total Sense Loss C]]+Table7[[#This Row],[Total MOSFET Loss C]]</f>
        <v>8.509339068581669</v>
      </c>
      <c r="CN216" s="149">
        <f>IF(Table7[[#This Row],[POUT (W)]]=0,0,(Table7[[#This Row],[POUT (W)]])/(Table7[[#This Row],[POUT (W)]]+Table7[[#This Row],[Total Power Loss (W) C]]))*100</f>
        <v>98.940820016550504</v>
      </c>
      <c r="CO216" s="153"/>
      <c r="CP216" s="149">
        <f>IF(MOSFET_S=Custom_MOSFET,Table7[[#This Row],[Total Sense Loss C]],Table7[[#This Row],[Total Sense Loss]])</f>
        <v>5.55859054820416</v>
      </c>
      <c r="CQ216" s="149">
        <f>IF(MOSFET_S=Custom_MOSFET,Table7[[#This Row],[Total MOSFET Loss C]],Table7[[#This Row],[Total MOSFET Loss]])</f>
        <v>2.9507485203775095</v>
      </c>
      <c r="CR216" s="149">
        <f>IF(MOSFET_S=Custom_MOSFET,Table7[[#This Row],[Efficiency C]],Table7[[#This Row],[Efficiency]])</f>
        <v>98.940820016550504</v>
      </c>
      <c r="CS216" s="153"/>
      <c r="CT216" s="149">
        <f>IF(MOSFET_S=Compare_MOSFET, Table7[[#This Row],[Total Sense Loss C]], -100)</f>
        <v>-100</v>
      </c>
      <c r="CU216" s="149">
        <f>IF(MOSFET_S=Compare_MOSFET, Table7[[#This Row],[Total MOSFET Loss C]], -100)</f>
        <v>-100</v>
      </c>
      <c r="CV216" s="149">
        <f>IF(MOSFET_S=Compare_MOSFET, Table7[[#This Row],[Efficiency C]], -100)</f>
        <v>-100</v>
      </c>
      <c r="CW216" s="153"/>
      <c r="CX216" s="149">
        <f ca="1">IF(Save_Sel=CLR_Save,  Table7[[#This Row],[Total Sense Loss P1]], Table7[[#This Row],[Total Sense Loss P1 Saved]])</f>
        <v>5.55859054820416</v>
      </c>
      <c r="CY216" s="149">
        <f ca="1">IF(Save_Sel=CLR_Save,  Table7[[#This Row],[Total MOSFET Loss P1]], Table7[[#This Row],[Total MOSFET Loss P1 Saved]] )</f>
        <v>2.9507485203775095</v>
      </c>
      <c r="CZ216" s="149">
        <f ca="1">IF(Save_Sel=CLR_Save, Table7[[#This Row],[Efficiency P1]], Table7[[#This Row],[Efficiency P1 Saved]])</f>
        <v>98.940820016550504</v>
      </c>
      <c r="DA216" s="153"/>
      <c r="DB216" s="149">
        <f ca="1">IF(Save_Sel=CLR_Save,  Table7[[#This Row],[Total Sense Loss P2]], Table7[[#This Row],[Total Sense Loss P2 Saved]])</f>
        <v>-100</v>
      </c>
      <c r="DC216" s="149">
        <f ca="1">IF(Save_Sel=CLR_Save,  Table7[[#This Row],[Total MOSFET Loss P2]], Table7[[#This Row],[Total MOSFET Loss P2 Saved]] )</f>
        <v>-100</v>
      </c>
      <c r="DD216" s="149">
        <f ca="1">IF(Save_Sel=CLR_Save, Table7[[#This Row],[Efficiency P2]], Table7[[#This Row],[Efficiency P2 Saved]])</f>
        <v>-100</v>
      </c>
      <c r="DE216" s="153"/>
      <c r="DF216" s="19"/>
      <c r="DG216" s="19"/>
      <c r="DH216" s="19"/>
      <c r="DI216" s="19"/>
      <c r="DJ216" s="19"/>
      <c r="DK216" s="19"/>
      <c r="DL216" s="19"/>
      <c r="DM216" s="19"/>
      <c r="DN216" s="19"/>
      <c r="DO216" s="19"/>
      <c r="DP216" s="19"/>
      <c r="DQ216" s="19"/>
      <c r="DR216" s="19"/>
      <c r="DS216" s="19"/>
      <c r="DT216" s="19"/>
      <c r="DU216" s="19"/>
      <c r="DV216" s="19"/>
      <c r="DW216" s="19"/>
      <c r="DX216" s="19"/>
      <c r="DY216" s="19"/>
      <c r="DZ216" s="19"/>
      <c r="EA216" s="19"/>
      <c r="EB216" s="19"/>
      <c r="EC216" s="19"/>
      <c r="ED216" s="19"/>
      <c r="EE216" s="19"/>
      <c r="EF216" s="19"/>
      <c r="EG216" s="19"/>
      <c r="EH216" s="19"/>
      <c r="EI216" s="19"/>
      <c r="EJ216" s="19"/>
      <c r="EK216" s="19"/>
      <c r="EL216" s="19"/>
      <c r="EM216" s="19"/>
      <c r="EN216" s="19"/>
      <c r="EO216" s="19"/>
      <c r="EP216" s="19"/>
      <c r="EQ216" s="19"/>
      <c r="ER216" s="19"/>
      <c r="ES216" s="19"/>
      <c r="ET216" s="19"/>
      <c r="EU216" s="19"/>
      <c r="EV216" s="19"/>
      <c r="EW216" s="19"/>
      <c r="EX216" s="19"/>
      <c r="EY216" s="19"/>
      <c r="EZ216" s="19"/>
      <c r="FA216" s="19"/>
      <c r="FB216" s="19"/>
      <c r="FC216" s="19"/>
      <c r="FD216" s="19"/>
      <c r="FE216" s="19"/>
      <c r="FF216" s="19"/>
      <c r="FG216" s="19"/>
      <c r="FH216" s="19"/>
      <c r="FI216" s="19"/>
    </row>
    <row r="217" spans="1:165" x14ac:dyDescent="0.25">
      <c r="A217" s="32"/>
      <c r="B217" s="49"/>
      <c r="C217" s="49"/>
      <c r="D217" s="32"/>
      <c r="E217" s="66"/>
      <c r="F217" s="66"/>
      <c r="G217" s="49"/>
      <c r="H217" s="29"/>
      <c r="I217" s="29"/>
      <c r="J217" s="29"/>
      <c r="K217" s="29"/>
      <c r="L217" s="29"/>
      <c r="M217" s="29"/>
      <c r="N217" s="29"/>
      <c r="O217" s="29"/>
      <c r="P217" s="29"/>
      <c r="Q217" s="29"/>
      <c r="R217" s="29"/>
      <c r="S217" s="30"/>
      <c r="T217" s="18"/>
      <c r="U217" s="19"/>
      <c r="V217" s="19"/>
      <c r="W217" s="19"/>
      <c r="X217" s="19"/>
      <c r="Y217" s="19"/>
      <c r="Z217" s="19"/>
      <c r="AA217" s="19"/>
      <c r="AB217" s="19"/>
      <c r="AC217" s="19"/>
      <c r="AD217" s="19"/>
      <c r="AE217" s="19"/>
      <c r="AF217" s="143">
        <f t="shared" si="17"/>
        <v>61</v>
      </c>
      <c r="AG217" s="143">
        <f t="shared" si="39"/>
        <v>21.96</v>
      </c>
      <c r="AH217" s="144">
        <f t="shared" si="28"/>
        <v>808.12799999999993</v>
      </c>
      <c r="AI217" s="145">
        <f t="shared" si="29"/>
        <v>0.97826086956521752</v>
      </c>
      <c r="AJ217" s="145">
        <f t="shared" si="30"/>
        <v>21.482608695652178</v>
      </c>
      <c r="AK217" s="145">
        <f t="shared" ref="AK217:AK248" si="40">Ipkpk_VACnom</f>
        <v>0.39130434782608459</v>
      </c>
      <c r="AL217" s="145">
        <f t="shared" ref="AL217:AL248" si="41">SQRT(AJ217^2+AK217^2/12)</f>
        <v>21.482905676255626</v>
      </c>
      <c r="AM217" s="146"/>
      <c r="AN217" s="145">
        <f>MAX(0,Table7[[#This Row],[I_L]]-0.5*Table7[[#This Row],[I_L pkpk]])</f>
        <v>21.286956521739135</v>
      </c>
      <c r="AO217" s="145">
        <f>Table7[[#This Row],[I_L]]+0.5*Table7[[#This Row],[I_L pkpk]]</f>
        <v>21.678260869565221</v>
      </c>
      <c r="AP217" s="145">
        <f ca="1">IF(VACnom&gt;Vbat, (VGS_S-(TI_MOSFET_S_VTH_H_BU+Table7[[#This Row],[I_L]]/TI_MOSFET_S_gFS_H_BU))/3.4, (VGS_S-(TI_MOSFET_S_VTH_L_BO+Table7[[#This Row],[I_L]]/TI_MOSFET_S_gFS_L_BO))/3.4 )</f>
        <v>2.9661026952587055</v>
      </c>
      <c r="AQ217" s="145">
        <f ca="1">IF(VACnom&gt;Vbat, ((TI_MOSFET_S_VTH_H_BU+Table7[[#This Row],[I_L]]/TI_MOSFET_S_gFS_H_BU))/1, ((TI_MOSFET_S_VTH_L_BO+Table7[[#This Row],[I_L]]/TI_MOSFET_S_gFS_L_BO))/1 )</f>
        <v>1.9152508361204013</v>
      </c>
      <c r="AR217" s="145">
        <f ca="1">IF(VACnom&gt;Vbat, (TI_MOSFET_S_QGD_H_BU+TI_MOSFET_S_QGS_H_BU)*10^-9/Table7[[#This Row],[Ion (A)]], (TI_MOSFET_S_QGD_L_BO+TI_MOSFET_S_QGS_L_BO)*10^-9/Table7[[#This Row],[Ion (A)]])/10^-9</f>
        <v>9.7097110110302651</v>
      </c>
      <c r="AS217" s="145">
        <f ca="1">IF(VACnom&gt;Vbat, (TI_MOSFET_S_QGD_H_BU+TI_MOSFET_S_QGS_H_BU)*10^-9/Table7[[#This Row],[Ioff (A)]], (TI_MOSFET_S_QGD_L_BO+TI_MOSFET_S_QGS_L_BO)*10^-9/Table7[[#This Row],[Ioff (A)]])/10^-9</f>
        <v>15.037194845108791</v>
      </c>
      <c r="AT217" s="145">
        <f ca="1" xml:space="preserve"> 0.5*VACnom*Table7[[#This Row],[Ivalley (A)]]*Table7[[#This Row],[ton (ns)]]*10^-9*Fsw*10^3+0.5*VACnom*Table7[[#This Row],[Ipeak (A)]]*Table7[[#This Row],[toff (ns)]]*10^-9*Fsw*10^3/10^-3</f>
        <v>1200.3678758851595</v>
      </c>
      <c r="AU217" s="145">
        <f t="shared" ca="1" si="31"/>
        <v>268.64000000000004</v>
      </c>
      <c r="AV217" s="145" t="e">
        <f t="shared" si="32"/>
        <v>#VALUE!</v>
      </c>
      <c r="AW217" s="145">
        <f t="shared" ca="1" si="33"/>
        <v>566.72000000000025</v>
      </c>
      <c r="AX217" s="145">
        <f ca="1">IF(VACnom&gt;Vbat, TI_MOSFET_S_VSD_L_BU*Table7[[#This Row],[Ivalley (A)]]*Fsw*10^3*40*10^-9+TI_MOSFET_S_VSD_L_BU*Table7[[#This Row],[Ipeak (A)]]*Fsw*10^3*30*10^-9, TI_MOSFET_S_VSD_H_BO*Table7[[#This Row],[Ivalley (A)]]*Fsw*10^3*40*10^-9+TI_MOSFET_S_VSD_H_BO*Table7[[#This Row],[Ipeak (A)]]*Fsw*10^3*30*10^-9)/10^-3</f>
        <v>216.2629565217392</v>
      </c>
      <c r="AY217" s="145" t="e">
        <f t="shared" si="34"/>
        <v>#VALUE!</v>
      </c>
      <c r="AZ217" s="145" t="e">
        <f>IF(VACnom&lt;Vbat, Table7[[#This Row],[Duty Cycle]]*Table7[[#This Row],[I_L RMS]]^2*TI_MOSFET_S_RDSON_H_BU*10^-3, (1-Table7[[#This Row],[Duty Cycle]])*Table7[[#This Row],[I_L RMS]]^2*TI_MOSFET_S_RDSON_H_BO*10^-3)/10^-3</f>
        <v>#VALUE!</v>
      </c>
      <c r="BA217" s="145" t="e">
        <f ca="1">IF(VACnom&gt;Vbat, Table7[[#This Row],[PIV (mW)]]+Table7[[#This Row],[Pqoss (mW)]]+Table7[[#This Row],[Pgate_top (mW)]], Table7[[#This Row],[PRR (mW)]]+Table7[[#This Row],[Pdead (mW)]]+Table7[[#This Row],[Pgate_top (mW)]])</f>
        <v>#VALUE!</v>
      </c>
      <c r="BB217" s="145" t="e">
        <f ca="1">Table7[[#This Row],[Pcon_top (mW)]]+Table7[[#This Row],[Psw_top (mW)]]</f>
        <v>#VALUE!</v>
      </c>
      <c r="BC217" s="145" t="e">
        <f>IF(VACnom&gt;Vbat, (1-Table7[[#This Row],[Duty Cycle]])*Table7[[#This Row],[I_L RMS]]^2*TI_MOSFET_S_RDSON_L_BU*10^-3, Table7[[#This Row],[Duty Cycle]]*Table7[[#This Row],[I_L RMS]]^2*TI_MOSFET_S_RDSON_L_BO*10^-3)/10^-3</f>
        <v>#VALUE!</v>
      </c>
      <c r="BD217" s="145" t="e">
        <f ca="1">IF(VACnom&gt;Vbat, Table7[[#This Row],[PRR (mW)]]+Table7[[#This Row],[Pdead (mW)]]+Table7[[#This Row],[Pgate_bottom (mW)]], Table7[[#This Row],[PIV (mW)]]+Table7[[#This Row],[Pqoss (mW)]]+Table7[[#This Row],[Pgate_bottom (mW)]])</f>
        <v>#VALUE!</v>
      </c>
      <c r="BE217" s="147" t="e">
        <f ca="1">Table7[[#This Row],[Pcon_bottom (mW)]]+Table7[[#This Row],[Psw_bottom (mW)]]</f>
        <v>#VALUE!</v>
      </c>
      <c r="BF217" s="145" t="e">
        <f ca="1">Table7[[#This Row],[Pbottom (mW)]]+Table7[[#This Row],[Ptop (mW)]]</f>
        <v>#VALUE!</v>
      </c>
      <c r="BG217" s="142"/>
      <c r="BH217" s="145">
        <f>MAX(0,Table7[[#This Row],[I_L]]-0.5*Table7[[#This Row],[I_L pkpk]])</f>
        <v>21.286956521739135</v>
      </c>
      <c r="BI217" s="145">
        <f>Table7[[#This Row],[I_L]]+0.5*Table7[[#This Row],[I_L pkpk]]</f>
        <v>21.678260869565221</v>
      </c>
      <c r="BJ217" s="145">
        <f>IF(VACnom&gt;Vbat, (VGS_S-(C_MOSFET_S_VTH_H_BU+Table7[[#This Row],[I_L]]/C_MOSFET_S_gFS_H_BU))/3.4, (VGS_S-(C_MOSFET_S_VTH_L_BO+Table7[[#This Row],[I_L]]/C_MOSFET_S_gFS_L_BO))/3.4 )</f>
        <v>2.9161191463091987</v>
      </c>
      <c r="BK217" s="145">
        <f>IF(VACnom&gt;Vbat, ((C_MOSFET_S_VTH_H_BU+Table7[[#This Row],[I_L]]/C_MOSFET_S_gFS_H_BU))/1, ((C_MOSFET_S_VTH_L_BO+Table7[[#This Row],[I_L]]/C_MOSFET_S_gFS_L_BO))/1 )</f>
        <v>2.0851949025487255</v>
      </c>
      <c r="BL217" s="145">
        <f>IF(VACnom&gt;Vbat, (C_MOSFET_S_QGD_H_BU+C_MOSFET_S_QGS_H_BU)*10^-9/Table7[[#This Row],[Ion (A) C]], (C_MOSFET_S_QGD_L_BO+C_MOSFET_S_QGS_L_BO)*10^-9/Table7[[#This Row],[Ion (A) C]])/10^-9</f>
        <v>5.3152835060315198</v>
      </c>
      <c r="BM217" s="145">
        <f>IF(VACnom&gt;Vbat, (C_MOSFET_S_QGD_H_BU+C_MOSFET_S_QGS_H_BU)*10^-9/Table7[[#This Row],[Ioff (A) C]], (C_MOSFET_S_QGD_L_BO+C_MOSFET_S_QGS_L_BO)*10^-9/Table7[[#This Row],[Ioff (A) C]])/10^-9</f>
        <v>7.4333578990886702</v>
      </c>
      <c r="BN217" s="145">
        <f xml:space="preserve"> 0.5*VACnom*Table7[[#This Row],[Ivalley (A) C]]*Table7[[#This Row],[ton (ns) C]]*10^-9*Fsw*10^3+0.5*VACnom*Table7[[#This Row],[Ipeak (A) C]]*Table7[[#This Row],[toff (ns) C]]*10^-9*Fsw*10^3/10^-3</f>
        <v>593.41993780642645</v>
      </c>
      <c r="BO217" s="145">
        <f t="shared" si="35"/>
        <v>305.44000000000011</v>
      </c>
      <c r="BP217" s="145">
        <f t="shared" si="36"/>
        <v>357.69600000000014</v>
      </c>
      <c r="BQ217" s="145">
        <f t="shared" si="37"/>
        <v>1067.2000000000003</v>
      </c>
      <c r="BR217" s="145">
        <f>IF(VACnom&gt;Vbat, C_MOSFET_S_VSD_L_BU*Table7[[#This Row],[Ivalley (A) C]]*Fsw*10^3*40*10^-9+C_MOSFET_S_VSD_L_BU*Table7[[#This Row],[Ipeak (A) C]]*Fsw*10^3*30*10^-9, C_MOSFET_S_VSD_H_BO*Table7[[#This Row],[Ivalley (A) C]]*Fsw*10^3*40*10^-9+C_MOSFET_S_VSD_H_BO*Table7[[#This Row],[Ipeak (A) C]]*Fsw*10^3*30*10^-9)/10^-3</f>
        <v>240.2921739130436</v>
      </c>
      <c r="BS217" s="145">
        <f t="shared" si="38"/>
        <v>357.69600000000014</v>
      </c>
      <c r="BT217" s="145">
        <f>IF(VACnom&lt;Vbat, Table7[[#This Row],[Duty Cycle]]*Table7[[#This Row],[I_L RMS]]^2*C_MOSFET_S_RDSON_H_BU*10^-3, (1-Table7[[#This Row],[Duty Cycle]])*Table7[[#This Row],[I_L RMS]]^2*C_MOSFET_S_RDSON_H_BO*10^-3)/10^-3</f>
        <v>26.085643790580942</v>
      </c>
      <c r="BU217" s="145">
        <f>IF(VACnom&gt;Vbat, Table7[[#This Row],[PIV (mW) C]]+Table7[[#This Row],[PQoss (mW) C]]+Table7[[#This Row],[Pgate_top (mW) C]], Table7[[#This Row],[PRR (mW) C]]+Table7[[#This Row],[Pdead (mW) C]]+Table7[[#This Row],[Pgate_top (mW) C]])</f>
        <v>1256.5559378064268</v>
      </c>
      <c r="BV217" s="145">
        <f>Table7[[#This Row],[Pcon_top (mW) C]]+Table7[[#This Row],[Psw_top (mW) C]]</f>
        <v>1282.6415815970076</v>
      </c>
      <c r="BW217" s="145">
        <f>IF(VACnom&gt;Vbat, (1-Table7[[#This Row],[Duty Cycle]])*Table7[[#This Row],[I_L RMS]]^2*C_MOSFET_S_RDSON_L_BU*10^-3, Table7[[#This Row],[Duty Cycle]]*Table7[[#This Row],[I_L RMS]]^2*C_MOSFET_S_RDSON_L_BO*10^-3)/10^-3</f>
        <v>17.055997863072154</v>
      </c>
      <c r="BX217" s="145">
        <f>IF(VACnom&gt;Vbat, Table7[[#This Row],[PRR (mW) C]]+Table7[[#This Row],[Pdead (mW) C]]+Table7[[#This Row],[Pgate_bottom (mW) C]], Table7[[#This Row],[PIV (mW) C]]+Table7[[#This Row],[PQoss (mW) C]]+Table7[[#This Row],[Pgate_bottom (mW) C]])</f>
        <v>1665.188173913044</v>
      </c>
      <c r="BY217" s="145">
        <f>Table7[[#This Row],[Pcon_bottom (mW) C]]+Table7[[#This Row],[Psw_bottom (mV) C]]</f>
        <v>1682.2441717761162</v>
      </c>
      <c r="BZ217" s="145">
        <f>Table7[[#This Row],[Pbottom (mW) C]]+Table7[[#This Row],[Ptop (mW) C]]</f>
        <v>2964.8857533731239</v>
      </c>
      <c r="CA217" s="148"/>
      <c r="CB217" s="144">
        <f>(RAC_SNS*10^-3*(Table7[[#This Row],[IOUT (A)]]*Vbat/VACnom)^2/10^-3)</f>
        <v>923.00495274102116</v>
      </c>
      <c r="CC217" s="144">
        <f>(RBAT_SNS*10^-3*Table7[[#This Row],[IOUT (A)]]^2)/10^-3</f>
        <v>2411.2080000000001</v>
      </c>
      <c r="CD217" s="144">
        <f>IF(VACnom&gt;Vbat,(L_DRC*10^-3*(Table7[[#This Row],[IOUT (A)]])^2/10^-3),(L_DRC*10^-3*(Table7[[#This Row],[IOUT (A)]]*Vbat/VACnom)^2/10^-3))</f>
        <v>2411.2080000000001</v>
      </c>
      <c r="CE217" s="152"/>
      <c r="CF217" s="145">
        <f>(Table7[[#This Row],[R_AC (mW)]]+Table7[[#This Row],[R_SR (mW)]]+Table7[[#This Row],[Inductor Loss (mW)]])/10^3</f>
        <v>5.7454209527410214</v>
      </c>
      <c r="CG217" s="145" t="e">
        <f ca="1">Table7[[#This Row],[Total TI (mW)]]/10^3</f>
        <v>#VALUE!</v>
      </c>
      <c r="CH217" s="145" t="e">
        <f ca="1">Table7[[#This Row],[Total Sense Loss]]+Table7[[#This Row],[Total MOSFET Loss]]</f>
        <v>#VALUE!</v>
      </c>
      <c r="CI217" s="149" t="e">
        <f ca="1">IF(Table7[[#This Row],[POUT (W)]]=0,0,(Table7[[#This Row],[POUT (W)]])/(Table7[[#This Row],[POUT (W)]]+Table7[[#This Row],[Total Power Loss (W)]]))*100</f>
        <v>#VALUE!</v>
      </c>
      <c r="CJ217" s="153"/>
      <c r="CK217" s="145">
        <f>(Table7[[#This Row],[R_AC (mW)]]+Table7[[#This Row],[R_SR (mW)]]+Table7[[#This Row],[Inductor Loss (mW)]])/10^3</f>
        <v>5.7454209527410214</v>
      </c>
      <c r="CL217" s="145">
        <f>Table7[[#This Row],[Total (mW) C]]/10^3</f>
        <v>2.9648857533731237</v>
      </c>
      <c r="CM217" s="145">
        <f>Table7[[#This Row],[Total Sense Loss C]]+Table7[[#This Row],[Total MOSFET Loss C]]</f>
        <v>8.7103067061141459</v>
      </c>
      <c r="CN217" s="149">
        <f>IF(Table7[[#This Row],[POUT (W)]]=0,0,(Table7[[#This Row],[POUT (W)]])/(Table7[[#This Row],[POUT (W)]]+Table7[[#This Row],[Total Power Loss (W) C]]))*100</f>
        <v>98.933655947008873</v>
      </c>
      <c r="CO217" s="153"/>
      <c r="CP217" s="149">
        <f>IF(MOSFET_S=Custom_MOSFET,Table7[[#This Row],[Total Sense Loss C]],Table7[[#This Row],[Total Sense Loss]])</f>
        <v>5.7454209527410214</v>
      </c>
      <c r="CQ217" s="149">
        <f>IF(MOSFET_S=Custom_MOSFET,Table7[[#This Row],[Total MOSFET Loss C]],Table7[[#This Row],[Total MOSFET Loss]])</f>
        <v>2.9648857533731237</v>
      </c>
      <c r="CR217" s="149">
        <f>IF(MOSFET_S=Custom_MOSFET,Table7[[#This Row],[Efficiency C]],Table7[[#This Row],[Efficiency]])</f>
        <v>98.933655947008873</v>
      </c>
      <c r="CS217" s="153"/>
      <c r="CT217" s="149">
        <f>IF(MOSFET_S=Compare_MOSFET, Table7[[#This Row],[Total Sense Loss C]], -100)</f>
        <v>-100</v>
      </c>
      <c r="CU217" s="149">
        <f>IF(MOSFET_S=Compare_MOSFET, Table7[[#This Row],[Total MOSFET Loss C]], -100)</f>
        <v>-100</v>
      </c>
      <c r="CV217" s="149">
        <f>IF(MOSFET_S=Compare_MOSFET, Table7[[#This Row],[Efficiency C]], -100)</f>
        <v>-100</v>
      </c>
      <c r="CW217" s="153"/>
      <c r="CX217" s="149">
        <f ca="1">IF(Save_Sel=CLR_Save,  Table7[[#This Row],[Total Sense Loss P1]], Table7[[#This Row],[Total Sense Loss P1 Saved]])</f>
        <v>5.7454209527410214</v>
      </c>
      <c r="CY217" s="149">
        <f ca="1">IF(Save_Sel=CLR_Save,  Table7[[#This Row],[Total MOSFET Loss P1]], Table7[[#This Row],[Total MOSFET Loss P1 Saved]] )</f>
        <v>2.9648857533731237</v>
      </c>
      <c r="CZ217" s="149">
        <f ca="1">IF(Save_Sel=CLR_Save, Table7[[#This Row],[Efficiency P1]], Table7[[#This Row],[Efficiency P1 Saved]])</f>
        <v>98.933655947008873</v>
      </c>
      <c r="DA217" s="153"/>
      <c r="DB217" s="149">
        <f ca="1">IF(Save_Sel=CLR_Save,  Table7[[#This Row],[Total Sense Loss P2]], Table7[[#This Row],[Total Sense Loss P2 Saved]])</f>
        <v>-100</v>
      </c>
      <c r="DC217" s="149">
        <f ca="1">IF(Save_Sel=CLR_Save,  Table7[[#This Row],[Total MOSFET Loss P2]], Table7[[#This Row],[Total MOSFET Loss P2 Saved]] )</f>
        <v>-100</v>
      </c>
      <c r="DD217" s="149">
        <f ca="1">IF(Save_Sel=CLR_Save, Table7[[#This Row],[Efficiency P2]], Table7[[#This Row],[Efficiency P2 Saved]])</f>
        <v>-100</v>
      </c>
      <c r="DE217" s="153"/>
      <c r="DF217" s="19"/>
      <c r="DG217" s="19"/>
      <c r="DH217" s="19"/>
      <c r="DI217" s="19"/>
      <c r="DJ217" s="19"/>
      <c r="DK217" s="19"/>
      <c r="DL217" s="19"/>
      <c r="DM217" s="19"/>
      <c r="DN217" s="19"/>
      <c r="DO217" s="19"/>
      <c r="DP217" s="19"/>
      <c r="DQ217" s="19"/>
      <c r="DR217" s="19"/>
      <c r="DS217" s="19"/>
      <c r="DT217" s="19"/>
      <c r="DU217" s="19"/>
      <c r="DV217" s="19"/>
      <c r="DW217" s="19"/>
      <c r="DX217" s="19"/>
      <c r="DY217" s="19"/>
      <c r="DZ217" s="19"/>
      <c r="EA217" s="19"/>
      <c r="EB217" s="19"/>
      <c r="EC217" s="19"/>
      <c r="ED217" s="19"/>
      <c r="EE217" s="19"/>
      <c r="EF217" s="19"/>
      <c r="EG217" s="19"/>
      <c r="EH217" s="19"/>
      <c r="EI217" s="19"/>
      <c r="EJ217" s="19"/>
      <c r="EK217" s="19"/>
      <c r="EL217" s="19"/>
      <c r="EM217" s="19"/>
      <c r="EN217" s="19"/>
      <c r="EO217" s="19"/>
      <c r="EP217" s="19"/>
      <c r="EQ217" s="19"/>
      <c r="ER217" s="19"/>
      <c r="ES217" s="19"/>
      <c r="ET217" s="19"/>
      <c r="EU217" s="19"/>
      <c r="EV217" s="19"/>
      <c r="EW217" s="19"/>
      <c r="EX217" s="19"/>
      <c r="EY217" s="19"/>
      <c r="EZ217" s="19"/>
      <c r="FA217" s="19"/>
      <c r="FB217" s="19"/>
      <c r="FC217" s="19"/>
      <c r="FD217" s="19"/>
      <c r="FE217" s="19"/>
      <c r="FF217" s="19"/>
      <c r="FG217" s="19"/>
      <c r="FH217" s="19"/>
      <c r="FI217" s="19"/>
    </row>
    <row r="218" spans="1:165" x14ac:dyDescent="0.25">
      <c r="A218" s="32"/>
      <c r="B218" s="49"/>
      <c r="C218" s="49"/>
      <c r="D218" s="32"/>
      <c r="E218" s="66"/>
      <c r="F218" s="66"/>
      <c r="G218" s="49"/>
      <c r="H218" s="29"/>
      <c r="I218" s="29"/>
      <c r="J218" s="29"/>
      <c r="K218" s="29"/>
      <c r="L218" s="29"/>
      <c r="M218" s="29"/>
      <c r="N218" s="29"/>
      <c r="O218" s="29"/>
      <c r="P218" s="29"/>
      <c r="Q218" s="29"/>
      <c r="R218" s="29"/>
      <c r="S218" s="30"/>
      <c r="T218" s="18"/>
      <c r="U218" s="19"/>
      <c r="V218" s="19"/>
      <c r="W218" s="19"/>
      <c r="X218" s="19"/>
      <c r="Y218" s="19"/>
      <c r="Z218" s="19"/>
      <c r="AA218" s="19"/>
      <c r="AB218" s="19"/>
      <c r="AC218" s="19"/>
      <c r="AD218" s="19"/>
      <c r="AE218" s="19"/>
      <c r="AF218" s="143">
        <f t="shared" si="17"/>
        <v>62</v>
      </c>
      <c r="AG218" s="143">
        <f t="shared" si="39"/>
        <v>22.32</v>
      </c>
      <c r="AH218" s="144">
        <f t="shared" si="28"/>
        <v>821.37599999999998</v>
      </c>
      <c r="AI218" s="145">
        <f t="shared" si="29"/>
        <v>0.97826086956521752</v>
      </c>
      <c r="AJ218" s="145">
        <f t="shared" si="30"/>
        <v>21.834782608695654</v>
      </c>
      <c r="AK218" s="145">
        <f t="shared" si="40"/>
        <v>0.39130434782608459</v>
      </c>
      <c r="AL218" s="145">
        <f t="shared" si="41"/>
        <v>21.835074799353993</v>
      </c>
      <c r="AM218" s="146"/>
      <c r="AN218" s="145">
        <f>MAX(0,Table7[[#This Row],[I_L]]-0.5*Table7[[#This Row],[I_L pkpk]])</f>
        <v>21.639130434782611</v>
      </c>
      <c r="AO218" s="145">
        <f>Table7[[#This Row],[I_L]]+0.5*Table7[[#This Row],[I_L pkpk]]</f>
        <v>22.030434782608697</v>
      </c>
      <c r="AP218" s="145">
        <f ca="1">IF(VACnom&gt;Vbat, (VGS_S-(TI_MOSFET_S_VTH_H_BU+Table7[[#This Row],[I_L]]/TI_MOSFET_S_gFS_H_BU))/3.4, (VGS_S-(TI_MOSFET_S_VTH_L_BO+Table7[[#This Row],[I_L]]/TI_MOSFET_S_gFS_L_BO))/3.4 )</f>
        <v>2.9653059216997835</v>
      </c>
      <c r="AQ218" s="145">
        <f ca="1">IF(VACnom&gt;Vbat, ((TI_MOSFET_S_VTH_H_BU+Table7[[#This Row],[I_L]]/TI_MOSFET_S_gFS_H_BU))/1, ((TI_MOSFET_S_VTH_L_BO+Table7[[#This Row],[I_L]]/TI_MOSFET_S_gFS_L_BO))/1 )</f>
        <v>1.9179598662207358</v>
      </c>
      <c r="AR218" s="145">
        <f ca="1">IF(VACnom&gt;Vbat, (TI_MOSFET_S_QGD_H_BU+TI_MOSFET_S_QGS_H_BU)*10^-9/Table7[[#This Row],[Ion (A)]], (TI_MOSFET_S_QGD_L_BO+TI_MOSFET_S_QGS_L_BO)*10^-9/Table7[[#This Row],[Ion (A)]])/10^-9</f>
        <v>9.7123199968154239</v>
      </c>
      <c r="AS218" s="145">
        <f ca="1">IF(VACnom&gt;Vbat, (TI_MOSFET_S_QGD_H_BU+TI_MOSFET_S_QGS_H_BU)*10^-9/Table7[[#This Row],[Ioff (A)]], (TI_MOSFET_S_QGD_L_BO+TI_MOSFET_S_QGS_L_BO)*10^-9/Table7[[#This Row],[Ioff (A)]])/10^-9</f>
        <v>15.015955498979894</v>
      </c>
      <c r="AT218" s="145">
        <f ca="1" xml:space="preserve"> 0.5*VACnom*Table7[[#This Row],[Ivalley (A)]]*Table7[[#This Row],[ton (ns)]]*10^-9*Fsw*10^3+0.5*VACnom*Table7[[#This Row],[Ipeak (A)]]*Table7[[#This Row],[toff (ns)]]*10^-9*Fsw*10^3/10^-3</f>
        <v>1218.1469556792847</v>
      </c>
      <c r="AU218" s="145">
        <f t="shared" ca="1" si="31"/>
        <v>268.64000000000004</v>
      </c>
      <c r="AV218" s="145" t="e">
        <f t="shared" si="32"/>
        <v>#VALUE!</v>
      </c>
      <c r="AW218" s="145">
        <f t="shared" ca="1" si="33"/>
        <v>566.72000000000025</v>
      </c>
      <c r="AX218" s="145">
        <f ca="1">IF(VACnom&gt;Vbat, TI_MOSFET_S_VSD_L_BU*Table7[[#This Row],[Ivalley (A)]]*Fsw*10^3*40*10^-9+TI_MOSFET_S_VSD_L_BU*Table7[[#This Row],[Ipeak (A)]]*Fsw*10^3*30*10^-9, TI_MOSFET_S_VSD_H_BO*Table7[[#This Row],[Ivalley (A)]]*Fsw*10^3*40*10^-9+TI_MOSFET_S_VSD_H_BO*Table7[[#This Row],[Ipeak (A)]]*Fsw*10^3*30*10^-9)/10^-3</f>
        <v>219.81286956521748</v>
      </c>
      <c r="AY218" s="145" t="e">
        <f t="shared" si="34"/>
        <v>#VALUE!</v>
      </c>
      <c r="AZ218" s="145" t="e">
        <f>IF(VACnom&lt;Vbat, Table7[[#This Row],[Duty Cycle]]*Table7[[#This Row],[I_L RMS]]^2*TI_MOSFET_S_RDSON_H_BU*10^-3, (1-Table7[[#This Row],[Duty Cycle]])*Table7[[#This Row],[I_L RMS]]^2*TI_MOSFET_S_RDSON_H_BO*10^-3)/10^-3</f>
        <v>#VALUE!</v>
      </c>
      <c r="BA218" s="145" t="e">
        <f ca="1">IF(VACnom&gt;Vbat, Table7[[#This Row],[PIV (mW)]]+Table7[[#This Row],[Pqoss (mW)]]+Table7[[#This Row],[Pgate_top (mW)]], Table7[[#This Row],[PRR (mW)]]+Table7[[#This Row],[Pdead (mW)]]+Table7[[#This Row],[Pgate_top (mW)]])</f>
        <v>#VALUE!</v>
      </c>
      <c r="BB218" s="145" t="e">
        <f ca="1">Table7[[#This Row],[Pcon_top (mW)]]+Table7[[#This Row],[Psw_top (mW)]]</f>
        <v>#VALUE!</v>
      </c>
      <c r="BC218" s="145" t="e">
        <f>IF(VACnom&gt;Vbat, (1-Table7[[#This Row],[Duty Cycle]])*Table7[[#This Row],[I_L RMS]]^2*TI_MOSFET_S_RDSON_L_BU*10^-3, Table7[[#This Row],[Duty Cycle]]*Table7[[#This Row],[I_L RMS]]^2*TI_MOSFET_S_RDSON_L_BO*10^-3)/10^-3</f>
        <v>#VALUE!</v>
      </c>
      <c r="BD218" s="145" t="e">
        <f ca="1">IF(VACnom&gt;Vbat, Table7[[#This Row],[PRR (mW)]]+Table7[[#This Row],[Pdead (mW)]]+Table7[[#This Row],[Pgate_bottom (mW)]], Table7[[#This Row],[PIV (mW)]]+Table7[[#This Row],[Pqoss (mW)]]+Table7[[#This Row],[Pgate_bottom (mW)]])</f>
        <v>#VALUE!</v>
      </c>
      <c r="BE218" s="147" t="e">
        <f ca="1">Table7[[#This Row],[Pcon_bottom (mW)]]+Table7[[#This Row],[Psw_bottom (mW)]]</f>
        <v>#VALUE!</v>
      </c>
      <c r="BF218" s="145" t="e">
        <f ca="1">Table7[[#This Row],[Pbottom (mW)]]+Table7[[#This Row],[Ptop (mW)]]</f>
        <v>#VALUE!</v>
      </c>
      <c r="BG218" s="142"/>
      <c r="BH218" s="145">
        <f>MAX(0,Table7[[#This Row],[I_L]]-0.5*Table7[[#This Row],[I_L pkpk]])</f>
        <v>21.639130434782611</v>
      </c>
      <c r="BI218" s="145">
        <f>Table7[[#This Row],[I_L]]+0.5*Table7[[#This Row],[I_L pkpk]]</f>
        <v>22.030434782608697</v>
      </c>
      <c r="BJ218" s="145">
        <f>IF(VACnom&gt;Vbat, (VGS_S-(C_MOSFET_S_VTH_H_BU+Table7[[#This Row],[I_L]]/C_MOSFET_S_gFS_H_BU))/3.4, (VGS_S-(C_MOSFET_S_VTH_L_BO+Table7[[#This Row],[I_L]]/C_MOSFET_S_gFS_L_BO))/3.4 )</f>
        <v>2.9152262104241999</v>
      </c>
      <c r="BK218" s="145">
        <f>IF(VACnom&gt;Vbat, ((C_MOSFET_S_VTH_H_BU+Table7[[#This Row],[I_L]]/C_MOSFET_S_gFS_H_BU))/1, ((C_MOSFET_S_VTH_L_BO+Table7[[#This Row],[I_L]]/C_MOSFET_S_gFS_L_BO))/1 )</f>
        <v>2.0882308845577211</v>
      </c>
      <c r="BL218" s="145">
        <f>IF(VACnom&gt;Vbat, (C_MOSFET_S_QGD_H_BU+C_MOSFET_S_QGS_H_BU)*10^-9/Table7[[#This Row],[Ion (A) C]], (C_MOSFET_S_QGD_L_BO+C_MOSFET_S_QGS_L_BO)*10^-9/Table7[[#This Row],[Ion (A) C]])/10^-9</f>
        <v>5.3169115811923788</v>
      </c>
      <c r="BM218" s="145">
        <f>IF(VACnom&gt;Vbat, (C_MOSFET_S_QGD_H_BU+C_MOSFET_S_QGS_H_BU)*10^-9/Table7[[#This Row],[Ioff (A) C]], (C_MOSFET_S_QGD_L_BO+C_MOSFET_S_QGS_L_BO)*10^-9/Table7[[#This Row],[Ioff (A) C]])/10^-9</f>
        <v>7.4225508848763324</v>
      </c>
      <c r="BN218" s="145">
        <f xml:space="preserve"> 0.5*VACnom*Table7[[#This Row],[Ivalley (A) C]]*Table7[[#This Row],[ton (ns) C]]*10^-9*Fsw*10^3+0.5*VACnom*Table7[[#This Row],[Ipeak (A) C]]*Table7[[#This Row],[toff (ns) C]]*10^-9*Fsw*10^3/10^-3</f>
        <v>602.18444164172774</v>
      </c>
      <c r="BO218" s="145">
        <f t="shared" si="35"/>
        <v>305.44000000000011</v>
      </c>
      <c r="BP218" s="145">
        <f t="shared" si="36"/>
        <v>357.69600000000014</v>
      </c>
      <c r="BQ218" s="145">
        <f t="shared" si="37"/>
        <v>1067.2000000000003</v>
      </c>
      <c r="BR218" s="145">
        <f>IF(VACnom&gt;Vbat, C_MOSFET_S_VSD_L_BU*Table7[[#This Row],[Ivalley (A) C]]*Fsw*10^3*40*10^-9+C_MOSFET_S_VSD_L_BU*Table7[[#This Row],[Ipeak (A) C]]*Fsw*10^3*30*10^-9, C_MOSFET_S_VSD_H_BO*Table7[[#This Row],[Ivalley (A) C]]*Fsw*10^3*40*10^-9+C_MOSFET_S_VSD_H_BO*Table7[[#This Row],[Ipeak (A) C]]*Fsw*10^3*30*10^-9)/10^-3</f>
        <v>244.23652173913058</v>
      </c>
      <c r="BS218" s="145">
        <f t="shared" si="38"/>
        <v>357.69600000000014</v>
      </c>
      <c r="BT218" s="145">
        <f>IF(VACnom&lt;Vbat, Table7[[#This Row],[Duty Cycle]]*Table7[[#This Row],[I_L RMS]]^2*C_MOSFET_S_RDSON_H_BU*10^-3, (1-Table7[[#This Row],[Duty Cycle]])*Table7[[#This Row],[I_L RMS]]^2*C_MOSFET_S_RDSON_H_BO*10^-3)/10^-3</f>
        <v>26.947897345278058</v>
      </c>
      <c r="BU218" s="145">
        <f>IF(VACnom&gt;Vbat, Table7[[#This Row],[PIV (mW) C]]+Table7[[#This Row],[PQoss (mW) C]]+Table7[[#This Row],[Pgate_top (mW) C]], Table7[[#This Row],[PRR (mW) C]]+Table7[[#This Row],[Pdead (mW) C]]+Table7[[#This Row],[Pgate_top (mW) C]])</f>
        <v>1265.3204416417279</v>
      </c>
      <c r="BV218" s="145">
        <f>Table7[[#This Row],[Pcon_top (mW) C]]+Table7[[#This Row],[Psw_top (mW) C]]</f>
        <v>1292.268338987006</v>
      </c>
      <c r="BW218" s="145">
        <f>IF(VACnom&gt;Vbat, (1-Table7[[#This Row],[Duty Cycle]])*Table7[[#This Row],[I_L RMS]]^2*C_MOSFET_S_RDSON_L_BU*10^-3, Table7[[#This Row],[Duty Cycle]]*Table7[[#This Row],[I_L RMS]]^2*C_MOSFET_S_RDSON_L_BO*10^-3)/10^-3</f>
        <v>17.619779033451039</v>
      </c>
      <c r="BX218" s="145">
        <f>IF(VACnom&gt;Vbat, Table7[[#This Row],[PRR (mW) C]]+Table7[[#This Row],[Pdead (mW) C]]+Table7[[#This Row],[Pgate_bottom (mW) C]], Table7[[#This Row],[PIV (mW) C]]+Table7[[#This Row],[PQoss (mW) C]]+Table7[[#This Row],[Pgate_bottom (mW) C]])</f>
        <v>1669.1325217391311</v>
      </c>
      <c r="BY218" s="145">
        <f>Table7[[#This Row],[Pcon_bottom (mW) C]]+Table7[[#This Row],[Psw_bottom (mV) C]]</f>
        <v>1686.7523007725822</v>
      </c>
      <c r="BZ218" s="145">
        <f>Table7[[#This Row],[Pbottom (mW) C]]+Table7[[#This Row],[Ptop (mW) C]]</f>
        <v>2979.0206397595884</v>
      </c>
      <c r="CA218" s="148"/>
      <c r="CB218" s="144">
        <f>(RAC_SNS*10^-3*(Table7[[#This Row],[IOUT (A)]]*Vbat/VACnom)^2/10^-3)</f>
        <v>953.51546313799645</v>
      </c>
      <c r="CC218" s="144">
        <f>(RBAT_SNS*10^-3*Table7[[#This Row],[IOUT (A)]]^2)/10^-3</f>
        <v>2490.9120000000003</v>
      </c>
      <c r="CD218" s="144">
        <f>IF(VACnom&gt;Vbat,(L_DRC*10^-3*(Table7[[#This Row],[IOUT (A)]])^2/10^-3),(L_DRC*10^-3*(Table7[[#This Row],[IOUT (A)]]*Vbat/VACnom)^2/10^-3))</f>
        <v>2490.9120000000003</v>
      </c>
      <c r="CE218" s="152"/>
      <c r="CF218" s="145">
        <f>(Table7[[#This Row],[R_AC (mW)]]+Table7[[#This Row],[R_SR (mW)]]+Table7[[#This Row],[Inductor Loss (mW)]])/10^3</f>
        <v>5.9353394631379972</v>
      </c>
      <c r="CG218" s="145" t="e">
        <f ca="1">Table7[[#This Row],[Total TI (mW)]]/10^3</f>
        <v>#VALUE!</v>
      </c>
      <c r="CH218" s="145" t="e">
        <f ca="1">Table7[[#This Row],[Total Sense Loss]]+Table7[[#This Row],[Total MOSFET Loss]]</f>
        <v>#VALUE!</v>
      </c>
      <c r="CI218" s="149" t="e">
        <f ca="1">IF(Table7[[#This Row],[POUT (W)]]=0,0,(Table7[[#This Row],[POUT (W)]])/(Table7[[#This Row],[POUT (W)]]+Table7[[#This Row],[Total Power Loss (W)]]))*100</f>
        <v>#VALUE!</v>
      </c>
      <c r="CJ218" s="153"/>
      <c r="CK218" s="145">
        <f>(Table7[[#This Row],[R_AC (mW)]]+Table7[[#This Row],[R_SR (mW)]]+Table7[[#This Row],[Inductor Loss (mW)]])/10^3</f>
        <v>5.9353394631379972</v>
      </c>
      <c r="CL218" s="145">
        <f>Table7[[#This Row],[Total (mW) C]]/10^3</f>
        <v>2.9790206397595886</v>
      </c>
      <c r="CM218" s="145">
        <f>Table7[[#This Row],[Total Sense Loss C]]+Table7[[#This Row],[Total MOSFET Loss C]]</f>
        <v>8.9143601028975858</v>
      </c>
      <c r="CN218" s="149">
        <f>IF(Table7[[#This Row],[POUT (W)]]=0,0,(Table7[[#This Row],[POUT (W)]])/(Table7[[#This Row],[POUT (W)]]+Table7[[#This Row],[Total Power Loss (W) C]]))*100</f>
        <v>98.926356304824154</v>
      </c>
      <c r="CO218" s="153"/>
      <c r="CP218" s="149">
        <f>IF(MOSFET_S=Custom_MOSFET,Table7[[#This Row],[Total Sense Loss C]],Table7[[#This Row],[Total Sense Loss]])</f>
        <v>5.9353394631379972</v>
      </c>
      <c r="CQ218" s="149">
        <f>IF(MOSFET_S=Custom_MOSFET,Table7[[#This Row],[Total MOSFET Loss C]],Table7[[#This Row],[Total MOSFET Loss]])</f>
        <v>2.9790206397595886</v>
      </c>
      <c r="CR218" s="149">
        <f>IF(MOSFET_S=Custom_MOSFET,Table7[[#This Row],[Efficiency C]],Table7[[#This Row],[Efficiency]])</f>
        <v>98.926356304824154</v>
      </c>
      <c r="CS218" s="153"/>
      <c r="CT218" s="149">
        <f>IF(MOSFET_S=Compare_MOSFET, Table7[[#This Row],[Total Sense Loss C]], -100)</f>
        <v>-100</v>
      </c>
      <c r="CU218" s="149">
        <f>IF(MOSFET_S=Compare_MOSFET, Table7[[#This Row],[Total MOSFET Loss C]], -100)</f>
        <v>-100</v>
      </c>
      <c r="CV218" s="149">
        <f>IF(MOSFET_S=Compare_MOSFET, Table7[[#This Row],[Efficiency C]], -100)</f>
        <v>-100</v>
      </c>
      <c r="CW218" s="153"/>
      <c r="CX218" s="149">
        <f ca="1">IF(Save_Sel=CLR_Save,  Table7[[#This Row],[Total Sense Loss P1]], Table7[[#This Row],[Total Sense Loss P1 Saved]])</f>
        <v>5.9353394631379972</v>
      </c>
      <c r="CY218" s="149">
        <f ca="1">IF(Save_Sel=CLR_Save,  Table7[[#This Row],[Total MOSFET Loss P1]], Table7[[#This Row],[Total MOSFET Loss P1 Saved]] )</f>
        <v>2.9790206397595886</v>
      </c>
      <c r="CZ218" s="149">
        <f ca="1">IF(Save_Sel=CLR_Save, Table7[[#This Row],[Efficiency P1]], Table7[[#This Row],[Efficiency P1 Saved]])</f>
        <v>98.926356304824154</v>
      </c>
      <c r="DA218" s="153"/>
      <c r="DB218" s="149">
        <f ca="1">IF(Save_Sel=CLR_Save,  Table7[[#This Row],[Total Sense Loss P2]], Table7[[#This Row],[Total Sense Loss P2 Saved]])</f>
        <v>-100</v>
      </c>
      <c r="DC218" s="149">
        <f ca="1">IF(Save_Sel=CLR_Save,  Table7[[#This Row],[Total MOSFET Loss P2]], Table7[[#This Row],[Total MOSFET Loss P2 Saved]] )</f>
        <v>-100</v>
      </c>
      <c r="DD218" s="149">
        <f ca="1">IF(Save_Sel=CLR_Save, Table7[[#This Row],[Efficiency P2]], Table7[[#This Row],[Efficiency P2 Saved]])</f>
        <v>-100</v>
      </c>
      <c r="DE218" s="153"/>
      <c r="DF218" s="19"/>
      <c r="DG218" s="19"/>
      <c r="DH218" s="19"/>
      <c r="DI218" s="19"/>
      <c r="DJ218" s="19"/>
      <c r="DK218" s="19"/>
      <c r="DL218" s="19"/>
      <c r="DM218" s="19"/>
      <c r="DN218" s="19"/>
      <c r="DO218" s="19"/>
      <c r="DP218" s="19"/>
      <c r="DQ218" s="19"/>
      <c r="DR218" s="19"/>
      <c r="DS218" s="19"/>
      <c r="DT218" s="19"/>
      <c r="DU218" s="19"/>
      <c r="DV218" s="19"/>
      <c r="DW218" s="19"/>
      <c r="DX218" s="19"/>
      <c r="DY218" s="19"/>
      <c r="DZ218" s="19"/>
      <c r="EA218" s="19"/>
      <c r="EB218" s="19"/>
      <c r="EC218" s="19"/>
      <c r="ED218" s="19"/>
      <c r="EE218" s="19"/>
      <c r="EF218" s="19"/>
      <c r="EG218" s="19"/>
      <c r="EH218" s="19"/>
      <c r="EI218" s="19"/>
      <c r="EJ218" s="19"/>
      <c r="EK218" s="19"/>
      <c r="EL218" s="19"/>
      <c r="EM218" s="19"/>
      <c r="EN218" s="19"/>
      <c r="EO218" s="19"/>
      <c r="EP218" s="19"/>
      <c r="EQ218" s="19"/>
      <c r="ER218" s="19"/>
      <c r="ES218" s="19"/>
      <c r="ET218" s="19"/>
      <c r="EU218" s="19"/>
      <c r="EV218" s="19"/>
      <c r="EW218" s="19"/>
      <c r="EX218" s="19"/>
      <c r="EY218" s="19"/>
      <c r="EZ218" s="19"/>
      <c r="FA218" s="19"/>
      <c r="FB218" s="19"/>
      <c r="FC218" s="19"/>
      <c r="FD218" s="19"/>
      <c r="FE218" s="19"/>
      <c r="FF218" s="19"/>
      <c r="FG218" s="19"/>
      <c r="FH218" s="19"/>
      <c r="FI218" s="19"/>
    </row>
    <row r="219" spans="1:165" x14ac:dyDescent="0.25">
      <c r="A219" s="32"/>
      <c r="B219" s="49"/>
      <c r="C219" s="49"/>
      <c r="D219" s="32"/>
      <c r="E219" s="66"/>
      <c r="F219" s="66"/>
      <c r="G219" s="49"/>
      <c r="H219" s="29"/>
      <c r="I219" s="29"/>
      <c r="J219" s="29"/>
      <c r="K219" s="29"/>
      <c r="L219" s="29"/>
      <c r="M219" s="29"/>
      <c r="N219" s="29"/>
      <c r="O219" s="29"/>
      <c r="P219" s="29"/>
      <c r="Q219" s="29"/>
      <c r="R219" s="29"/>
      <c r="S219" s="30"/>
      <c r="T219" s="18"/>
      <c r="U219" s="19"/>
      <c r="V219" s="19"/>
      <c r="W219" s="19"/>
      <c r="X219" s="19"/>
      <c r="Y219" s="19"/>
      <c r="Z219" s="19"/>
      <c r="AA219" s="19"/>
      <c r="AB219" s="19"/>
      <c r="AC219" s="19"/>
      <c r="AD219" s="19"/>
      <c r="AE219" s="19"/>
      <c r="AF219" s="143">
        <f t="shared" si="17"/>
        <v>63</v>
      </c>
      <c r="AG219" s="143">
        <f t="shared" si="39"/>
        <v>22.68</v>
      </c>
      <c r="AH219" s="144">
        <f t="shared" si="28"/>
        <v>834.62399999999991</v>
      </c>
      <c r="AI219" s="145">
        <f t="shared" si="29"/>
        <v>0.97826086956521752</v>
      </c>
      <c r="AJ219" s="145">
        <f t="shared" si="30"/>
        <v>22.186956521739134</v>
      </c>
      <c r="AK219" s="145">
        <f t="shared" si="40"/>
        <v>0.39130434782608459</v>
      </c>
      <c r="AL219" s="145">
        <f t="shared" si="41"/>
        <v>22.18724407451111</v>
      </c>
      <c r="AM219" s="146"/>
      <c r="AN219" s="145">
        <f>MAX(0,Table7[[#This Row],[I_L]]-0.5*Table7[[#This Row],[I_L pkpk]])</f>
        <v>21.991304347826091</v>
      </c>
      <c r="AO219" s="145">
        <f>Table7[[#This Row],[I_L]]+0.5*Table7[[#This Row],[I_L pkpk]]</f>
        <v>22.382608695652177</v>
      </c>
      <c r="AP219" s="145">
        <f ca="1">IF(VACnom&gt;Vbat, (VGS_S-(TI_MOSFET_S_VTH_H_BU+Table7[[#This Row],[I_L]]/TI_MOSFET_S_gFS_H_BU))/3.4, (VGS_S-(TI_MOSFET_S_VTH_L_BO+Table7[[#This Row],[I_L]]/TI_MOSFET_S_gFS_L_BO))/3.4 )</f>
        <v>2.9645091481408619</v>
      </c>
      <c r="AQ219" s="145">
        <f ca="1">IF(VACnom&gt;Vbat, ((TI_MOSFET_S_VTH_H_BU+Table7[[#This Row],[I_L]]/TI_MOSFET_S_gFS_H_BU))/1, ((TI_MOSFET_S_VTH_L_BO+Table7[[#This Row],[I_L]]/TI_MOSFET_S_gFS_L_BO))/1 )</f>
        <v>1.9206688963210703</v>
      </c>
      <c r="AR219" s="145">
        <f ca="1">IF(VACnom&gt;Vbat, (TI_MOSFET_S_QGD_H_BU+TI_MOSFET_S_QGS_H_BU)*10^-9/Table7[[#This Row],[Ion (A)]], (TI_MOSFET_S_QGD_L_BO+TI_MOSFET_S_QGS_L_BO)*10^-9/Table7[[#This Row],[Ion (A)]])/10^-9</f>
        <v>9.7149303850390876</v>
      </c>
      <c r="AS219" s="145">
        <f ca="1">IF(VACnom&gt;Vbat, (TI_MOSFET_S_QGD_H_BU+TI_MOSFET_S_QGS_H_BU)*10^-9/Table7[[#This Row],[Ioff (A)]], (TI_MOSFET_S_QGD_L_BO+TI_MOSFET_S_QGS_L_BO)*10^-9/Table7[[#This Row],[Ioff (A)]])/10^-9</f>
        <v>14.994776067423558</v>
      </c>
      <c r="AT219" s="145">
        <f ca="1" xml:space="preserve"> 0.5*VACnom*Table7[[#This Row],[Ivalley (A)]]*Table7[[#This Row],[ton (ns)]]*10^-9*Fsw*10^3+0.5*VACnom*Table7[[#This Row],[Ipeak (A)]]*Table7[[#This Row],[toff (ns)]]*10^-9*Fsw*10^3/10^-3</f>
        <v>1235.8759250077446</v>
      </c>
      <c r="AU219" s="145">
        <f t="shared" ca="1" si="31"/>
        <v>268.64000000000004</v>
      </c>
      <c r="AV219" s="145" t="e">
        <f t="shared" si="32"/>
        <v>#VALUE!</v>
      </c>
      <c r="AW219" s="145">
        <f t="shared" ca="1" si="33"/>
        <v>566.72000000000025</v>
      </c>
      <c r="AX219" s="145">
        <f ca="1">IF(VACnom&gt;Vbat, TI_MOSFET_S_VSD_L_BU*Table7[[#This Row],[Ivalley (A)]]*Fsw*10^3*40*10^-9+TI_MOSFET_S_VSD_L_BU*Table7[[#This Row],[Ipeak (A)]]*Fsw*10^3*30*10^-9, TI_MOSFET_S_VSD_H_BO*Table7[[#This Row],[Ivalley (A)]]*Fsw*10^3*40*10^-9+TI_MOSFET_S_VSD_H_BO*Table7[[#This Row],[Ipeak (A)]]*Fsw*10^3*30*10^-9)/10^-3</f>
        <v>223.36278260869574</v>
      </c>
      <c r="AY219" s="145" t="e">
        <f t="shared" si="34"/>
        <v>#VALUE!</v>
      </c>
      <c r="AZ219" s="145" t="e">
        <f>IF(VACnom&lt;Vbat, Table7[[#This Row],[Duty Cycle]]*Table7[[#This Row],[I_L RMS]]^2*TI_MOSFET_S_RDSON_H_BU*10^-3, (1-Table7[[#This Row],[Duty Cycle]])*Table7[[#This Row],[I_L RMS]]^2*TI_MOSFET_S_RDSON_H_BO*10^-3)/10^-3</f>
        <v>#VALUE!</v>
      </c>
      <c r="BA219" s="145" t="e">
        <f ca="1">IF(VACnom&gt;Vbat, Table7[[#This Row],[PIV (mW)]]+Table7[[#This Row],[Pqoss (mW)]]+Table7[[#This Row],[Pgate_top (mW)]], Table7[[#This Row],[PRR (mW)]]+Table7[[#This Row],[Pdead (mW)]]+Table7[[#This Row],[Pgate_top (mW)]])</f>
        <v>#VALUE!</v>
      </c>
      <c r="BB219" s="145" t="e">
        <f ca="1">Table7[[#This Row],[Pcon_top (mW)]]+Table7[[#This Row],[Psw_top (mW)]]</f>
        <v>#VALUE!</v>
      </c>
      <c r="BC219" s="145" t="e">
        <f>IF(VACnom&gt;Vbat, (1-Table7[[#This Row],[Duty Cycle]])*Table7[[#This Row],[I_L RMS]]^2*TI_MOSFET_S_RDSON_L_BU*10^-3, Table7[[#This Row],[Duty Cycle]]*Table7[[#This Row],[I_L RMS]]^2*TI_MOSFET_S_RDSON_L_BO*10^-3)/10^-3</f>
        <v>#VALUE!</v>
      </c>
      <c r="BD219" s="145" t="e">
        <f ca="1">IF(VACnom&gt;Vbat, Table7[[#This Row],[PRR (mW)]]+Table7[[#This Row],[Pdead (mW)]]+Table7[[#This Row],[Pgate_bottom (mW)]], Table7[[#This Row],[PIV (mW)]]+Table7[[#This Row],[Pqoss (mW)]]+Table7[[#This Row],[Pgate_bottom (mW)]])</f>
        <v>#VALUE!</v>
      </c>
      <c r="BE219" s="147" t="e">
        <f ca="1">Table7[[#This Row],[Pcon_bottom (mW)]]+Table7[[#This Row],[Psw_bottom (mW)]]</f>
        <v>#VALUE!</v>
      </c>
      <c r="BF219" s="145" t="e">
        <f ca="1">Table7[[#This Row],[Pbottom (mW)]]+Table7[[#This Row],[Ptop (mW)]]</f>
        <v>#VALUE!</v>
      </c>
      <c r="BG219" s="142"/>
      <c r="BH219" s="145">
        <f>MAX(0,Table7[[#This Row],[I_L]]-0.5*Table7[[#This Row],[I_L pkpk]])</f>
        <v>21.991304347826091</v>
      </c>
      <c r="BI219" s="145">
        <f>Table7[[#This Row],[I_L]]+0.5*Table7[[#This Row],[I_L pkpk]]</f>
        <v>22.382608695652177</v>
      </c>
      <c r="BJ219" s="145">
        <f>IF(VACnom&gt;Vbat, (VGS_S-(C_MOSFET_S_VTH_H_BU+Table7[[#This Row],[I_L]]/C_MOSFET_S_gFS_H_BU))/3.4, (VGS_S-(C_MOSFET_S_VTH_L_BO+Table7[[#This Row],[I_L]]/C_MOSFET_S_gFS_L_BO))/3.4 )</f>
        <v>2.9143332745392012</v>
      </c>
      <c r="BK219" s="145">
        <f>IF(VACnom&gt;Vbat, ((C_MOSFET_S_VTH_H_BU+Table7[[#This Row],[I_L]]/C_MOSFET_S_gFS_H_BU))/1, ((C_MOSFET_S_VTH_L_BO+Table7[[#This Row],[I_L]]/C_MOSFET_S_gFS_L_BO))/1 )</f>
        <v>2.0912668665667167</v>
      </c>
      <c r="BL219" s="145">
        <f>IF(VACnom&gt;Vbat, (C_MOSFET_S_QGD_H_BU+C_MOSFET_S_QGS_H_BU)*10^-9/Table7[[#This Row],[Ion (A) C]], (C_MOSFET_S_QGD_L_BO+C_MOSFET_S_QGS_L_BO)*10^-9/Table7[[#This Row],[Ion (A) C]])/10^-9</f>
        <v>5.3185406540200093</v>
      </c>
      <c r="BM219" s="145">
        <f>IF(VACnom&gt;Vbat, (C_MOSFET_S_QGD_H_BU+C_MOSFET_S_QGS_H_BU)*10^-9/Table7[[#This Row],[Ioff (A) C]], (C_MOSFET_S_QGD_L_BO+C_MOSFET_S_QGS_L_BO)*10^-9/Table7[[#This Row],[Ioff (A) C]])/10^-9</f>
        <v>7.4117752486781967</v>
      </c>
      <c r="BN219" s="145">
        <f xml:space="preserve"> 0.5*VACnom*Table7[[#This Row],[Ivalley (A) C]]*Table7[[#This Row],[ton (ns) C]]*10^-9*Fsw*10^3+0.5*VACnom*Table7[[#This Row],[Ipeak (A) C]]*Table7[[#This Row],[toff (ns) C]]*10^-9*Fsw*10^3/10^-3</f>
        <v>610.92352254117441</v>
      </c>
      <c r="BO219" s="145">
        <f t="shared" si="35"/>
        <v>305.44000000000011</v>
      </c>
      <c r="BP219" s="145">
        <f t="shared" si="36"/>
        <v>357.69600000000014</v>
      </c>
      <c r="BQ219" s="145">
        <f t="shared" si="37"/>
        <v>1067.2000000000003</v>
      </c>
      <c r="BR219" s="145">
        <f>IF(VACnom&gt;Vbat, C_MOSFET_S_VSD_L_BU*Table7[[#This Row],[Ivalley (A) C]]*Fsw*10^3*40*10^-9+C_MOSFET_S_VSD_L_BU*Table7[[#This Row],[Ipeak (A) C]]*Fsw*10^3*30*10^-9, C_MOSFET_S_VSD_H_BO*Table7[[#This Row],[Ivalley (A) C]]*Fsw*10^3*40*10^-9+C_MOSFET_S_VSD_H_BO*Table7[[#This Row],[Ipeak (A) C]]*Fsw*10^3*30*10^-9)/10^-3</f>
        <v>248.18086956521751</v>
      </c>
      <c r="BS219" s="145">
        <f t="shared" si="38"/>
        <v>357.69600000000014</v>
      </c>
      <c r="BT219" s="145">
        <f>IF(VACnom&lt;Vbat, Table7[[#This Row],[Duty Cycle]]*Table7[[#This Row],[I_L RMS]]^2*C_MOSFET_S_RDSON_H_BU*10^-3, (1-Table7[[#This Row],[Duty Cycle]])*Table7[[#This Row],[I_L RMS]]^2*C_MOSFET_S_RDSON_H_BO*10^-3)/10^-3</f>
        <v>27.824171282978398</v>
      </c>
      <c r="BU219" s="145">
        <f>IF(VACnom&gt;Vbat, Table7[[#This Row],[PIV (mW) C]]+Table7[[#This Row],[PQoss (mW) C]]+Table7[[#This Row],[Pgate_top (mW) C]], Table7[[#This Row],[PRR (mW) C]]+Table7[[#This Row],[Pdead (mW) C]]+Table7[[#This Row],[Pgate_top (mW) C]])</f>
        <v>1274.0595225411746</v>
      </c>
      <c r="BV219" s="145">
        <f>Table7[[#This Row],[Pcon_top (mW) C]]+Table7[[#This Row],[Psw_top (mW) C]]</f>
        <v>1301.8836938241529</v>
      </c>
      <c r="BW219" s="145">
        <f>IF(VACnom&gt;Vbat, (1-Table7[[#This Row],[Duty Cycle]])*Table7[[#This Row],[I_L RMS]]^2*C_MOSFET_S_RDSON_L_BU*10^-3, Table7[[#This Row],[Duty Cycle]]*Table7[[#This Row],[I_L RMS]]^2*C_MOSFET_S_RDSON_L_BO*10^-3)/10^-3</f>
        <v>18.19272737733203</v>
      </c>
      <c r="BX219" s="145">
        <f>IF(VACnom&gt;Vbat, Table7[[#This Row],[PRR (mW) C]]+Table7[[#This Row],[Pdead (mW) C]]+Table7[[#This Row],[Pgate_bottom (mW) C]], Table7[[#This Row],[PIV (mW) C]]+Table7[[#This Row],[PQoss (mW) C]]+Table7[[#This Row],[Pgate_bottom (mW) C]])</f>
        <v>1673.076869565218</v>
      </c>
      <c r="BY219" s="145">
        <f>Table7[[#This Row],[Pcon_bottom (mW) C]]+Table7[[#This Row],[Psw_bottom (mV) C]]</f>
        <v>1691.2695969425499</v>
      </c>
      <c r="BZ219" s="145">
        <f>Table7[[#This Row],[Pbottom (mW) C]]+Table7[[#This Row],[Ptop (mW) C]]</f>
        <v>2993.1532907667029</v>
      </c>
      <c r="CA219" s="148"/>
      <c r="CB219" s="144">
        <f>(RAC_SNS*10^-3*(Table7[[#This Row],[IOUT (A)]]*Vbat/VACnom)^2/10^-3)</f>
        <v>984.52207939508537</v>
      </c>
      <c r="CC219" s="144">
        <f>(RBAT_SNS*10^-3*Table7[[#This Row],[IOUT (A)]]^2)/10^-3</f>
        <v>2571.9119999999998</v>
      </c>
      <c r="CD219" s="144">
        <f>IF(VACnom&gt;Vbat,(L_DRC*10^-3*(Table7[[#This Row],[IOUT (A)]])^2/10^-3),(L_DRC*10^-3*(Table7[[#This Row],[IOUT (A)]]*Vbat/VACnom)^2/10^-3))</f>
        <v>2571.9119999999998</v>
      </c>
      <c r="CE219" s="152"/>
      <c r="CF219" s="145">
        <f>(Table7[[#This Row],[R_AC (mW)]]+Table7[[#This Row],[R_SR (mW)]]+Table7[[#This Row],[Inductor Loss (mW)]])/10^3</f>
        <v>6.1283460793950857</v>
      </c>
      <c r="CG219" s="145" t="e">
        <f ca="1">Table7[[#This Row],[Total TI (mW)]]/10^3</f>
        <v>#VALUE!</v>
      </c>
      <c r="CH219" s="145" t="e">
        <f ca="1">Table7[[#This Row],[Total Sense Loss]]+Table7[[#This Row],[Total MOSFET Loss]]</f>
        <v>#VALUE!</v>
      </c>
      <c r="CI219" s="149" t="e">
        <f ca="1">IF(Table7[[#This Row],[POUT (W)]]=0,0,(Table7[[#This Row],[POUT (W)]])/(Table7[[#This Row],[POUT (W)]]+Table7[[#This Row],[Total Power Loss (W)]]))*100</f>
        <v>#VALUE!</v>
      </c>
      <c r="CJ219" s="153"/>
      <c r="CK219" s="145">
        <f>(Table7[[#This Row],[R_AC (mW)]]+Table7[[#This Row],[R_SR (mW)]]+Table7[[#This Row],[Inductor Loss (mW)]])/10^3</f>
        <v>6.1283460793950857</v>
      </c>
      <c r="CL219" s="145">
        <f>Table7[[#This Row],[Total (mW) C]]/10^3</f>
        <v>2.9931532907667027</v>
      </c>
      <c r="CM219" s="145">
        <f>Table7[[#This Row],[Total Sense Loss C]]+Table7[[#This Row],[Total MOSFET Loss C]]</f>
        <v>9.1214993701617892</v>
      </c>
      <c r="CN219" s="149">
        <f>IF(Table7[[#This Row],[POUT (W)]]=0,0,(Table7[[#This Row],[POUT (W)]])/(Table7[[#This Row],[POUT (W)]]+Table7[[#This Row],[Total Power Loss (W) C]]))*100</f>
        <v>98.918927641454573</v>
      </c>
      <c r="CO219" s="153"/>
      <c r="CP219" s="149">
        <f>IF(MOSFET_S=Custom_MOSFET,Table7[[#This Row],[Total Sense Loss C]],Table7[[#This Row],[Total Sense Loss]])</f>
        <v>6.1283460793950857</v>
      </c>
      <c r="CQ219" s="149">
        <f>IF(MOSFET_S=Custom_MOSFET,Table7[[#This Row],[Total MOSFET Loss C]],Table7[[#This Row],[Total MOSFET Loss]])</f>
        <v>2.9931532907667027</v>
      </c>
      <c r="CR219" s="149">
        <f>IF(MOSFET_S=Custom_MOSFET,Table7[[#This Row],[Efficiency C]],Table7[[#This Row],[Efficiency]])</f>
        <v>98.918927641454573</v>
      </c>
      <c r="CS219" s="153"/>
      <c r="CT219" s="149">
        <f>IF(MOSFET_S=Compare_MOSFET, Table7[[#This Row],[Total Sense Loss C]], -100)</f>
        <v>-100</v>
      </c>
      <c r="CU219" s="149">
        <f>IF(MOSFET_S=Compare_MOSFET, Table7[[#This Row],[Total MOSFET Loss C]], -100)</f>
        <v>-100</v>
      </c>
      <c r="CV219" s="149">
        <f>IF(MOSFET_S=Compare_MOSFET, Table7[[#This Row],[Efficiency C]], -100)</f>
        <v>-100</v>
      </c>
      <c r="CW219" s="153"/>
      <c r="CX219" s="149">
        <f ca="1">IF(Save_Sel=CLR_Save,  Table7[[#This Row],[Total Sense Loss P1]], Table7[[#This Row],[Total Sense Loss P1 Saved]])</f>
        <v>6.1283460793950857</v>
      </c>
      <c r="CY219" s="149">
        <f ca="1">IF(Save_Sel=CLR_Save,  Table7[[#This Row],[Total MOSFET Loss P1]], Table7[[#This Row],[Total MOSFET Loss P1 Saved]] )</f>
        <v>2.9931532907667027</v>
      </c>
      <c r="CZ219" s="149">
        <f ca="1">IF(Save_Sel=CLR_Save, Table7[[#This Row],[Efficiency P1]], Table7[[#This Row],[Efficiency P1 Saved]])</f>
        <v>98.918927641454573</v>
      </c>
      <c r="DA219" s="153"/>
      <c r="DB219" s="149">
        <f ca="1">IF(Save_Sel=CLR_Save,  Table7[[#This Row],[Total Sense Loss P2]], Table7[[#This Row],[Total Sense Loss P2 Saved]])</f>
        <v>-100</v>
      </c>
      <c r="DC219" s="149">
        <f ca="1">IF(Save_Sel=CLR_Save,  Table7[[#This Row],[Total MOSFET Loss P2]], Table7[[#This Row],[Total MOSFET Loss P2 Saved]] )</f>
        <v>-100</v>
      </c>
      <c r="DD219" s="149">
        <f ca="1">IF(Save_Sel=CLR_Save, Table7[[#This Row],[Efficiency P2]], Table7[[#This Row],[Efficiency P2 Saved]])</f>
        <v>-100</v>
      </c>
      <c r="DE219" s="153"/>
      <c r="DF219" s="19"/>
      <c r="DG219" s="19"/>
      <c r="DH219" s="19"/>
      <c r="DI219" s="19"/>
      <c r="DJ219" s="19"/>
      <c r="DK219" s="19"/>
      <c r="DL219" s="19"/>
      <c r="DM219" s="19"/>
      <c r="DN219" s="19"/>
      <c r="DO219" s="19"/>
      <c r="DP219" s="19"/>
      <c r="DQ219" s="19"/>
      <c r="DR219" s="19"/>
      <c r="DS219" s="19"/>
      <c r="DT219" s="19"/>
      <c r="DU219" s="19"/>
      <c r="DV219" s="19"/>
      <c r="DW219" s="19"/>
      <c r="DX219" s="19"/>
      <c r="DY219" s="19"/>
      <c r="DZ219" s="19"/>
      <c r="EA219" s="19"/>
      <c r="EB219" s="19"/>
      <c r="EC219" s="19"/>
      <c r="ED219" s="19"/>
      <c r="EE219" s="19"/>
      <c r="EF219" s="19"/>
      <c r="EG219" s="19"/>
      <c r="EH219" s="19"/>
      <c r="EI219" s="19"/>
      <c r="EJ219" s="19"/>
      <c r="EK219" s="19"/>
      <c r="EL219" s="19"/>
      <c r="EM219" s="19"/>
      <c r="EN219" s="19"/>
      <c r="EO219" s="19"/>
      <c r="EP219" s="19"/>
      <c r="EQ219" s="19"/>
      <c r="ER219" s="19"/>
      <c r="ES219" s="19"/>
      <c r="ET219" s="19"/>
      <c r="EU219" s="19"/>
      <c r="EV219" s="19"/>
      <c r="EW219" s="19"/>
      <c r="EX219" s="19"/>
      <c r="EY219" s="19"/>
      <c r="EZ219" s="19"/>
      <c r="FA219" s="19"/>
      <c r="FB219" s="19"/>
      <c r="FC219" s="19"/>
      <c r="FD219" s="19"/>
      <c r="FE219" s="19"/>
      <c r="FF219" s="19"/>
      <c r="FG219" s="19"/>
      <c r="FH219" s="19"/>
      <c r="FI219" s="19"/>
    </row>
    <row r="220" spans="1:165" x14ac:dyDescent="0.25">
      <c r="A220" s="32"/>
      <c r="B220" s="49"/>
      <c r="C220" s="49"/>
      <c r="D220" s="32"/>
      <c r="E220" s="66"/>
      <c r="F220" s="66"/>
      <c r="G220" s="49"/>
      <c r="H220" s="29"/>
      <c r="I220" s="29"/>
      <c r="J220" s="29"/>
      <c r="K220" s="29"/>
      <c r="L220" s="29"/>
      <c r="M220" s="29"/>
      <c r="N220" s="29"/>
      <c r="O220" s="29"/>
      <c r="P220" s="29"/>
      <c r="Q220" s="29"/>
      <c r="R220" s="29"/>
      <c r="S220" s="30"/>
      <c r="T220" s="18"/>
      <c r="U220" s="19"/>
      <c r="V220" s="19"/>
      <c r="W220" s="19"/>
      <c r="X220" s="19"/>
      <c r="Y220" s="19"/>
      <c r="Z220" s="19"/>
      <c r="AA220" s="19"/>
      <c r="AB220" s="19"/>
      <c r="AC220" s="19"/>
      <c r="AD220" s="19"/>
      <c r="AE220" s="19"/>
      <c r="AF220" s="143">
        <f t="shared" si="17"/>
        <v>64</v>
      </c>
      <c r="AG220" s="143">
        <f t="shared" si="39"/>
        <v>23.04</v>
      </c>
      <c r="AH220" s="144">
        <f t="shared" ref="AH220:AH251" si="42">AG220*VACnom</f>
        <v>847.87199999999996</v>
      </c>
      <c r="AI220" s="145">
        <f t="shared" ref="AI220:AI256" si="43">IF(VACnom&lt;Vbat, (Vbat-VACnom)/Vbat, Vbat/VACnom)</f>
        <v>0.97826086956521752</v>
      </c>
      <c r="AJ220" s="145">
        <f t="shared" ref="AJ220:AJ251" si="44">IF(VACnom&lt;Vbat, AG220/(1-AI220), AG220*AI220)</f>
        <v>22.53913043478261</v>
      </c>
      <c r="AK220" s="145">
        <f t="shared" si="40"/>
        <v>0.39130434782608459</v>
      </c>
      <c r="AL220" s="145">
        <f t="shared" si="41"/>
        <v>22.539413494599398</v>
      </c>
      <c r="AM220" s="146"/>
      <c r="AN220" s="145">
        <f>MAX(0,Table7[[#This Row],[I_L]]-0.5*Table7[[#This Row],[I_L pkpk]])</f>
        <v>22.343478260869567</v>
      </c>
      <c r="AO220" s="145">
        <f>Table7[[#This Row],[I_L]]+0.5*Table7[[#This Row],[I_L pkpk]]</f>
        <v>22.734782608695653</v>
      </c>
      <c r="AP220" s="145">
        <f ca="1">IF(VACnom&gt;Vbat, (VGS_S-(TI_MOSFET_S_VTH_H_BU+Table7[[#This Row],[I_L]]/TI_MOSFET_S_gFS_H_BU))/3.4, (VGS_S-(TI_MOSFET_S_VTH_L_BO+Table7[[#This Row],[I_L]]/TI_MOSFET_S_gFS_L_BO))/3.4 )</f>
        <v>2.9637123745819394</v>
      </c>
      <c r="AQ220" s="145">
        <f ca="1">IF(VACnom&gt;Vbat, ((TI_MOSFET_S_VTH_H_BU+Table7[[#This Row],[I_L]]/TI_MOSFET_S_gFS_H_BU))/1, ((TI_MOSFET_S_VTH_L_BO+Table7[[#This Row],[I_L]]/TI_MOSFET_S_gFS_L_BO))/1 )</f>
        <v>1.9233779264214048</v>
      </c>
      <c r="AR220" s="145">
        <f ca="1">IF(VACnom&gt;Vbat, (TI_MOSFET_S_QGD_H_BU+TI_MOSFET_S_QGS_H_BU)*10^-9/Table7[[#This Row],[Ion (A)]], (TI_MOSFET_S_QGD_L_BO+TI_MOSFET_S_QGS_L_BO)*10^-9/Table7[[#This Row],[Ion (A)]])/10^-9</f>
        <v>9.7175421768323673</v>
      </c>
      <c r="AS220" s="145">
        <f ca="1">IF(VACnom&gt;Vbat, (TI_MOSFET_S_QGD_H_BU+TI_MOSFET_S_QGS_H_BU)*10^-9/Table7[[#This Row],[Ioff (A)]], (TI_MOSFET_S_QGD_L_BO+TI_MOSFET_S_QGS_L_BO)*10^-9/Table7[[#This Row],[Ioff (A)]])/10^-9</f>
        <v>14.973656297275211</v>
      </c>
      <c r="AT220" s="145">
        <f ca="1" xml:space="preserve"> 0.5*VACnom*Table7[[#This Row],[Ivalley (A)]]*Table7[[#This Row],[ton (ns)]]*10^-9*Fsw*10^3+0.5*VACnom*Table7[[#This Row],[Ipeak (A)]]*Table7[[#This Row],[toff (ns)]]*10^-9*Fsw*10^3/10^-3</f>
        <v>1253.5549956431814</v>
      </c>
      <c r="AU220" s="145">
        <f t="shared" ref="AU220:AU256" ca="1" si="45">IF(VACnom&gt;Vbat, 0.5*VACnom*TI_MOSFET_S_QOSS_H_BU*10^-9*Fsw*10^3,0.5*VACnom*TI_MOSFET_S_QOSS_L_BO*10^-9*Fsw*10^3)/10^-3</f>
        <v>268.64000000000004</v>
      </c>
      <c r="AV220" s="145" t="e">
        <f t="shared" ref="AV220:AV256" si="46">IF(VACnom&gt;Vbat, VACnom*TI_MOSFET_S_QG_H_BU*10^-9*Fsw*10^3,VACnom*TI_MOSFET_S_QG_H_BO*10^-9*Fsw*10^3)/10^-3</f>
        <v>#VALUE!</v>
      </c>
      <c r="AW220" s="145">
        <f t="shared" ref="AW220:AW256" ca="1" si="47">IF(VACnom&gt;Vbat, VACnom*TI_MOSFET_S_QRR_L_BU*10^-9*Fsw*10^3, VACnom*TI_MOSFET_S_QRR_H_BO*10^-9*Fsw*10^3)/10^-3</f>
        <v>566.72000000000025</v>
      </c>
      <c r="AX220" s="145">
        <f ca="1">IF(VACnom&gt;Vbat, TI_MOSFET_S_VSD_L_BU*Table7[[#This Row],[Ivalley (A)]]*Fsw*10^3*40*10^-9+TI_MOSFET_S_VSD_L_BU*Table7[[#This Row],[Ipeak (A)]]*Fsw*10^3*30*10^-9, TI_MOSFET_S_VSD_H_BO*Table7[[#This Row],[Ivalley (A)]]*Fsw*10^3*40*10^-9+TI_MOSFET_S_VSD_H_BO*Table7[[#This Row],[Ipeak (A)]]*Fsw*10^3*30*10^-9)/10^-3</f>
        <v>226.91269565217397</v>
      </c>
      <c r="AY220" s="145" t="e">
        <f t="shared" ref="AY220:AY256" si="48">IF(VACnom&gt;Vbat, VACnom*TI_MOSFET_S_QG_L_BU*10^-9*Fsw*10^3, VACnom*TI_MOSFET_S_QG_L_BO*10^-9*Fsw*10^3)/10^-3</f>
        <v>#VALUE!</v>
      </c>
      <c r="AZ220" s="145" t="e">
        <f>IF(VACnom&lt;Vbat, Table7[[#This Row],[Duty Cycle]]*Table7[[#This Row],[I_L RMS]]^2*TI_MOSFET_S_RDSON_H_BU*10^-3, (1-Table7[[#This Row],[Duty Cycle]])*Table7[[#This Row],[I_L RMS]]^2*TI_MOSFET_S_RDSON_H_BO*10^-3)/10^-3</f>
        <v>#VALUE!</v>
      </c>
      <c r="BA220" s="145" t="e">
        <f ca="1">IF(VACnom&gt;Vbat, Table7[[#This Row],[PIV (mW)]]+Table7[[#This Row],[Pqoss (mW)]]+Table7[[#This Row],[Pgate_top (mW)]], Table7[[#This Row],[PRR (mW)]]+Table7[[#This Row],[Pdead (mW)]]+Table7[[#This Row],[Pgate_top (mW)]])</f>
        <v>#VALUE!</v>
      </c>
      <c r="BB220" s="145" t="e">
        <f ca="1">Table7[[#This Row],[Pcon_top (mW)]]+Table7[[#This Row],[Psw_top (mW)]]</f>
        <v>#VALUE!</v>
      </c>
      <c r="BC220" s="145" t="e">
        <f>IF(VACnom&gt;Vbat, (1-Table7[[#This Row],[Duty Cycle]])*Table7[[#This Row],[I_L RMS]]^2*TI_MOSFET_S_RDSON_L_BU*10^-3, Table7[[#This Row],[Duty Cycle]]*Table7[[#This Row],[I_L RMS]]^2*TI_MOSFET_S_RDSON_L_BO*10^-3)/10^-3</f>
        <v>#VALUE!</v>
      </c>
      <c r="BD220" s="145" t="e">
        <f ca="1">IF(VACnom&gt;Vbat, Table7[[#This Row],[PRR (mW)]]+Table7[[#This Row],[Pdead (mW)]]+Table7[[#This Row],[Pgate_bottom (mW)]], Table7[[#This Row],[PIV (mW)]]+Table7[[#This Row],[Pqoss (mW)]]+Table7[[#This Row],[Pgate_bottom (mW)]])</f>
        <v>#VALUE!</v>
      </c>
      <c r="BE220" s="147" t="e">
        <f ca="1">Table7[[#This Row],[Pcon_bottom (mW)]]+Table7[[#This Row],[Psw_bottom (mW)]]</f>
        <v>#VALUE!</v>
      </c>
      <c r="BF220" s="145" t="e">
        <f ca="1">Table7[[#This Row],[Pbottom (mW)]]+Table7[[#This Row],[Ptop (mW)]]</f>
        <v>#VALUE!</v>
      </c>
      <c r="BG220" s="142"/>
      <c r="BH220" s="145">
        <f>MAX(0,Table7[[#This Row],[I_L]]-0.5*Table7[[#This Row],[I_L pkpk]])</f>
        <v>22.343478260869567</v>
      </c>
      <c r="BI220" s="145">
        <f>Table7[[#This Row],[I_L]]+0.5*Table7[[#This Row],[I_L pkpk]]</f>
        <v>22.734782608695653</v>
      </c>
      <c r="BJ220" s="145">
        <f>IF(VACnom&gt;Vbat, (VGS_S-(C_MOSFET_S_VTH_H_BU+Table7[[#This Row],[I_L]]/C_MOSFET_S_gFS_H_BU))/3.4, (VGS_S-(C_MOSFET_S_VTH_L_BO+Table7[[#This Row],[I_L]]/C_MOSFET_S_gFS_L_BO))/3.4 )</f>
        <v>2.9134403386542025</v>
      </c>
      <c r="BK220" s="145">
        <f>IF(VACnom&gt;Vbat, ((C_MOSFET_S_VTH_H_BU+Table7[[#This Row],[I_L]]/C_MOSFET_S_gFS_H_BU))/1, ((C_MOSFET_S_VTH_L_BO+Table7[[#This Row],[I_L]]/C_MOSFET_S_gFS_L_BO))/1 )</f>
        <v>2.0943028485757123</v>
      </c>
      <c r="BL220" s="145">
        <f>IF(VACnom&gt;Vbat, (C_MOSFET_S_QGD_H_BU+C_MOSFET_S_QGS_H_BU)*10^-9/Table7[[#This Row],[Ion (A) C]], (C_MOSFET_S_QGD_L_BO+C_MOSFET_S_QGS_L_BO)*10^-9/Table7[[#This Row],[Ion (A) C]])/10^-9</f>
        <v>5.3201707254317316</v>
      </c>
      <c r="BM220" s="145">
        <f>IF(VACnom&gt;Vbat, (C_MOSFET_S_QGD_H_BU+C_MOSFET_S_QGS_H_BU)*10^-9/Table7[[#This Row],[Ioff (A) C]], (C_MOSFET_S_QGD_L_BO+C_MOSFET_S_QGS_L_BO)*10^-9/Table7[[#This Row],[Ioff (A) C]])/10^-9</f>
        <v>7.4010308540339311</v>
      </c>
      <c r="BN220" s="145">
        <f xml:space="preserve"> 0.5*VACnom*Table7[[#This Row],[Ivalley (A) C]]*Table7[[#This Row],[ton (ns) C]]*10^-9*Fsw*10^3+0.5*VACnom*Table7[[#This Row],[Ipeak (A) C]]*Table7[[#This Row],[toff (ns) C]]*10^-9*Fsw*10^3/10^-3</f>
        <v>619.63729108962298</v>
      </c>
      <c r="BO220" s="145">
        <f t="shared" ref="BO220:BO256" si="49">IF(VACnom&gt;Vbat, 0.5*VACnom*C_MOSFET_S_QOSS_H_BU*10^-9*Fsw*10^3,0.5*VACnom*C_MOSFET_S_QOSS_L_BO*10^-9*Fsw*10^3)/10^-3</f>
        <v>305.44000000000011</v>
      </c>
      <c r="BP220" s="145">
        <f t="shared" ref="BP220:BP256" si="50">IF(VACnom&gt;Vbat, VACnom*C_MOSFET_S_QG_H_BU*10^-9*Fsw*10^3,VACnom*C_MOSFET_S_QG_H_BO*10^-9*Fsw*10^3)/10^-3</f>
        <v>357.69600000000014</v>
      </c>
      <c r="BQ220" s="145">
        <f t="shared" ref="BQ220:BQ256" si="51">IF(VACnom&gt;Vbat, VACnom*C_MOSFET_S_QRR_L_BU*10^-9*Fsw*10^3, VACnom*C_MOSFET_S_QRR_H_BO*10^-9*Fsw*10^3)/10^-3</f>
        <v>1067.2000000000003</v>
      </c>
      <c r="BR220" s="145">
        <f>IF(VACnom&gt;Vbat, C_MOSFET_S_VSD_L_BU*Table7[[#This Row],[Ivalley (A) C]]*Fsw*10^3*40*10^-9+C_MOSFET_S_VSD_L_BU*Table7[[#This Row],[Ipeak (A) C]]*Fsw*10^3*30*10^-9, C_MOSFET_S_VSD_H_BO*Table7[[#This Row],[Ivalley (A) C]]*Fsw*10^3*40*10^-9+C_MOSFET_S_VSD_H_BO*Table7[[#This Row],[Ipeak (A) C]]*Fsw*10^3*30*10^-9)/10^-3</f>
        <v>252.12521739130449</v>
      </c>
      <c r="BS220" s="145">
        <f t="shared" ref="BS220:BS256" si="52">IF(VACnom&gt;Vbat, VACnom*C_MOSFET_S_QG_L_BU*10^-9*Fsw*10^3, VACnom*C_MOSFET_S_QG_L_BO*10^-9*Fsw*10^3)/10^-3</f>
        <v>357.69600000000014</v>
      </c>
      <c r="BT220" s="145">
        <f>IF(VACnom&lt;Vbat, Table7[[#This Row],[Duty Cycle]]*Table7[[#This Row],[I_L RMS]]^2*C_MOSFET_S_RDSON_H_BU*10^-3, (1-Table7[[#This Row],[Duty Cycle]])*Table7[[#This Row],[I_L RMS]]^2*C_MOSFET_S_RDSON_H_BO*10^-3)/10^-3</f>
        <v>28.714465603681933</v>
      </c>
      <c r="BU220" s="145">
        <f>IF(VACnom&gt;Vbat, Table7[[#This Row],[PIV (mW) C]]+Table7[[#This Row],[PQoss (mW) C]]+Table7[[#This Row],[Pgate_top (mW) C]], Table7[[#This Row],[PRR (mW) C]]+Table7[[#This Row],[Pdead (mW) C]]+Table7[[#This Row],[Pgate_top (mW) C]])</f>
        <v>1282.7732910896232</v>
      </c>
      <c r="BV220" s="145">
        <f>Table7[[#This Row],[Pcon_top (mW) C]]+Table7[[#This Row],[Psw_top (mW) C]]</f>
        <v>1311.4877566933051</v>
      </c>
      <c r="BW220" s="145">
        <f>IF(VACnom&gt;Vbat, (1-Table7[[#This Row],[Duty Cycle]])*Table7[[#This Row],[I_L RMS]]^2*C_MOSFET_S_RDSON_L_BU*10^-3, Table7[[#This Row],[Duty Cycle]]*Table7[[#This Row],[I_L RMS]]^2*C_MOSFET_S_RDSON_L_BO*10^-3)/10^-3</f>
        <v>18.77484289471511</v>
      </c>
      <c r="BX220" s="145">
        <f>IF(VACnom&gt;Vbat, Table7[[#This Row],[PRR (mW) C]]+Table7[[#This Row],[Pdead (mW) C]]+Table7[[#This Row],[Pgate_bottom (mW) C]], Table7[[#This Row],[PIV (mW) C]]+Table7[[#This Row],[PQoss (mW) C]]+Table7[[#This Row],[Pgate_bottom (mW) C]])</f>
        <v>1677.0212173913048</v>
      </c>
      <c r="BY220" s="145">
        <f>Table7[[#This Row],[Pcon_bottom (mW) C]]+Table7[[#This Row],[Psw_bottom (mV) C]]</f>
        <v>1695.7960602860201</v>
      </c>
      <c r="BZ220" s="145">
        <f>Table7[[#This Row],[Pbottom (mW) C]]+Table7[[#This Row],[Ptop (mW) C]]</f>
        <v>3007.2838169793249</v>
      </c>
      <c r="CA220" s="148"/>
      <c r="CB220" s="144">
        <f>(RAC_SNS*10^-3*(Table7[[#This Row],[IOUT (A)]]*Vbat/VACnom)^2/10^-3)</f>
        <v>1016.0248015122875</v>
      </c>
      <c r="CC220" s="144">
        <f>(RBAT_SNS*10^-3*Table7[[#This Row],[IOUT (A)]]^2)/10^-3</f>
        <v>2654.2080000000001</v>
      </c>
      <c r="CD220" s="144">
        <f>IF(VACnom&gt;Vbat,(L_DRC*10^-3*(Table7[[#This Row],[IOUT (A)]])^2/10^-3),(L_DRC*10^-3*(Table7[[#This Row],[IOUT (A)]]*Vbat/VACnom)^2/10^-3))</f>
        <v>2654.2080000000001</v>
      </c>
      <c r="CE220" s="152"/>
      <c r="CF220" s="145">
        <f>(Table7[[#This Row],[R_AC (mW)]]+Table7[[#This Row],[R_SR (mW)]]+Table7[[#This Row],[Inductor Loss (mW)]])/10^3</f>
        <v>6.3244408015122877</v>
      </c>
      <c r="CG220" s="145" t="e">
        <f ca="1">Table7[[#This Row],[Total TI (mW)]]/10^3</f>
        <v>#VALUE!</v>
      </c>
      <c r="CH220" s="145" t="e">
        <f ca="1">Table7[[#This Row],[Total Sense Loss]]+Table7[[#This Row],[Total MOSFET Loss]]</f>
        <v>#VALUE!</v>
      </c>
      <c r="CI220" s="149" t="e">
        <f ca="1">IF(Table7[[#This Row],[POUT (W)]]=0,0,(Table7[[#This Row],[POUT (W)]])/(Table7[[#This Row],[POUT (W)]]+Table7[[#This Row],[Total Power Loss (W)]]))*100</f>
        <v>#VALUE!</v>
      </c>
      <c r="CJ220" s="153"/>
      <c r="CK220" s="145">
        <f>(Table7[[#This Row],[R_AC (mW)]]+Table7[[#This Row],[R_SR (mW)]]+Table7[[#This Row],[Inductor Loss (mW)]])/10^3</f>
        <v>6.3244408015122877</v>
      </c>
      <c r="CL220" s="145">
        <f>Table7[[#This Row],[Total (mW) C]]/10^3</f>
        <v>3.0072838169793248</v>
      </c>
      <c r="CM220" s="145">
        <f>Table7[[#This Row],[Total Sense Loss C]]+Table7[[#This Row],[Total MOSFET Loss C]]</f>
        <v>9.3317246184916129</v>
      </c>
      <c r="CN220" s="149">
        <f>IF(Table7[[#This Row],[POUT (W)]]=0,0,(Table7[[#This Row],[POUT (W)]])/(Table7[[#This Row],[POUT (W)]]+Table7[[#This Row],[Total Power Loss (W) C]]))*100</f>
        <v>98.91137609992947</v>
      </c>
      <c r="CO220" s="153"/>
      <c r="CP220" s="149">
        <f>IF(MOSFET_S=Custom_MOSFET,Table7[[#This Row],[Total Sense Loss C]],Table7[[#This Row],[Total Sense Loss]])</f>
        <v>6.3244408015122877</v>
      </c>
      <c r="CQ220" s="149">
        <f>IF(MOSFET_S=Custom_MOSFET,Table7[[#This Row],[Total MOSFET Loss C]],Table7[[#This Row],[Total MOSFET Loss]])</f>
        <v>3.0072838169793248</v>
      </c>
      <c r="CR220" s="149">
        <f>IF(MOSFET_S=Custom_MOSFET,Table7[[#This Row],[Efficiency C]],Table7[[#This Row],[Efficiency]])</f>
        <v>98.91137609992947</v>
      </c>
      <c r="CS220" s="153"/>
      <c r="CT220" s="149">
        <f>IF(MOSFET_S=Compare_MOSFET, Table7[[#This Row],[Total Sense Loss C]], -100)</f>
        <v>-100</v>
      </c>
      <c r="CU220" s="149">
        <f>IF(MOSFET_S=Compare_MOSFET, Table7[[#This Row],[Total MOSFET Loss C]], -100)</f>
        <v>-100</v>
      </c>
      <c r="CV220" s="149">
        <f>IF(MOSFET_S=Compare_MOSFET, Table7[[#This Row],[Efficiency C]], -100)</f>
        <v>-100</v>
      </c>
      <c r="CW220" s="153"/>
      <c r="CX220" s="149">
        <f ca="1">IF(Save_Sel=CLR_Save,  Table7[[#This Row],[Total Sense Loss P1]], Table7[[#This Row],[Total Sense Loss P1 Saved]])</f>
        <v>6.3244408015122877</v>
      </c>
      <c r="CY220" s="149">
        <f ca="1">IF(Save_Sel=CLR_Save,  Table7[[#This Row],[Total MOSFET Loss P1]], Table7[[#This Row],[Total MOSFET Loss P1 Saved]] )</f>
        <v>3.0072838169793248</v>
      </c>
      <c r="CZ220" s="149">
        <f ca="1">IF(Save_Sel=CLR_Save, Table7[[#This Row],[Efficiency P1]], Table7[[#This Row],[Efficiency P1 Saved]])</f>
        <v>98.91137609992947</v>
      </c>
      <c r="DA220" s="153"/>
      <c r="DB220" s="149">
        <f ca="1">IF(Save_Sel=CLR_Save,  Table7[[#This Row],[Total Sense Loss P2]], Table7[[#This Row],[Total Sense Loss P2 Saved]])</f>
        <v>-100</v>
      </c>
      <c r="DC220" s="149">
        <f ca="1">IF(Save_Sel=CLR_Save,  Table7[[#This Row],[Total MOSFET Loss P2]], Table7[[#This Row],[Total MOSFET Loss P2 Saved]] )</f>
        <v>-100</v>
      </c>
      <c r="DD220" s="149">
        <f ca="1">IF(Save_Sel=CLR_Save, Table7[[#This Row],[Efficiency P2]], Table7[[#This Row],[Efficiency P2 Saved]])</f>
        <v>-100</v>
      </c>
      <c r="DE220" s="153"/>
      <c r="DF220" s="19"/>
      <c r="DG220" s="19"/>
      <c r="DH220" s="19"/>
      <c r="DI220" s="19"/>
      <c r="DJ220" s="19"/>
      <c r="DK220" s="19"/>
      <c r="DL220" s="19"/>
      <c r="DM220" s="19"/>
      <c r="DN220" s="19"/>
      <c r="DO220" s="19"/>
      <c r="DP220" s="19"/>
      <c r="DQ220" s="19"/>
      <c r="DR220" s="19"/>
      <c r="DS220" s="19"/>
      <c r="DT220" s="19"/>
      <c r="DU220" s="19"/>
      <c r="DV220" s="19"/>
      <c r="DW220" s="19"/>
      <c r="DX220" s="19"/>
      <c r="DY220" s="19"/>
      <c r="DZ220" s="19"/>
      <c r="EA220" s="19"/>
      <c r="EB220" s="19"/>
      <c r="EC220" s="19"/>
      <c r="ED220" s="19"/>
      <c r="EE220" s="19"/>
      <c r="EF220" s="19"/>
      <c r="EG220" s="19"/>
      <c r="EH220" s="19"/>
      <c r="EI220" s="19"/>
      <c r="EJ220" s="19"/>
      <c r="EK220" s="19"/>
      <c r="EL220" s="19"/>
      <c r="EM220" s="19"/>
      <c r="EN220" s="19"/>
      <c r="EO220" s="19"/>
      <c r="EP220" s="19"/>
      <c r="EQ220" s="19"/>
      <c r="ER220" s="19"/>
      <c r="ES220" s="19"/>
      <c r="ET220" s="19"/>
      <c r="EU220" s="19"/>
      <c r="EV220" s="19"/>
      <c r="EW220" s="19"/>
      <c r="EX220" s="19"/>
      <c r="EY220" s="19"/>
      <c r="EZ220" s="19"/>
      <c r="FA220" s="19"/>
      <c r="FB220" s="19"/>
      <c r="FC220" s="19"/>
      <c r="FD220" s="19"/>
      <c r="FE220" s="19"/>
      <c r="FF220" s="19"/>
      <c r="FG220" s="19"/>
      <c r="FH220" s="19"/>
      <c r="FI220" s="19"/>
    </row>
    <row r="221" spans="1:165" x14ac:dyDescent="0.25">
      <c r="A221" s="96"/>
      <c r="B221" s="49"/>
      <c r="C221" s="49"/>
      <c r="D221" s="32"/>
      <c r="E221" s="66"/>
      <c r="F221" s="66"/>
      <c r="G221" s="49"/>
      <c r="H221" s="29"/>
      <c r="I221" s="29"/>
      <c r="J221" s="29"/>
      <c r="K221" s="29"/>
      <c r="L221" s="29"/>
      <c r="M221" s="29"/>
      <c r="N221" s="29"/>
      <c r="O221" s="29"/>
      <c r="P221" s="29"/>
      <c r="Q221" s="29"/>
      <c r="R221" s="29"/>
      <c r="S221" s="30"/>
      <c r="T221" s="18"/>
      <c r="U221" s="19"/>
      <c r="V221" s="19"/>
      <c r="W221" s="19"/>
      <c r="X221" s="19"/>
      <c r="Y221" s="19"/>
      <c r="Z221" s="19"/>
      <c r="AA221" s="19"/>
      <c r="AB221" s="19"/>
      <c r="AC221" s="19"/>
      <c r="AD221" s="19"/>
      <c r="AE221" s="19"/>
      <c r="AF221" s="143">
        <f t="shared" si="17"/>
        <v>65</v>
      </c>
      <c r="AG221" s="143">
        <f t="shared" ref="AG221:AG252" si="53">$AG$156+AF221*($AG$256-$AG$156)/$AF$256</f>
        <v>23.4</v>
      </c>
      <c r="AH221" s="144">
        <f t="shared" si="42"/>
        <v>861.11999999999989</v>
      </c>
      <c r="AI221" s="145">
        <f t="shared" si="43"/>
        <v>0.97826086956521752</v>
      </c>
      <c r="AJ221" s="145">
        <f t="shared" si="44"/>
        <v>22.89130434782609</v>
      </c>
      <c r="AK221" s="145">
        <f t="shared" si="40"/>
        <v>0.39130434782608459</v>
      </c>
      <c r="AL221" s="145">
        <f t="shared" si="41"/>
        <v>22.891583052929896</v>
      </c>
      <c r="AM221" s="146"/>
      <c r="AN221" s="145">
        <f>MAX(0,Table7[[#This Row],[I_L]]-0.5*Table7[[#This Row],[I_L pkpk]])</f>
        <v>22.695652173913047</v>
      </c>
      <c r="AO221" s="145">
        <f>Table7[[#This Row],[I_L]]+0.5*Table7[[#This Row],[I_L pkpk]]</f>
        <v>23.086956521739133</v>
      </c>
      <c r="AP221" s="145">
        <f ca="1">IF(VACnom&gt;Vbat, (VGS_S-(TI_MOSFET_S_VTH_H_BU+Table7[[#This Row],[I_L]]/TI_MOSFET_S_gFS_H_BU))/3.4, (VGS_S-(TI_MOSFET_S_VTH_L_BO+Table7[[#This Row],[I_L]]/TI_MOSFET_S_gFS_L_BO))/3.4 )</f>
        <v>2.9629156010230178</v>
      </c>
      <c r="AQ221" s="145">
        <f ca="1">IF(VACnom&gt;Vbat, ((TI_MOSFET_S_VTH_H_BU+Table7[[#This Row],[I_L]]/TI_MOSFET_S_gFS_H_BU))/1, ((TI_MOSFET_S_VTH_L_BO+Table7[[#This Row],[I_L]]/TI_MOSFET_S_gFS_L_BO))/1 )</f>
        <v>1.9260869565217391</v>
      </c>
      <c r="AR221" s="145">
        <f ca="1">IF(VACnom&gt;Vbat, (TI_MOSFET_S_QGD_H_BU+TI_MOSFET_S_QGS_H_BU)*10^-9/Table7[[#This Row],[Ion (A)]], (TI_MOSFET_S_QGD_L_BO+TI_MOSFET_S_QGS_L_BO)*10^-9/Table7[[#This Row],[Ion (A)]])/10^-9</f>
        <v>9.7201553733275787</v>
      </c>
      <c r="AS221" s="145">
        <f ca="1">IF(VACnom&gt;Vbat, (TI_MOSFET_S_QGD_H_BU+TI_MOSFET_S_QGS_H_BU)*10^-9/Table7[[#This Row],[Ioff (A)]], (TI_MOSFET_S_QGD_L_BO+TI_MOSFET_S_QGS_L_BO)*10^-9/Table7[[#This Row],[Ioff (A)]])/10^-9</f>
        <v>14.952595936794584</v>
      </c>
      <c r="AT221" s="145">
        <f ca="1" xml:space="preserve"> 0.5*VACnom*Table7[[#This Row],[Ivalley (A)]]*Table7[[#This Row],[ton (ns)]]*10^-9*Fsw*10^3+0.5*VACnom*Table7[[#This Row],[Ipeak (A)]]*Table7[[#This Row],[toff (ns)]]*10^-9*Fsw*10^3/10^-3</f>
        <v>1271.1843781668485</v>
      </c>
      <c r="AU221" s="145">
        <f t="shared" ca="1" si="45"/>
        <v>268.64000000000004</v>
      </c>
      <c r="AV221" s="145" t="e">
        <f t="shared" si="46"/>
        <v>#VALUE!</v>
      </c>
      <c r="AW221" s="145">
        <f t="shared" ca="1" si="47"/>
        <v>566.72000000000025</v>
      </c>
      <c r="AX221" s="145">
        <f ca="1">IF(VACnom&gt;Vbat, TI_MOSFET_S_VSD_L_BU*Table7[[#This Row],[Ivalley (A)]]*Fsw*10^3*40*10^-9+TI_MOSFET_S_VSD_L_BU*Table7[[#This Row],[Ipeak (A)]]*Fsw*10^3*30*10^-9, TI_MOSFET_S_VSD_H_BO*Table7[[#This Row],[Ivalley (A)]]*Fsw*10^3*40*10^-9+TI_MOSFET_S_VSD_H_BO*Table7[[#This Row],[Ipeak (A)]]*Fsw*10^3*30*10^-9)/10^-3</f>
        <v>230.46260869565228</v>
      </c>
      <c r="AY221" s="145" t="e">
        <f t="shared" si="48"/>
        <v>#VALUE!</v>
      </c>
      <c r="AZ221" s="145" t="e">
        <f>IF(VACnom&lt;Vbat, Table7[[#This Row],[Duty Cycle]]*Table7[[#This Row],[I_L RMS]]^2*TI_MOSFET_S_RDSON_H_BU*10^-3, (1-Table7[[#This Row],[Duty Cycle]])*Table7[[#This Row],[I_L RMS]]^2*TI_MOSFET_S_RDSON_H_BO*10^-3)/10^-3</f>
        <v>#VALUE!</v>
      </c>
      <c r="BA221" s="145" t="e">
        <f ca="1">IF(VACnom&gt;Vbat, Table7[[#This Row],[PIV (mW)]]+Table7[[#This Row],[Pqoss (mW)]]+Table7[[#This Row],[Pgate_top (mW)]], Table7[[#This Row],[PRR (mW)]]+Table7[[#This Row],[Pdead (mW)]]+Table7[[#This Row],[Pgate_top (mW)]])</f>
        <v>#VALUE!</v>
      </c>
      <c r="BB221" s="145" t="e">
        <f ca="1">Table7[[#This Row],[Pcon_top (mW)]]+Table7[[#This Row],[Psw_top (mW)]]</f>
        <v>#VALUE!</v>
      </c>
      <c r="BC221" s="145" t="e">
        <f>IF(VACnom&gt;Vbat, (1-Table7[[#This Row],[Duty Cycle]])*Table7[[#This Row],[I_L RMS]]^2*TI_MOSFET_S_RDSON_L_BU*10^-3, Table7[[#This Row],[Duty Cycle]]*Table7[[#This Row],[I_L RMS]]^2*TI_MOSFET_S_RDSON_L_BO*10^-3)/10^-3</f>
        <v>#VALUE!</v>
      </c>
      <c r="BD221" s="145" t="e">
        <f ca="1">IF(VACnom&gt;Vbat, Table7[[#This Row],[PRR (mW)]]+Table7[[#This Row],[Pdead (mW)]]+Table7[[#This Row],[Pgate_bottom (mW)]], Table7[[#This Row],[PIV (mW)]]+Table7[[#This Row],[Pqoss (mW)]]+Table7[[#This Row],[Pgate_bottom (mW)]])</f>
        <v>#VALUE!</v>
      </c>
      <c r="BE221" s="147" t="e">
        <f ca="1">Table7[[#This Row],[Pcon_bottom (mW)]]+Table7[[#This Row],[Psw_bottom (mW)]]</f>
        <v>#VALUE!</v>
      </c>
      <c r="BF221" s="145" t="e">
        <f ca="1">Table7[[#This Row],[Pbottom (mW)]]+Table7[[#This Row],[Ptop (mW)]]</f>
        <v>#VALUE!</v>
      </c>
      <c r="BG221" s="142"/>
      <c r="BH221" s="145">
        <f>MAX(0,Table7[[#This Row],[I_L]]-0.5*Table7[[#This Row],[I_L pkpk]])</f>
        <v>22.695652173913047</v>
      </c>
      <c r="BI221" s="145">
        <f>Table7[[#This Row],[I_L]]+0.5*Table7[[#This Row],[I_L pkpk]]</f>
        <v>23.086956521739133</v>
      </c>
      <c r="BJ221" s="145">
        <f>IF(VACnom&gt;Vbat, (VGS_S-(C_MOSFET_S_VTH_H_BU+Table7[[#This Row],[I_L]]/C_MOSFET_S_gFS_H_BU))/3.4, (VGS_S-(C_MOSFET_S_VTH_L_BO+Table7[[#This Row],[I_L]]/C_MOSFET_S_gFS_L_BO))/3.4 )</f>
        <v>2.9125474027692038</v>
      </c>
      <c r="BK221" s="145">
        <f>IF(VACnom&gt;Vbat, ((C_MOSFET_S_VTH_H_BU+Table7[[#This Row],[I_L]]/C_MOSFET_S_gFS_H_BU))/1, ((C_MOSFET_S_VTH_L_BO+Table7[[#This Row],[I_L]]/C_MOSFET_S_gFS_L_BO))/1 )</f>
        <v>2.0973388305847074</v>
      </c>
      <c r="BL221" s="145">
        <f>IF(VACnom&gt;Vbat, (C_MOSFET_S_QGD_H_BU+C_MOSFET_S_QGS_H_BU)*10^-9/Table7[[#This Row],[Ion (A) C]], (C_MOSFET_S_QGD_L_BO+C_MOSFET_S_QGS_L_BO)*10^-9/Table7[[#This Row],[Ion (A) C]])/10^-9</f>
        <v>5.3218017963459907</v>
      </c>
      <c r="BM221" s="145">
        <f>IF(VACnom&gt;Vbat, (C_MOSFET_S_QGD_H_BU+C_MOSFET_S_QGS_H_BU)*10^-9/Table7[[#This Row],[Ioff (A) C]], (C_MOSFET_S_QGD_L_BO+C_MOSFET_S_QGS_L_BO)*10^-9/Table7[[#This Row],[Ioff (A) C]])/10^-9</f>
        <v>7.3903175652733353</v>
      </c>
      <c r="BN221" s="145">
        <f xml:space="preserve"> 0.5*VACnom*Table7[[#This Row],[Ivalley (A) C]]*Table7[[#This Row],[ton (ns) C]]*10^-9*Fsw*10^3+0.5*VACnom*Table7[[#This Row],[Ipeak (A) C]]*Table7[[#This Row],[toff (ns) C]]*10^-9*Fsw*10^3/10^-3</f>
        <v>628.32585723165357</v>
      </c>
      <c r="BO221" s="145">
        <f t="shared" si="49"/>
        <v>305.44000000000011</v>
      </c>
      <c r="BP221" s="145">
        <f t="shared" si="50"/>
        <v>357.69600000000014</v>
      </c>
      <c r="BQ221" s="145">
        <f t="shared" si="51"/>
        <v>1067.2000000000003</v>
      </c>
      <c r="BR221" s="145">
        <f>IF(VACnom&gt;Vbat, C_MOSFET_S_VSD_L_BU*Table7[[#This Row],[Ivalley (A) C]]*Fsw*10^3*40*10^-9+C_MOSFET_S_VSD_L_BU*Table7[[#This Row],[Ipeak (A) C]]*Fsw*10^3*30*10^-9, C_MOSFET_S_VSD_H_BO*Table7[[#This Row],[Ivalley (A) C]]*Fsw*10^3*40*10^-9+C_MOSFET_S_VSD_H_BO*Table7[[#This Row],[Ipeak (A) C]]*Fsw*10^3*30*10^-9)/10^-3</f>
        <v>256.06956521739141</v>
      </c>
      <c r="BS221" s="145">
        <f t="shared" si="52"/>
        <v>357.69600000000014</v>
      </c>
      <c r="BT221" s="145">
        <f>IF(VACnom&lt;Vbat, Table7[[#This Row],[Duty Cycle]]*Table7[[#This Row],[I_L RMS]]^2*C_MOSFET_S_RDSON_H_BU*10^-3, (1-Table7[[#This Row],[Duty Cycle]])*Table7[[#This Row],[I_L RMS]]^2*C_MOSFET_S_RDSON_H_BO*10^-3)/10^-3</f>
        <v>29.618780307388676</v>
      </c>
      <c r="BU221" s="145">
        <f>IF(VACnom&gt;Vbat, Table7[[#This Row],[PIV (mW) C]]+Table7[[#This Row],[PQoss (mW) C]]+Table7[[#This Row],[Pgate_top (mW) C]], Table7[[#This Row],[PRR (mW) C]]+Table7[[#This Row],[Pdead (mW) C]]+Table7[[#This Row],[Pgate_top (mW) C]])</f>
        <v>1291.4618572316538</v>
      </c>
      <c r="BV221" s="145">
        <f>Table7[[#This Row],[Pcon_top (mW) C]]+Table7[[#This Row],[Psw_top (mW) C]]</f>
        <v>1321.0806375390425</v>
      </c>
      <c r="BW221" s="145">
        <f>IF(VACnom&gt;Vbat, (1-Table7[[#This Row],[Duty Cycle]])*Table7[[#This Row],[I_L RMS]]^2*C_MOSFET_S_RDSON_L_BU*10^-3, Table7[[#This Row],[Duty Cycle]]*Table7[[#This Row],[I_L RMS]]^2*C_MOSFET_S_RDSON_L_BO*10^-3)/10^-3</f>
        <v>19.366125585600287</v>
      </c>
      <c r="BX221" s="145">
        <f>IF(VACnom&gt;Vbat, Table7[[#This Row],[PRR (mW) C]]+Table7[[#This Row],[Pdead (mW) C]]+Table7[[#This Row],[Pgate_bottom (mW) C]], Table7[[#This Row],[PIV (mW) C]]+Table7[[#This Row],[PQoss (mW) C]]+Table7[[#This Row],[Pgate_bottom (mW) C]])</f>
        <v>1680.9655652173917</v>
      </c>
      <c r="BY221" s="145">
        <f>Table7[[#This Row],[Pcon_bottom (mW) C]]+Table7[[#This Row],[Psw_bottom (mV) C]]</f>
        <v>1700.3316908029919</v>
      </c>
      <c r="BZ221" s="145">
        <f>Table7[[#This Row],[Pbottom (mW) C]]+Table7[[#This Row],[Ptop (mW) C]]</f>
        <v>3021.4123283420345</v>
      </c>
      <c r="CA221" s="148"/>
      <c r="CB221" s="144">
        <f>(RAC_SNS*10^-3*(Table7[[#This Row],[IOUT (A)]]*Vbat/VACnom)^2/10^-3)</f>
        <v>1048.0236294896033</v>
      </c>
      <c r="CC221" s="144">
        <f>(RBAT_SNS*10^-3*Table7[[#This Row],[IOUT (A)]]^2)/10^-3</f>
        <v>2737.7999999999997</v>
      </c>
      <c r="CD221" s="144">
        <f>IF(VACnom&gt;Vbat,(L_DRC*10^-3*(Table7[[#This Row],[IOUT (A)]])^2/10^-3),(L_DRC*10^-3*(Table7[[#This Row],[IOUT (A)]]*Vbat/VACnom)^2/10^-3))</f>
        <v>2737.7999999999997</v>
      </c>
      <c r="CE221" s="152"/>
      <c r="CF221" s="145">
        <f>(Table7[[#This Row],[R_AC (mW)]]+Table7[[#This Row],[R_SR (mW)]]+Table7[[#This Row],[Inductor Loss (mW)]])/10^3</f>
        <v>6.5236236294896024</v>
      </c>
      <c r="CG221" s="145" t="e">
        <f ca="1">Table7[[#This Row],[Total TI (mW)]]/10^3</f>
        <v>#VALUE!</v>
      </c>
      <c r="CH221" s="145" t="e">
        <f ca="1">Table7[[#This Row],[Total Sense Loss]]+Table7[[#This Row],[Total MOSFET Loss]]</f>
        <v>#VALUE!</v>
      </c>
      <c r="CI221" s="149" t="e">
        <f ca="1">IF(Table7[[#This Row],[POUT (W)]]=0,0,(Table7[[#This Row],[POUT (W)]])/(Table7[[#This Row],[POUT (W)]]+Table7[[#This Row],[Total Power Loss (W)]]))*100</f>
        <v>#VALUE!</v>
      </c>
      <c r="CJ221" s="153"/>
      <c r="CK221" s="145">
        <f>(Table7[[#This Row],[R_AC (mW)]]+Table7[[#This Row],[R_SR (mW)]]+Table7[[#This Row],[Inductor Loss (mW)]])/10^3</f>
        <v>6.5236236294896024</v>
      </c>
      <c r="CL221" s="145">
        <f>Table7[[#This Row],[Total (mW) C]]/10^3</f>
        <v>3.0214123283420347</v>
      </c>
      <c r="CM221" s="145">
        <f>Table7[[#This Row],[Total Sense Loss C]]+Table7[[#This Row],[Total MOSFET Loss C]]</f>
        <v>9.5450359578316366</v>
      </c>
      <c r="CN221" s="149">
        <f>IF(Table7[[#This Row],[POUT (W)]]=0,0,(Table7[[#This Row],[POUT (W)]])/(Table7[[#This Row],[POUT (W)]]+Table7[[#This Row],[Total Power Loss (W) C]]))*100</f>
        <v>98.903707446190154</v>
      </c>
      <c r="CO221" s="153"/>
      <c r="CP221" s="149">
        <f>IF(MOSFET_S=Custom_MOSFET,Table7[[#This Row],[Total Sense Loss C]],Table7[[#This Row],[Total Sense Loss]])</f>
        <v>6.5236236294896024</v>
      </c>
      <c r="CQ221" s="149">
        <f>IF(MOSFET_S=Custom_MOSFET,Table7[[#This Row],[Total MOSFET Loss C]],Table7[[#This Row],[Total MOSFET Loss]])</f>
        <v>3.0214123283420347</v>
      </c>
      <c r="CR221" s="149">
        <f>IF(MOSFET_S=Custom_MOSFET,Table7[[#This Row],[Efficiency C]],Table7[[#This Row],[Efficiency]])</f>
        <v>98.903707446190154</v>
      </c>
      <c r="CS221" s="153"/>
      <c r="CT221" s="149">
        <f>IF(MOSFET_S=Compare_MOSFET, Table7[[#This Row],[Total Sense Loss C]], -100)</f>
        <v>-100</v>
      </c>
      <c r="CU221" s="149">
        <f>IF(MOSFET_S=Compare_MOSFET, Table7[[#This Row],[Total MOSFET Loss C]], -100)</f>
        <v>-100</v>
      </c>
      <c r="CV221" s="149">
        <f>IF(MOSFET_S=Compare_MOSFET, Table7[[#This Row],[Efficiency C]], -100)</f>
        <v>-100</v>
      </c>
      <c r="CW221" s="153"/>
      <c r="CX221" s="149">
        <f ca="1">IF(Save_Sel=CLR_Save,  Table7[[#This Row],[Total Sense Loss P1]], Table7[[#This Row],[Total Sense Loss P1 Saved]])</f>
        <v>6.5236236294896024</v>
      </c>
      <c r="CY221" s="149">
        <f ca="1">IF(Save_Sel=CLR_Save,  Table7[[#This Row],[Total MOSFET Loss P1]], Table7[[#This Row],[Total MOSFET Loss P1 Saved]] )</f>
        <v>3.0214123283420347</v>
      </c>
      <c r="CZ221" s="149">
        <f ca="1">IF(Save_Sel=CLR_Save, Table7[[#This Row],[Efficiency P1]], Table7[[#This Row],[Efficiency P1 Saved]])</f>
        <v>98.903707446190154</v>
      </c>
      <c r="DA221" s="153"/>
      <c r="DB221" s="149">
        <f ca="1">IF(Save_Sel=CLR_Save,  Table7[[#This Row],[Total Sense Loss P2]], Table7[[#This Row],[Total Sense Loss P2 Saved]])</f>
        <v>-100</v>
      </c>
      <c r="DC221" s="149">
        <f ca="1">IF(Save_Sel=CLR_Save,  Table7[[#This Row],[Total MOSFET Loss P2]], Table7[[#This Row],[Total MOSFET Loss P2 Saved]] )</f>
        <v>-100</v>
      </c>
      <c r="DD221" s="149">
        <f ca="1">IF(Save_Sel=CLR_Save, Table7[[#This Row],[Efficiency P2]], Table7[[#This Row],[Efficiency P2 Saved]])</f>
        <v>-100</v>
      </c>
      <c r="DE221" s="153"/>
      <c r="DF221" s="19"/>
      <c r="DG221" s="19"/>
      <c r="DH221" s="19"/>
      <c r="DI221" s="19"/>
      <c r="DJ221" s="19"/>
      <c r="DK221" s="19"/>
      <c r="DL221" s="19"/>
      <c r="DM221" s="19"/>
      <c r="DN221" s="19"/>
      <c r="DO221" s="19"/>
      <c r="DP221" s="19"/>
      <c r="DQ221" s="19"/>
      <c r="DR221" s="19"/>
      <c r="DS221" s="19"/>
      <c r="DT221" s="19"/>
      <c r="DU221" s="19"/>
      <c r="DV221" s="19"/>
      <c r="DW221" s="19"/>
      <c r="DX221" s="19"/>
      <c r="DY221" s="19"/>
      <c r="DZ221" s="19"/>
      <c r="EA221" s="19"/>
      <c r="EB221" s="19"/>
      <c r="EC221" s="19"/>
      <c r="ED221" s="19"/>
      <c r="EE221" s="19"/>
      <c r="EF221" s="19"/>
      <c r="EG221" s="19"/>
      <c r="EH221" s="19"/>
      <c r="EI221" s="19"/>
      <c r="EJ221" s="19"/>
      <c r="EK221" s="19"/>
      <c r="EL221" s="19"/>
      <c r="EM221" s="19"/>
      <c r="EN221" s="19"/>
      <c r="EO221" s="19"/>
      <c r="EP221" s="19"/>
      <c r="EQ221" s="19"/>
      <c r="ER221" s="19"/>
      <c r="ES221" s="19"/>
      <c r="ET221" s="19"/>
      <c r="EU221" s="19"/>
      <c r="EV221" s="19"/>
      <c r="EW221" s="19"/>
      <c r="EX221" s="19"/>
      <c r="EY221" s="19"/>
      <c r="EZ221" s="19"/>
      <c r="FA221" s="19"/>
      <c r="FB221" s="19"/>
      <c r="FC221" s="19"/>
      <c r="FD221" s="19"/>
      <c r="FE221" s="19"/>
      <c r="FF221" s="19"/>
      <c r="FG221" s="19"/>
      <c r="FH221" s="19"/>
      <c r="FI221" s="19"/>
    </row>
    <row r="222" spans="1:165" x14ac:dyDescent="0.25">
      <c r="A222" s="48"/>
      <c r="B222" s="49"/>
      <c r="C222" s="49"/>
      <c r="D222" s="32"/>
      <c r="E222" s="66"/>
      <c r="F222" s="66"/>
      <c r="G222" s="49"/>
      <c r="H222" s="29"/>
      <c r="I222" s="29"/>
      <c r="J222" s="29"/>
      <c r="K222" s="29"/>
      <c r="L222" s="29"/>
      <c r="M222" s="29"/>
      <c r="N222" s="29"/>
      <c r="O222" s="29"/>
      <c r="P222" s="29"/>
      <c r="Q222" s="29"/>
      <c r="R222" s="29"/>
      <c r="S222" s="30"/>
      <c r="T222" s="18"/>
      <c r="U222" s="19"/>
      <c r="V222" s="19"/>
      <c r="W222" s="19"/>
      <c r="X222" s="19"/>
      <c r="Y222" s="19"/>
      <c r="Z222" s="19"/>
      <c r="AA222" s="19"/>
      <c r="AB222" s="19"/>
      <c r="AC222" s="19"/>
      <c r="AD222" s="19"/>
      <c r="AE222" s="19"/>
      <c r="AF222" s="143">
        <f t="shared" ref="AF222:AF256" si="54">AF221+1</f>
        <v>66</v>
      </c>
      <c r="AG222" s="143">
        <f t="shared" si="53"/>
        <v>23.76</v>
      </c>
      <c r="AH222" s="144">
        <f t="shared" si="42"/>
        <v>874.36799999999994</v>
      </c>
      <c r="AI222" s="145">
        <f t="shared" si="43"/>
        <v>0.97826086956521752</v>
      </c>
      <c r="AJ222" s="145">
        <f t="shared" si="44"/>
        <v>23.243478260869569</v>
      </c>
      <c r="AK222" s="145">
        <f t="shared" si="40"/>
        <v>0.39130434782608459</v>
      </c>
      <c r="AL222" s="145">
        <f t="shared" si="41"/>
        <v>23.243752743219023</v>
      </c>
      <c r="AM222" s="146"/>
      <c r="AN222" s="145">
        <f>MAX(0,Table7[[#This Row],[I_L]]-0.5*Table7[[#This Row],[I_L pkpk]])</f>
        <v>23.047826086956526</v>
      </c>
      <c r="AO222" s="145">
        <f>Table7[[#This Row],[I_L]]+0.5*Table7[[#This Row],[I_L pkpk]]</f>
        <v>23.439130434782612</v>
      </c>
      <c r="AP222" s="145">
        <f ca="1">IF(VACnom&gt;Vbat, (VGS_S-(TI_MOSFET_S_VTH_H_BU+Table7[[#This Row],[I_L]]/TI_MOSFET_S_gFS_H_BU))/3.4, (VGS_S-(TI_MOSFET_S_VTH_L_BO+Table7[[#This Row],[I_L]]/TI_MOSFET_S_gFS_L_BO))/3.4 )</f>
        <v>2.9621188274640962</v>
      </c>
      <c r="AQ222" s="145">
        <f ca="1">IF(VACnom&gt;Vbat, ((TI_MOSFET_S_VTH_H_BU+Table7[[#This Row],[I_L]]/TI_MOSFET_S_gFS_H_BU))/1, ((TI_MOSFET_S_VTH_L_BO+Table7[[#This Row],[I_L]]/TI_MOSFET_S_gFS_L_BO))/1 )</f>
        <v>1.9287959866220736</v>
      </c>
      <c r="AR222" s="145">
        <f ca="1">IF(VACnom&gt;Vbat, (TI_MOSFET_S_QGD_H_BU+TI_MOSFET_S_QGS_H_BU)*10^-9/Table7[[#This Row],[Ion (A)]], (TI_MOSFET_S_QGD_L_BO+TI_MOSFET_S_QGS_L_BO)*10^-9/Table7[[#This Row],[Ion (A)]])/10^-9</f>
        <v>9.7227699756582719</v>
      </c>
      <c r="AS222" s="145">
        <f ca="1">IF(VACnom&gt;Vbat, (TI_MOSFET_S_QGD_H_BU+TI_MOSFET_S_QGS_H_BU)*10^-9/Table7[[#This Row],[Ioff (A)]], (TI_MOSFET_S_QGD_L_BO+TI_MOSFET_S_QGS_L_BO)*10^-9/Table7[[#This Row],[Ioff (A)]])/10^-9</f>
        <v>14.9315947356557</v>
      </c>
      <c r="AT222" s="145">
        <f ca="1" xml:space="preserve"> 0.5*VACnom*Table7[[#This Row],[Ivalley (A)]]*Table7[[#This Row],[ton (ns)]]*10^-9*Fsw*10^3+0.5*VACnom*Table7[[#This Row],[Ipeak (A)]]*Table7[[#This Row],[toff (ns)]]*10^-9*Fsw*10^3/10^-3</f>
        <v>1288.7642819769742</v>
      </c>
      <c r="AU222" s="145">
        <f t="shared" ca="1" si="45"/>
        <v>268.64000000000004</v>
      </c>
      <c r="AV222" s="145" t="e">
        <f t="shared" si="46"/>
        <v>#VALUE!</v>
      </c>
      <c r="AW222" s="145">
        <f t="shared" ca="1" si="47"/>
        <v>566.72000000000025</v>
      </c>
      <c r="AX222" s="145">
        <f ca="1">IF(VACnom&gt;Vbat, TI_MOSFET_S_VSD_L_BU*Table7[[#This Row],[Ivalley (A)]]*Fsw*10^3*40*10^-9+TI_MOSFET_S_VSD_L_BU*Table7[[#This Row],[Ipeak (A)]]*Fsw*10^3*30*10^-9, TI_MOSFET_S_VSD_H_BO*Table7[[#This Row],[Ivalley (A)]]*Fsw*10^3*40*10^-9+TI_MOSFET_S_VSD_H_BO*Table7[[#This Row],[Ipeak (A)]]*Fsw*10^3*30*10^-9)/10^-3</f>
        <v>234.01252173913056</v>
      </c>
      <c r="AY222" s="145" t="e">
        <f t="shared" si="48"/>
        <v>#VALUE!</v>
      </c>
      <c r="AZ222" s="145" t="e">
        <f>IF(VACnom&lt;Vbat, Table7[[#This Row],[Duty Cycle]]*Table7[[#This Row],[I_L RMS]]^2*TI_MOSFET_S_RDSON_H_BU*10^-3, (1-Table7[[#This Row],[Duty Cycle]])*Table7[[#This Row],[I_L RMS]]^2*TI_MOSFET_S_RDSON_H_BO*10^-3)/10^-3</f>
        <v>#VALUE!</v>
      </c>
      <c r="BA222" s="145" t="e">
        <f ca="1">IF(VACnom&gt;Vbat, Table7[[#This Row],[PIV (mW)]]+Table7[[#This Row],[Pqoss (mW)]]+Table7[[#This Row],[Pgate_top (mW)]], Table7[[#This Row],[PRR (mW)]]+Table7[[#This Row],[Pdead (mW)]]+Table7[[#This Row],[Pgate_top (mW)]])</f>
        <v>#VALUE!</v>
      </c>
      <c r="BB222" s="145" t="e">
        <f ca="1">Table7[[#This Row],[Pcon_top (mW)]]+Table7[[#This Row],[Psw_top (mW)]]</f>
        <v>#VALUE!</v>
      </c>
      <c r="BC222" s="145" t="e">
        <f>IF(VACnom&gt;Vbat, (1-Table7[[#This Row],[Duty Cycle]])*Table7[[#This Row],[I_L RMS]]^2*TI_MOSFET_S_RDSON_L_BU*10^-3, Table7[[#This Row],[Duty Cycle]]*Table7[[#This Row],[I_L RMS]]^2*TI_MOSFET_S_RDSON_L_BO*10^-3)/10^-3</f>
        <v>#VALUE!</v>
      </c>
      <c r="BD222" s="145" t="e">
        <f ca="1">IF(VACnom&gt;Vbat, Table7[[#This Row],[PRR (mW)]]+Table7[[#This Row],[Pdead (mW)]]+Table7[[#This Row],[Pgate_bottom (mW)]], Table7[[#This Row],[PIV (mW)]]+Table7[[#This Row],[Pqoss (mW)]]+Table7[[#This Row],[Pgate_bottom (mW)]])</f>
        <v>#VALUE!</v>
      </c>
      <c r="BE222" s="147" t="e">
        <f ca="1">Table7[[#This Row],[Pcon_bottom (mW)]]+Table7[[#This Row],[Psw_bottom (mW)]]</f>
        <v>#VALUE!</v>
      </c>
      <c r="BF222" s="145" t="e">
        <f ca="1">Table7[[#This Row],[Pbottom (mW)]]+Table7[[#This Row],[Ptop (mW)]]</f>
        <v>#VALUE!</v>
      </c>
      <c r="BG222" s="142"/>
      <c r="BH222" s="145">
        <f>MAX(0,Table7[[#This Row],[I_L]]-0.5*Table7[[#This Row],[I_L pkpk]])</f>
        <v>23.047826086956526</v>
      </c>
      <c r="BI222" s="145">
        <f>Table7[[#This Row],[I_L]]+0.5*Table7[[#This Row],[I_L pkpk]]</f>
        <v>23.439130434782612</v>
      </c>
      <c r="BJ222" s="145">
        <f>IF(VACnom&gt;Vbat, (VGS_S-(C_MOSFET_S_VTH_H_BU+Table7[[#This Row],[I_L]]/C_MOSFET_S_gFS_H_BU))/3.4, (VGS_S-(C_MOSFET_S_VTH_L_BO+Table7[[#This Row],[I_L]]/C_MOSFET_S_gFS_L_BO))/3.4 )</f>
        <v>2.911654466884205</v>
      </c>
      <c r="BK222" s="145">
        <f>IF(VACnom&gt;Vbat, ((C_MOSFET_S_VTH_H_BU+Table7[[#This Row],[I_L]]/C_MOSFET_S_gFS_H_BU))/1, ((C_MOSFET_S_VTH_L_BO+Table7[[#This Row],[I_L]]/C_MOSFET_S_gFS_L_BO))/1 )</f>
        <v>2.100374812593703</v>
      </c>
      <c r="BL222" s="145">
        <f>IF(VACnom&gt;Vbat, (C_MOSFET_S_QGD_H_BU+C_MOSFET_S_QGS_H_BU)*10^-9/Table7[[#This Row],[Ion (A) C]], (C_MOSFET_S_QGD_L_BO+C_MOSFET_S_QGS_L_BO)*10^-9/Table7[[#This Row],[Ion (A) C]])/10^-9</f>
        <v>5.3234338676823585</v>
      </c>
      <c r="BM222" s="145">
        <f>IF(VACnom&gt;Vbat, (C_MOSFET_S_QGD_H_BU+C_MOSFET_S_QGS_H_BU)*10^-9/Table7[[#This Row],[Ioff (A) C]], (C_MOSFET_S_QGD_L_BO+C_MOSFET_S_QGS_L_BO)*10^-9/Table7[[#This Row],[Ioff (A) C]])/10^-9</f>
        <v>7.3796352475106177</v>
      </c>
      <c r="BN222" s="145">
        <f xml:space="preserve"> 0.5*VACnom*Table7[[#This Row],[Ivalley (A) C]]*Table7[[#This Row],[ton (ns) C]]*10^-9*Fsw*10^3+0.5*VACnom*Table7[[#This Row],[Ipeak (A) C]]*Table7[[#This Row],[toff (ns) C]]*10^-9*Fsw*10^3/10^-3</f>
        <v>636.98933027619739</v>
      </c>
      <c r="BO222" s="145">
        <f t="shared" si="49"/>
        <v>305.44000000000011</v>
      </c>
      <c r="BP222" s="145">
        <f t="shared" si="50"/>
        <v>357.69600000000014</v>
      </c>
      <c r="BQ222" s="145">
        <f t="shared" si="51"/>
        <v>1067.2000000000003</v>
      </c>
      <c r="BR222" s="145">
        <f>IF(VACnom&gt;Vbat, C_MOSFET_S_VSD_L_BU*Table7[[#This Row],[Ivalley (A) C]]*Fsw*10^3*40*10^-9+C_MOSFET_S_VSD_L_BU*Table7[[#This Row],[Ipeak (A) C]]*Fsw*10^3*30*10^-9, C_MOSFET_S_VSD_H_BO*Table7[[#This Row],[Ivalley (A) C]]*Fsw*10^3*40*10^-9+C_MOSFET_S_VSD_H_BO*Table7[[#This Row],[Ipeak (A) C]]*Fsw*10^3*30*10^-9)/10^-3</f>
        <v>260.0139130434784</v>
      </c>
      <c r="BS222" s="145">
        <f t="shared" si="52"/>
        <v>357.69600000000014</v>
      </c>
      <c r="BT222" s="145">
        <f>IF(VACnom&lt;Vbat, Table7[[#This Row],[Duty Cycle]]*Table7[[#This Row],[I_L RMS]]^2*C_MOSFET_S_RDSON_H_BU*10^-3, (1-Table7[[#This Row],[Duty Cycle]])*Table7[[#This Row],[I_L RMS]]^2*C_MOSFET_S_RDSON_H_BO*10^-3)/10^-3</f>
        <v>30.537115394098628</v>
      </c>
      <c r="BU222" s="145">
        <f>IF(VACnom&gt;Vbat, Table7[[#This Row],[PIV (mW) C]]+Table7[[#This Row],[PQoss (mW) C]]+Table7[[#This Row],[Pgate_top (mW) C]], Table7[[#This Row],[PRR (mW) C]]+Table7[[#This Row],[Pdead (mW) C]]+Table7[[#This Row],[Pgate_top (mW) C]])</f>
        <v>1300.1253302761977</v>
      </c>
      <c r="BV222" s="145">
        <f>Table7[[#This Row],[Pcon_top (mW) C]]+Table7[[#This Row],[Psw_top (mW) C]]</f>
        <v>1330.6624456702964</v>
      </c>
      <c r="BW222" s="145">
        <f>IF(VACnom&gt;Vbat, (1-Table7[[#This Row],[Duty Cycle]])*Table7[[#This Row],[I_L RMS]]^2*C_MOSFET_S_RDSON_L_BU*10^-3, Table7[[#This Row],[Duty Cycle]]*Table7[[#This Row],[I_L RMS]]^2*C_MOSFET_S_RDSON_L_BO*10^-3)/10^-3</f>
        <v>19.966575449987563</v>
      </c>
      <c r="BX222" s="145">
        <f>IF(VACnom&gt;Vbat, Table7[[#This Row],[PRR (mW) C]]+Table7[[#This Row],[Pdead (mW) C]]+Table7[[#This Row],[Pgate_bottom (mW) C]], Table7[[#This Row],[PIV (mW) C]]+Table7[[#This Row],[PQoss (mW) C]]+Table7[[#This Row],[Pgate_bottom (mW) C]])</f>
        <v>1684.9099130434788</v>
      </c>
      <c r="BY222" s="145">
        <f>Table7[[#This Row],[Pcon_bottom (mW) C]]+Table7[[#This Row],[Psw_bottom (mV) C]]</f>
        <v>1704.8764884934665</v>
      </c>
      <c r="BZ222" s="145">
        <f>Table7[[#This Row],[Pbottom (mW) C]]+Table7[[#This Row],[Ptop (mW) C]]</f>
        <v>3035.5389341637629</v>
      </c>
      <c r="CA222" s="148"/>
      <c r="CB222" s="144">
        <f>(RAC_SNS*10^-3*(Table7[[#This Row],[IOUT (A)]]*Vbat/VACnom)^2/10^-3)</f>
        <v>1080.5185633270326</v>
      </c>
      <c r="CC222" s="144">
        <f>(RBAT_SNS*10^-3*Table7[[#This Row],[IOUT (A)]]^2)/10^-3</f>
        <v>2822.6880000000006</v>
      </c>
      <c r="CD222" s="144">
        <f>IF(VACnom&gt;Vbat,(L_DRC*10^-3*(Table7[[#This Row],[IOUT (A)]])^2/10^-3),(L_DRC*10^-3*(Table7[[#This Row],[IOUT (A)]]*Vbat/VACnom)^2/10^-3))</f>
        <v>2822.6880000000006</v>
      </c>
      <c r="CE222" s="152"/>
      <c r="CF222" s="145">
        <f>(Table7[[#This Row],[R_AC (mW)]]+Table7[[#This Row],[R_SR (mW)]]+Table7[[#This Row],[Inductor Loss (mW)]])/10^3</f>
        <v>6.7258945633270342</v>
      </c>
      <c r="CG222" s="145" t="e">
        <f ca="1">Table7[[#This Row],[Total TI (mW)]]/10^3</f>
        <v>#VALUE!</v>
      </c>
      <c r="CH222" s="145" t="e">
        <f ca="1">Table7[[#This Row],[Total Sense Loss]]+Table7[[#This Row],[Total MOSFET Loss]]</f>
        <v>#VALUE!</v>
      </c>
      <c r="CI222" s="149" t="e">
        <f ca="1">IF(Table7[[#This Row],[POUT (W)]]=0,0,(Table7[[#This Row],[POUT (W)]])/(Table7[[#This Row],[POUT (W)]]+Table7[[#This Row],[Total Power Loss (W)]]))*100</f>
        <v>#VALUE!</v>
      </c>
      <c r="CJ222" s="153"/>
      <c r="CK222" s="145">
        <f>(Table7[[#This Row],[R_AC (mW)]]+Table7[[#This Row],[R_SR (mW)]]+Table7[[#This Row],[Inductor Loss (mW)]])/10^3</f>
        <v>6.7258945633270342</v>
      </c>
      <c r="CL222" s="145">
        <f>Table7[[#This Row],[Total (mW) C]]/10^3</f>
        <v>3.0355389341637631</v>
      </c>
      <c r="CM222" s="145">
        <f>Table7[[#This Row],[Total Sense Loss C]]+Table7[[#This Row],[Total MOSFET Loss C]]</f>
        <v>9.7614334974907973</v>
      </c>
      <c r="CN222" s="149">
        <f>IF(Table7[[#This Row],[POUT (W)]]=0,0,(Table7[[#This Row],[POUT (W)]])/(Table7[[#This Row],[POUT (W)]]+Table7[[#This Row],[Total Power Loss (W) C]]))*100</f>
        <v>98.895927097588427</v>
      </c>
      <c r="CO222" s="153"/>
      <c r="CP222" s="149">
        <f>IF(MOSFET_S=Custom_MOSFET,Table7[[#This Row],[Total Sense Loss C]],Table7[[#This Row],[Total Sense Loss]])</f>
        <v>6.7258945633270342</v>
      </c>
      <c r="CQ222" s="149">
        <f>IF(MOSFET_S=Custom_MOSFET,Table7[[#This Row],[Total MOSFET Loss C]],Table7[[#This Row],[Total MOSFET Loss]])</f>
        <v>3.0355389341637631</v>
      </c>
      <c r="CR222" s="149">
        <f>IF(MOSFET_S=Custom_MOSFET,Table7[[#This Row],[Efficiency C]],Table7[[#This Row],[Efficiency]])</f>
        <v>98.895927097588427</v>
      </c>
      <c r="CS222" s="153"/>
      <c r="CT222" s="149">
        <f>IF(MOSFET_S=Compare_MOSFET, Table7[[#This Row],[Total Sense Loss C]], -100)</f>
        <v>-100</v>
      </c>
      <c r="CU222" s="149">
        <f>IF(MOSFET_S=Compare_MOSFET, Table7[[#This Row],[Total MOSFET Loss C]], -100)</f>
        <v>-100</v>
      </c>
      <c r="CV222" s="149">
        <f>IF(MOSFET_S=Compare_MOSFET, Table7[[#This Row],[Efficiency C]], -100)</f>
        <v>-100</v>
      </c>
      <c r="CW222" s="153"/>
      <c r="CX222" s="149">
        <f ca="1">IF(Save_Sel=CLR_Save,  Table7[[#This Row],[Total Sense Loss P1]], Table7[[#This Row],[Total Sense Loss P1 Saved]])</f>
        <v>6.7258945633270342</v>
      </c>
      <c r="CY222" s="149">
        <f ca="1">IF(Save_Sel=CLR_Save,  Table7[[#This Row],[Total MOSFET Loss P1]], Table7[[#This Row],[Total MOSFET Loss P1 Saved]] )</f>
        <v>3.0355389341637631</v>
      </c>
      <c r="CZ222" s="149">
        <f ca="1">IF(Save_Sel=CLR_Save, Table7[[#This Row],[Efficiency P1]], Table7[[#This Row],[Efficiency P1 Saved]])</f>
        <v>98.895927097588427</v>
      </c>
      <c r="DA222" s="153"/>
      <c r="DB222" s="149">
        <f ca="1">IF(Save_Sel=CLR_Save,  Table7[[#This Row],[Total Sense Loss P2]], Table7[[#This Row],[Total Sense Loss P2 Saved]])</f>
        <v>-100</v>
      </c>
      <c r="DC222" s="149">
        <f ca="1">IF(Save_Sel=CLR_Save,  Table7[[#This Row],[Total MOSFET Loss P2]], Table7[[#This Row],[Total MOSFET Loss P2 Saved]] )</f>
        <v>-100</v>
      </c>
      <c r="DD222" s="149">
        <f ca="1">IF(Save_Sel=CLR_Save, Table7[[#This Row],[Efficiency P2]], Table7[[#This Row],[Efficiency P2 Saved]])</f>
        <v>-100</v>
      </c>
      <c r="DE222" s="153"/>
      <c r="DF222" s="19"/>
      <c r="DG222" s="19"/>
      <c r="DH222" s="19"/>
      <c r="DI222" s="19"/>
      <c r="DJ222" s="19"/>
      <c r="DK222" s="19"/>
      <c r="DL222" s="19"/>
      <c r="DM222" s="19"/>
      <c r="DN222" s="19"/>
      <c r="DO222" s="19"/>
      <c r="DP222" s="19"/>
      <c r="DQ222" s="19"/>
      <c r="DR222" s="19"/>
      <c r="DS222" s="19"/>
      <c r="DT222" s="19"/>
      <c r="DU222" s="19"/>
      <c r="DV222" s="19"/>
      <c r="DW222" s="19"/>
      <c r="DX222" s="19"/>
      <c r="DY222" s="19"/>
      <c r="DZ222" s="19"/>
      <c r="EA222" s="19"/>
      <c r="EB222" s="19"/>
      <c r="EC222" s="19"/>
      <c r="ED222" s="19"/>
      <c r="EE222" s="19"/>
      <c r="EF222" s="19"/>
      <c r="EG222" s="19"/>
      <c r="EH222" s="19"/>
      <c r="EI222" s="19"/>
      <c r="EJ222" s="19"/>
      <c r="EK222" s="19"/>
      <c r="EL222" s="19"/>
      <c r="EM222" s="19"/>
      <c r="EN222" s="19"/>
      <c r="EO222" s="19"/>
      <c r="EP222" s="19"/>
      <c r="EQ222" s="19"/>
      <c r="ER222" s="19"/>
      <c r="ES222" s="19"/>
      <c r="ET222" s="19"/>
      <c r="EU222" s="19"/>
      <c r="EV222" s="19"/>
      <c r="EW222" s="19"/>
      <c r="EX222" s="19"/>
      <c r="EY222" s="19"/>
      <c r="EZ222" s="19"/>
      <c r="FA222" s="19"/>
      <c r="FB222" s="19"/>
      <c r="FC222" s="19"/>
      <c r="FD222" s="19"/>
      <c r="FE222" s="19"/>
      <c r="FF222" s="19"/>
      <c r="FG222" s="19"/>
      <c r="FH222" s="19"/>
      <c r="FI222" s="19"/>
    </row>
    <row r="223" spans="1:165" x14ac:dyDescent="0.25">
      <c r="A223" s="48"/>
      <c r="B223" s="49"/>
      <c r="C223" s="49"/>
      <c r="D223" s="39"/>
      <c r="E223" s="49"/>
      <c r="F223" s="49"/>
      <c r="G223" s="49"/>
      <c r="H223" s="29"/>
      <c r="I223" s="29"/>
      <c r="J223" s="29"/>
      <c r="K223" s="29"/>
      <c r="L223" s="29"/>
      <c r="M223" s="29"/>
      <c r="N223" s="29"/>
      <c r="O223" s="29"/>
      <c r="P223" s="29"/>
      <c r="Q223" s="29"/>
      <c r="R223" s="29"/>
      <c r="S223" s="30"/>
      <c r="T223" s="18"/>
      <c r="U223" s="19"/>
      <c r="V223" s="19"/>
      <c r="W223" s="19"/>
      <c r="X223" s="19"/>
      <c r="Y223" s="19"/>
      <c r="Z223" s="19"/>
      <c r="AA223" s="19"/>
      <c r="AB223" s="19"/>
      <c r="AC223" s="19"/>
      <c r="AD223" s="19"/>
      <c r="AE223" s="19"/>
      <c r="AF223" s="143">
        <f t="shared" si="54"/>
        <v>67</v>
      </c>
      <c r="AG223" s="143">
        <f t="shared" si="53"/>
        <v>24.12</v>
      </c>
      <c r="AH223" s="144">
        <f t="shared" si="42"/>
        <v>887.61599999999999</v>
      </c>
      <c r="AI223" s="145">
        <f t="shared" si="43"/>
        <v>0.97826086956521752</v>
      </c>
      <c r="AJ223" s="145">
        <f t="shared" si="44"/>
        <v>23.595652173913049</v>
      </c>
      <c r="AK223" s="145">
        <f t="shared" si="40"/>
        <v>0.39130434782608459</v>
      </c>
      <c r="AL223" s="145">
        <f t="shared" si="41"/>
        <v>23.595922559558318</v>
      </c>
      <c r="AM223" s="146"/>
      <c r="AN223" s="145">
        <f>MAX(0,Table7[[#This Row],[I_L]]-0.5*Table7[[#This Row],[I_L pkpk]])</f>
        <v>23.400000000000006</v>
      </c>
      <c r="AO223" s="145">
        <f>Table7[[#This Row],[I_L]]+0.5*Table7[[#This Row],[I_L pkpk]]</f>
        <v>23.791304347826092</v>
      </c>
      <c r="AP223" s="145">
        <f ca="1">IF(VACnom&gt;Vbat, (VGS_S-(TI_MOSFET_S_VTH_H_BU+Table7[[#This Row],[I_L]]/TI_MOSFET_S_gFS_H_BU))/3.4, (VGS_S-(TI_MOSFET_S_VTH_L_BO+Table7[[#This Row],[I_L]]/TI_MOSFET_S_gFS_L_BO))/3.4 )</f>
        <v>2.9613220539051741</v>
      </c>
      <c r="AQ223" s="145">
        <f ca="1">IF(VACnom&gt;Vbat, ((TI_MOSFET_S_VTH_H_BU+Table7[[#This Row],[I_L]]/TI_MOSFET_S_gFS_H_BU))/1, ((TI_MOSFET_S_VTH_L_BO+Table7[[#This Row],[I_L]]/TI_MOSFET_S_gFS_L_BO))/1 )</f>
        <v>1.9315050167224082</v>
      </c>
      <c r="AR223" s="145">
        <f ca="1">IF(VACnom&gt;Vbat, (TI_MOSFET_S_QGD_H_BU+TI_MOSFET_S_QGS_H_BU)*10^-9/Table7[[#This Row],[Ion (A)]], (TI_MOSFET_S_QGD_L_BO+TI_MOSFET_S_QGS_L_BO)*10^-9/Table7[[#This Row],[Ion (A)]])/10^-9</f>
        <v>9.7253859849592086</v>
      </c>
      <c r="AS223" s="145">
        <f ca="1">IF(VACnom&gt;Vbat, (TI_MOSFET_S_QGD_H_BU+TI_MOSFET_S_QGS_H_BU)*10^-9/Table7[[#This Row],[Ioff (A)]], (TI_MOSFET_S_QGD_L_BO+TI_MOSFET_S_QGS_L_BO)*10^-9/Table7[[#This Row],[Ioff (A)]])/10^-9</f>
        <v>14.910652444936972</v>
      </c>
      <c r="AT223" s="145">
        <f ca="1" xml:space="preserve"> 0.5*VACnom*Table7[[#This Row],[Ivalley (A)]]*Table7[[#This Row],[ton (ns)]]*10^-9*Fsw*10^3+0.5*VACnom*Table7[[#This Row],[Ipeak (A)]]*Table7[[#This Row],[toff (ns)]]*10^-9*Fsw*10^3/10^-3</f>
        <v>1306.2949152970591</v>
      </c>
      <c r="AU223" s="145">
        <f t="shared" ca="1" si="45"/>
        <v>268.64000000000004</v>
      </c>
      <c r="AV223" s="145" t="e">
        <f t="shared" si="46"/>
        <v>#VALUE!</v>
      </c>
      <c r="AW223" s="145">
        <f t="shared" ca="1" si="47"/>
        <v>566.72000000000025</v>
      </c>
      <c r="AX223" s="145">
        <f ca="1">IF(VACnom&gt;Vbat, TI_MOSFET_S_VSD_L_BU*Table7[[#This Row],[Ivalley (A)]]*Fsw*10^3*40*10^-9+TI_MOSFET_S_VSD_L_BU*Table7[[#This Row],[Ipeak (A)]]*Fsw*10^3*30*10^-9, TI_MOSFET_S_VSD_H_BO*Table7[[#This Row],[Ivalley (A)]]*Fsw*10^3*40*10^-9+TI_MOSFET_S_VSD_H_BO*Table7[[#This Row],[Ipeak (A)]]*Fsw*10^3*30*10^-9)/10^-3</f>
        <v>237.56243478260882</v>
      </c>
      <c r="AY223" s="145" t="e">
        <f t="shared" si="48"/>
        <v>#VALUE!</v>
      </c>
      <c r="AZ223" s="145" t="e">
        <f>IF(VACnom&lt;Vbat, Table7[[#This Row],[Duty Cycle]]*Table7[[#This Row],[I_L RMS]]^2*TI_MOSFET_S_RDSON_H_BU*10^-3, (1-Table7[[#This Row],[Duty Cycle]])*Table7[[#This Row],[I_L RMS]]^2*TI_MOSFET_S_RDSON_H_BO*10^-3)/10^-3</f>
        <v>#VALUE!</v>
      </c>
      <c r="BA223" s="145" t="e">
        <f ca="1">IF(VACnom&gt;Vbat, Table7[[#This Row],[PIV (mW)]]+Table7[[#This Row],[Pqoss (mW)]]+Table7[[#This Row],[Pgate_top (mW)]], Table7[[#This Row],[PRR (mW)]]+Table7[[#This Row],[Pdead (mW)]]+Table7[[#This Row],[Pgate_top (mW)]])</f>
        <v>#VALUE!</v>
      </c>
      <c r="BB223" s="145" t="e">
        <f ca="1">Table7[[#This Row],[Pcon_top (mW)]]+Table7[[#This Row],[Psw_top (mW)]]</f>
        <v>#VALUE!</v>
      </c>
      <c r="BC223" s="145" t="e">
        <f>IF(VACnom&gt;Vbat, (1-Table7[[#This Row],[Duty Cycle]])*Table7[[#This Row],[I_L RMS]]^2*TI_MOSFET_S_RDSON_L_BU*10^-3, Table7[[#This Row],[Duty Cycle]]*Table7[[#This Row],[I_L RMS]]^2*TI_MOSFET_S_RDSON_L_BO*10^-3)/10^-3</f>
        <v>#VALUE!</v>
      </c>
      <c r="BD223" s="145" t="e">
        <f ca="1">IF(VACnom&gt;Vbat, Table7[[#This Row],[PRR (mW)]]+Table7[[#This Row],[Pdead (mW)]]+Table7[[#This Row],[Pgate_bottom (mW)]], Table7[[#This Row],[PIV (mW)]]+Table7[[#This Row],[Pqoss (mW)]]+Table7[[#This Row],[Pgate_bottom (mW)]])</f>
        <v>#VALUE!</v>
      </c>
      <c r="BE223" s="147" t="e">
        <f ca="1">Table7[[#This Row],[Pcon_bottom (mW)]]+Table7[[#This Row],[Psw_bottom (mW)]]</f>
        <v>#VALUE!</v>
      </c>
      <c r="BF223" s="145" t="e">
        <f ca="1">Table7[[#This Row],[Pbottom (mW)]]+Table7[[#This Row],[Ptop (mW)]]</f>
        <v>#VALUE!</v>
      </c>
      <c r="BG223" s="142"/>
      <c r="BH223" s="145">
        <f>MAX(0,Table7[[#This Row],[I_L]]-0.5*Table7[[#This Row],[I_L pkpk]])</f>
        <v>23.400000000000006</v>
      </c>
      <c r="BI223" s="145">
        <f>Table7[[#This Row],[I_L]]+0.5*Table7[[#This Row],[I_L pkpk]]</f>
        <v>23.791304347826092</v>
      </c>
      <c r="BJ223" s="145">
        <f>IF(VACnom&gt;Vbat, (VGS_S-(C_MOSFET_S_VTH_H_BU+Table7[[#This Row],[I_L]]/C_MOSFET_S_gFS_H_BU))/3.4, (VGS_S-(C_MOSFET_S_VTH_L_BO+Table7[[#This Row],[I_L]]/C_MOSFET_S_gFS_L_BO))/3.4 )</f>
        <v>2.9107615309992063</v>
      </c>
      <c r="BK223" s="145">
        <f>IF(VACnom&gt;Vbat, ((C_MOSFET_S_VTH_H_BU+Table7[[#This Row],[I_L]]/C_MOSFET_S_gFS_H_BU))/1, ((C_MOSFET_S_VTH_L_BO+Table7[[#This Row],[I_L]]/C_MOSFET_S_gFS_L_BO))/1 )</f>
        <v>2.1034107946026985</v>
      </c>
      <c r="BL223" s="145">
        <f>IF(VACnom&gt;Vbat, (C_MOSFET_S_QGD_H_BU+C_MOSFET_S_QGS_H_BU)*10^-9/Table7[[#This Row],[Ion (A) C]], (C_MOSFET_S_QGD_L_BO+C_MOSFET_S_QGS_L_BO)*10^-9/Table7[[#This Row],[Ion (A) C]])/10^-9</f>
        <v>5.3250669403615341</v>
      </c>
      <c r="BM223" s="145">
        <f>IF(VACnom&gt;Vbat, (C_MOSFET_S_QGD_H_BU+C_MOSFET_S_QGS_H_BU)*10^-9/Table7[[#This Row],[Ioff (A) C]], (C_MOSFET_S_QGD_L_BO+C_MOSFET_S_QGS_L_BO)*10^-9/Table7[[#This Row],[Ioff (A) C]])/10^-9</f>
        <v>7.368983766638749</v>
      </c>
      <c r="BN223" s="145">
        <f xml:space="preserve"> 0.5*VACnom*Table7[[#This Row],[Ivalley (A) C]]*Table7[[#This Row],[ton (ns) C]]*10^-9*Fsw*10^3+0.5*VACnom*Table7[[#This Row],[Ipeak (A) C]]*Table7[[#This Row],[toff (ns) C]]*10^-9*Fsw*10^3/10^-3</f>
        <v>645.62781890112433</v>
      </c>
      <c r="BO223" s="145">
        <f t="shared" si="49"/>
        <v>305.44000000000011</v>
      </c>
      <c r="BP223" s="145">
        <f t="shared" si="50"/>
        <v>357.69600000000014</v>
      </c>
      <c r="BQ223" s="145">
        <f t="shared" si="51"/>
        <v>1067.2000000000003</v>
      </c>
      <c r="BR223" s="145">
        <f>IF(VACnom&gt;Vbat, C_MOSFET_S_VSD_L_BU*Table7[[#This Row],[Ivalley (A) C]]*Fsw*10^3*40*10^-9+C_MOSFET_S_VSD_L_BU*Table7[[#This Row],[Ipeak (A) C]]*Fsw*10^3*30*10^-9, C_MOSFET_S_VSD_H_BO*Table7[[#This Row],[Ivalley (A) C]]*Fsw*10^3*40*10^-9+C_MOSFET_S_VSD_H_BO*Table7[[#This Row],[Ipeak (A) C]]*Fsw*10^3*30*10^-9)/10^-3</f>
        <v>263.95826086956538</v>
      </c>
      <c r="BS223" s="145">
        <f t="shared" si="52"/>
        <v>357.69600000000014</v>
      </c>
      <c r="BT223" s="145">
        <f>IF(VACnom&lt;Vbat, Table7[[#This Row],[Duty Cycle]]*Table7[[#This Row],[I_L RMS]]^2*C_MOSFET_S_RDSON_H_BU*10^-3, (1-Table7[[#This Row],[Duty Cycle]])*Table7[[#This Row],[I_L RMS]]^2*C_MOSFET_S_RDSON_H_BO*10^-3)/10^-3</f>
        <v>31.469470863811786</v>
      </c>
      <c r="BU223" s="145">
        <f>IF(VACnom&gt;Vbat, Table7[[#This Row],[PIV (mW) C]]+Table7[[#This Row],[PQoss (mW) C]]+Table7[[#This Row],[Pgate_top (mW) C]], Table7[[#This Row],[PRR (mW) C]]+Table7[[#This Row],[Pdead (mW) C]]+Table7[[#This Row],[Pgate_top (mW) C]])</f>
        <v>1308.7638189011245</v>
      </c>
      <c r="BV223" s="145">
        <f>Table7[[#This Row],[Pcon_top (mW) C]]+Table7[[#This Row],[Psw_top (mW) C]]</f>
        <v>1340.2332897649362</v>
      </c>
      <c r="BW223" s="145">
        <f>IF(VACnom&gt;Vbat, (1-Table7[[#This Row],[Duty Cycle]])*Table7[[#This Row],[I_L RMS]]^2*C_MOSFET_S_RDSON_L_BU*10^-3, Table7[[#This Row],[Duty Cycle]]*Table7[[#This Row],[I_L RMS]]^2*C_MOSFET_S_RDSON_L_BO*10^-3)/10^-3</f>
        <v>20.576192487876934</v>
      </c>
      <c r="BX223" s="145">
        <f>IF(VACnom&gt;Vbat, Table7[[#This Row],[PRR (mW) C]]+Table7[[#This Row],[Pdead (mW) C]]+Table7[[#This Row],[Pgate_bottom (mW) C]], Table7[[#This Row],[PIV (mW) C]]+Table7[[#This Row],[PQoss (mW) C]]+Table7[[#This Row],[Pgate_bottom (mW) C]])</f>
        <v>1688.8542608695659</v>
      </c>
      <c r="BY223" s="145">
        <f>Table7[[#This Row],[Pcon_bottom (mW) C]]+Table7[[#This Row],[Psw_bottom (mV) C]]</f>
        <v>1709.4304533574427</v>
      </c>
      <c r="BZ223" s="145">
        <f>Table7[[#This Row],[Pbottom (mW) C]]+Table7[[#This Row],[Ptop (mW) C]]</f>
        <v>3049.6637431223789</v>
      </c>
      <c r="CA223" s="148"/>
      <c r="CB223" s="144">
        <f>(RAC_SNS*10^-3*(Table7[[#This Row],[IOUT (A)]]*Vbat/VACnom)^2/10^-3)</f>
        <v>1113.5096030245747</v>
      </c>
      <c r="CC223" s="144">
        <f>(RBAT_SNS*10^-3*Table7[[#This Row],[IOUT (A)]]^2)/10^-3</f>
        <v>2908.8719999999998</v>
      </c>
      <c r="CD223" s="144">
        <f>IF(VACnom&gt;Vbat,(L_DRC*10^-3*(Table7[[#This Row],[IOUT (A)]])^2/10^-3),(L_DRC*10^-3*(Table7[[#This Row],[IOUT (A)]]*Vbat/VACnom)^2/10^-3))</f>
        <v>2908.8719999999998</v>
      </c>
      <c r="CE223" s="152"/>
      <c r="CF223" s="145">
        <f>(Table7[[#This Row],[R_AC (mW)]]+Table7[[#This Row],[R_SR (mW)]]+Table7[[#This Row],[Inductor Loss (mW)]])/10^3</f>
        <v>6.9312536030245742</v>
      </c>
      <c r="CG223" s="145" t="e">
        <f ca="1">Table7[[#This Row],[Total TI (mW)]]/10^3</f>
        <v>#VALUE!</v>
      </c>
      <c r="CH223" s="145" t="e">
        <f ca="1">Table7[[#This Row],[Total Sense Loss]]+Table7[[#This Row],[Total MOSFET Loss]]</f>
        <v>#VALUE!</v>
      </c>
      <c r="CI223" s="149" t="e">
        <f ca="1">IF(Table7[[#This Row],[POUT (W)]]=0,0,(Table7[[#This Row],[POUT (W)]])/(Table7[[#This Row],[POUT (W)]]+Table7[[#This Row],[Total Power Loss (W)]]))*100</f>
        <v>#VALUE!</v>
      </c>
      <c r="CJ223" s="153"/>
      <c r="CK223" s="145">
        <f>(Table7[[#This Row],[R_AC (mW)]]+Table7[[#This Row],[R_SR (mW)]]+Table7[[#This Row],[Inductor Loss (mW)]])/10^3</f>
        <v>6.9312536030245742</v>
      </c>
      <c r="CL223" s="145">
        <f>Table7[[#This Row],[Total (mW) C]]/10^3</f>
        <v>3.049663743122379</v>
      </c>
      <c r="CM223" s="145">
        <f>Table7[[#This Row],[Total Sense Loss C]]+Table7[[#This Row],[Total MOSFET Loss C]]</f>
        <v>9.9809173461469527</v>
      </c>
      <c r="CN223" s="149">
        <f>IF(Table7[[#This Row],[POUT (W)]]=0,0,(Table7[[#This Row],[POUT (W)]])/(Table7[[#This Row],[POUT (W)]]+Table7[[#This Row],[Total Power Loss (W) C]]))*100</f>
        <v>98.88804014883911</v>
      </c>
      <c r="CO223" s="153"/>
      <c r="CP223" s="149">
        <f>IF(MOSFET_S=Custom_MOSFET,Table7[[#This Row],[Total Sense Loss C]],Table7[[#This Row],[Total Sense Loss]])</f>
        <v>6.9312536030245742</v>
      </c>
      <c r="CQ223" s="149">
        <f>IF(MOSFET_S=Custom_MOSFET,Table7[[#This Row],[Total MOSFET Loss C]],Table7[[#This Row],[Total MOSFET Loss]])</f>
        <v>3.049663743122379</v>
      </c>
      <c r="CR223" s="149">
        <f>IF(MOSFET_S=Custom_MOSFET,Table7[[#This Row],[Efficiency C]],Table7[[#This Row],[Efficiency]])</f>
        <v>98.88804014883911</v>
      </c>
      <c r="CS223" s="153"/>
      <c r="CT223" s="149">
        <f>IF(MOSFET_S=Compare_MOSFET, Table7[[#This Row],[Total Sense Loss C]], -100)</f>
        <v>-100</v>
      </c>
      <c r="CU223" s="149">
        <f>IF(MOSFET_S=Compare_MOSFET, Table7[[#This Row],[Total MOSFET Loss C]], -100)</f>
        <v>-100</v>
      </c>
      <c r="CV223" s="149">
        <f>IF(MOSFET_S=Compare_MOSFET, Table7[[#This Row],[Efficiency C]], -100)</f>
        <v>-100</v>
      </c>
      <c r="CW223" s="153"/>
      <c r="CX223" s="149">
        <f ca="1">IF(Save_Sel=CLR_Save,  Table7[[#This Row],[Total Sense Loss P1]], Table7[[#This Row],[Total Sense Loss P1 Saved]])</f>
        <v>6.9312536030245742</v>
      </c>
      <c r="CY223" s="149">
        <f ca="1">IF(Save_Sel=CLR_Save,  Table7[[#This Row],[Total MOSFET Loss P1]], Table7[[#This Row],[Total MOSFET Loss P1 Saved]] )</f>
        <v>3.049663743122379</v>
      </c>
      <c r="CZ223" s="149">
        <f ca="1">IF(Save_Sel=CLR_Save, Table7[[#This Row],[Efficiency P1]], Table7[[#This Row],[Efficiency P1 Saved]])</f>
        <v>98.88804014883911</v>
      </c>
      <c r="DA223" s="153"/>
      <c r="DB223" s="149">
        <f ca="1">IF(Save_Sel=CLR_Save,  Table7[[#This Row],[Total Sense Loss P2]], Table7[[#This Row],[Total Sense Loss P2 Saved]])</f>
        <v>-100</v>
      </c>
      <c r="DC223" s="149">
        <f ca="1">IF(Save_Sel=CLR_Save,  Table7[[#This Row],[Total MOSFET Loss P2]], Table7[[#This Row],[Total MOSFET Loss P2 Saved]] )</f>
        <v>-100</v>
      </c>
      <c r="DD223" s="149">
        <f ca="1">IF(Save_Sel=CLR_Save, Table7[[#This Row],[Efficiency P2]], Table7[[#This Row],[Efficiency P2 Saved]])</f>
        <v>-100</v>
      </c>
      <c r="DE223" s="153"/>
      <c r="DF223" s="19"/>
      <c r="DG223" s="19"/>
      <c r="DH223" s="19"/>
      <c r="DI223" s="19"/>
      <c r="DJ223" s="19"/>
      <c r="DK223" s="19"/>
      <c r="DL223" s="19"/>
      <c r="DM223" s="19"/>
      <c r="DN223" s="19"/>
      <c r="DO223" s="19"/>
      <c r="DP223" s="19"/>
      <c r="DQ223" s="19"/>
      <c r="DR223" s="19"/>
      <c r="DS223" s="19"/>
      <c r="DT223" s="19"/>
      <c r="DU223" s="19"/>
      <c r="DV223" s="19"/>
      <c r="DW223" s="19"/>
      <c r="DX223" s="19"/>
      <c r="DY223" s="19"/>
      <c r="DZ223" s="19"/>
      <c r="EA223" s="19"/>
      <c r="EB223" s="19"/>
      <c r="EC223" s="19"/>
      <c r="ED223" s="19"/>
      <c r="EE223" s="19"/>
      <c r="EF223" s="19"/>
      <c r="EG223" s="19"/>
      <c r="EH223" s="19"/>
      <c r="EI223" s="19"/>
      <c r="EJ223" s="19"/>
      <c r="EK223" s="19"/>
      <c r="EL223" s="19"/>
      <c r="EM223" s="19"/>
      <c r="EN223" s="19"/>
      <c r="EO223" s="19"/>
      <c r="EP223" s="19"/>
      <c r="EQ223" s="19"/>
      <c r="ER223" s="19"/>
      <c r="ES223" s="19"/>
      <c r="ET223" s="19"/>
      <c r="EU223" s="19"/>
      <c r="EV223" s="19"/>
      <c r="EW223" s="19"/>
      <c r="EX223" s="19"/>
      <c r="EY223" s="19"/>
      <c r="EZ223" s="19"/>
      <c r="FA223" s="19"/>
      <c r="FB223" s="19"/>
      <c r="FC223" s="19"/>
      <c r="FD223" s="19"/>
      <c r="FE223" s="19"/>
      <c r="FF223" s="19"/>
      <c r="FG223" s="19"/>
      <c r="FH223" s="19"/>
      <c r="FI223" s="19"/>
    </row>
    <row r="224" spans="1:165" x14ac:dyDescent="0.25">
      <c r="A224" s="48"/>
      <c r="B224" s="49"/>
      <c r="C224" s="49"/>
      <c r="D224" s="39"/>
      <c r="E224" s="49"/>
      <c r="F224" s="49"/>
      <c r="G224" s="49"/>
      <c r="H224" s="29"/>
      <c r="I224" s="29"/>
      <c r="J224" s="29"/>
      <c r="K224" s="29"/>
      <c r="L224" s="29"/>
      <c r="M224" s="29"/>
      <c r="N224" s="29"/>
      <c r="O224" s="29"/>
      <c r="P224" s="29"/>
      <c r="Q224" s="29"/>
      <c r="R224" s="29"/>
      <c r="S224" s="30"/>
      <c r="T224" s="18"/>
      <c r="U224" s="19"/>
      <c r="V224" s="19"/>
      <c r="W224" s="19"/>
      <c r="X224" s="19"/>
      <c r="Y224" s="19"/>
      <c r="Z224" s="19"/>
      <c r="AA224" s="19"/>
      <c r="AB224" s="19"/>
      <c r="AC224" s="19"/>
      <c r="AD224" s="19"/>
      <c r="AE224" s="19"/>
      <c r="AF224" s="143">
        <f t="shared" si="54"/>
        <v>68</v>
      </c>
      <c r="AG224" s="143">
        <f t="shared" si="53"/>
        <v>24.48</v>
      </c>
      <c r="AH224" s="144">
        <f t="shared" si="42"/>
        <v>900.86399999999992</v>
      </c>
      <c r="AI224" s="145">
        <f t="shared" si="43"/>
        <v>0.97826086956521752</v>
      </c>
      <c r="AJ224" s="145">
        <f t="shared" si="44"/>
        <v>23.947826086956525</v>
      </c>
      <c r="AK224" s="145">
        <f t="shared" si="40"/>
        <v>0.39130434782608459</v>
      </c>
      <c r="AL224" s="145">
        <f t="shared" si="41"/>
        <v>23.94809249638687</v>
      </c>
      <c r="AM224" s="146"/>
      <c r="AN224" s="145">
        <f>MAX(0,Table7[[#This Row],[I_L]]-0.5*Table7[[#This Row],[I_L pkpk]])</f>
        <v>23.752173913043482</v>
      </c>
      <c r="AO224" s="145">
        <f>Table7[[#This Row],[I_L]]+0.5*Table7[[#This Row],[I_L pkpk]]</f>
        <v>24.143478260869568</v>
      </c>
      <c r="AP224" s="145">
        <f ca="1">IF(VACnom&gt;Vbat, (VGS_S-(TI_MOSFET_S_VTH_H_BU+Table7[[#This Row],[I_L]]/TI_MOSFET_S_gFS_H_BU))/3.4, (VGS_S-(TI_MOSFET_S_VTH_L_BO+Table7[[#This Row],[I_L]]/TI_MOSFET_S_gFS_L_BO))/3.4 )</f>
        <v>2.9605252803462525</v>
      </c>
      <c r="AQ224" s="145">
        <f ca="1">IF(VACnom&gt;Vbat, ((TI_MOSFET_S_VTH_H_BU+Table7[[#This Row],[I_L]]/TI_MOSFET_S_gFS_H_BU))/1, ((TI_MOSFET_S_VTH_L_BO+Table7[[#This Row],[I_L]]/TI_MOSFET_S_gFS_L_BO))/1 )</f>
        <v>1.9342140468227424</v>
      </c>
      <c r="AR224" s="145">
        <f ca="1">IF(VACnom&gt;Vbat, (TI_MOSFET_S_QGD_H_BU+TI_MOSFET_S_QGS_H_BU)*10^-9/Table7[[#This Row],[Ion (A)]], (TI_MOSFET_S_QGD_L_BO+TI_MOSFET_S_QGS_L_BO)*10^-9/Table7[[#This Row],[Ion (A)]])/10^-9</f>
        <v>9.7280034023663724</v>
      </c>
      <c r="AS224" s="145">
        <f ca="1">IF(VACnom&gt;Vbat, (TI_MOSFET_S_QGD_H_BU+TI_MOSFET_S_QGS_H_BU)*10^-9/Table7[[#This Row],[Ioff (A)]], (TI_MOSFET_S_QGD_L_BO+TI_MOSFET_S_QGS_L_BO)*10^-9/Table7[[#This Row],[Ioff (A)]])/10^-9</f>
        <v>14.889768817111339</v>
      </c>
      <c r="AT224" s="145">
        <f ca="1" xml:space="preserve"> 0.5*VACnom*Table7[[#This Row],[Ivalley (A)]]*Table7[[#This Row],[ton (ns)]]*10^-9*Fsw*10^3+0.5*VACnom*Table7[[#This Row],[Ipeak (A)]]*Table7[[#This Row],[toff (ns)]]*10^-9*Fsw*10^3/10^-3</f>
        <v>1323.7764851841025</v>
      </c>
      <c r="AU224" s="145">
        <f t="shared" ca="1" si="45"/>
        <v>268.64000000000004</v>
      </c>
      <c r="AV224" s="145" t="e">
        <f t="shared" si="46"/>
        <v>#VALUE!</v>
      </c>
      <c r="AW224" s="145">
        <f t="shared" ca="1" si="47"/>
        <v>566.72000000000025</v>
      </c>
      <c r="AX224" s="145">
        <f ca="1">IF(VACnom&gt;Vbat, TI_MOSFET_S_VSD_L_BU*Table7[[#This Row],[Ivalley (A)]]*Fsw*10^3*40*10^-9+TI_MOSFET_S_VSD_L_BU*Table7[[#This Row],[Ipeak (A)]]*Fsw*10^3*30*10^-9, TI_MOSFET_S_VSD_H_BO*Table7[[#This Row],[Ivalley (A)]]*Fsw*10^3*40*10^-9+TI_MOSFET_S_VSD_H_BO*Table7[[#This Row],[Ipeak (A)]]*Fsw*10^3*30*10^-9)/10^-3</f>
        <v>241.11234782608705</v>
      </c>
      <c r="AY224" s="145" t="e">
        <f t="shared" si="48"/>
        <v>#VALUE!</v>
      </c>
      <c r="AZ224" s="145" t="e">
        <f>IF(VACnom&lt;Vbat, Table7[[#This Row],[Duty Cycle]]*Table7[[#This Row],[I_L RMS]]^2*TI_MOSFET_S_RDSON_H_BU*10^-3, (1-Table7[[#This Row],[Duty Cycle]])*Table7[[#This Row],[I_L RMS]]^2*TI_MOSFET_S_RDSON_H_BO*10^-3)/10^-3</f>
        <v>#VALUE!</v>
      </c>
      <c r="BA224" s="145" t="e">
        <f ca="1">IF(VACnom&gt;Vbat, Table7[[#This Row],[PIV (mW)]]+Table7[[#This Row],[Pqoss (mW)]]+Table7[[#This Row],[Pgate_top (mW)]], Table7[[#This Row],[PRR (mW)]]+Table7[[#This Row],[Pdead (mW)]]+Table7[[#This Row],[Pgate_top (mW)]])</f>
        <v>#VALUE!</v>
      </c>
      <c r="BB224" s="145" t="e">
        <f ca="1">Table7[[#This Row],[Pcon_top (mW)]]+Table7[[#This Row],[Psw_top (mW)]]</f>
        <v>#VALUE!</v>
      </c>
      <c r="BC224" s="145" t="e">
        <f>IF(VACnom&gt;Vbat, (1-Table7[[#This Row],[Duty Cycle]])*Table7[[#This Row],[I_L RMS]]^2*TI_MOSFET_S_RDSON_L_BU*10^-3, Table7[[#This Row],[Duty Cycle]]*Table7[[#This Row],[I_L RMS]]^2*TI_MOSFET_S_RDSON_L_BO*10^-3)/10^-3</f>
        <v>#VALUE!</v>
      </c>
      <c r="BD224" s="145" t="e">
        <f ca="1">IF(VACnom&gt;Vbat, Table7[[#This Row],[PRR (mW)]]+Table7[[#This Row],[Pdead (mW)]]+Table7[[#This Row],[Pgate_bottom (mW)]], Table7[[#This Row],[PIV (mW)]]+Table7[[#This Row],[Pqoss (mW)]]+Table7[[#This Row],[Pgate_bottom (mW)]])</f>
        <v>#VALUE!</v>
      </c>
      <c r="BE224" s="147" t="e">
        <f ca="1">Table7[[#This Row],[Pcon_bottom (mW)]]+Table7[[#This Row],[Psw_bottom (mW)]]</f>
        <v>#VALUE!</v>
      </c>
      <c r="BF224" s="145" t="e">
        <f ca="1">Table7[[#This Row],[Pbottom (mW)]]+Table7[[#This Row],[Ptop (mW)]]</f>
        <v>#VALUE!</v>
      </c>
      <c r="BG224" s="142"/>
      <c r="BH224" s="145">
        <f>MAX(0,Table7[[#This Row],[I_L]]-0.5*Table7[[#This Row],[I_L pkpk]])</f>
        <v>23.752173913043482</v>
      </c>
      <c r="BI224" s="145">
        <f>Table7[[#This Row],[I_L]]+0.5*Table7[[#This Row],[I_L pkpk]]</f>
        <v>24.143478260869568</v>
      </c>
      <c r="BJ224" s="145">
        <f>IF(VACnom&gt;Vbat, (VGS_S-(C_MOSFET_S_VTH_H_BU+Table7[[#This Row],[I_L]]/C_MOSFET_S_gFS_H_BU))/3.4, (VGS_S-(C_MOSFET_S_VTH_L_BO+Table7[[#This Row],[I_L]]/C_MOSFET_S_gFS_L_BO))/3.4 )</f>
        <v>2.9098685951142076</v>
      </c>
      <c r="BK224" s="145">
        <f>IF(VACnom&gt;Vbat, ((C_MOSFET_S_VTH_H_BU+Table7[[#This Row],[I_L]]/C_MOSFET_S_gFS_H_BU))/1, ((C_MOSFET_S_VTH_L_BO+Table7[[#This Row],[I_L]]/C_MOSFET_S_gFS_L_BO))/1 )</f>
        <v>2.1064467766116941</v>
      </c>
      <c r="BL224" s="145">
        <f>IF(VACnom&gt;Vbat, (C_MOSFET_S_QGD_H_BU+C_MOSFET_S_QGS_H_BU)*10^-9/Table7[[#This Row],[Ion (A) C]], (C_MOSFET_S_QGD_L_BO+C_MOSFET_S_QGS_L_BO)*10^-9/Table7[[#This Row],[Ion (A) C]])/10^-9</f>
        <v>5.3267010153053489</v>
      </c>
      <c r="BM224" s="145">
        <f>IF(VACnom&gt;Vbat, (C_MOSFET_S_QGD_H_BU+C_MOSFET_S_QGS_H_BU)*10^-9/Table7[[#This Row],[Ioff (A) C]], (C_MOSFET_S_QGD_L_BO+C_MOSFET_S_QGS_L_BO)*10^-9/Table7[[#This Row],[Ioff (A) C]])/10^-9</f>
        <v>7.3583629893238429</v>
      </c>
      <c r="BN224" s="145">
        <f xml:space="preserve"> 0.5*VACnom*Table7[[#This Row],[Ivalley (A) C]]*Table7[[#This Row],[ton (ns) C]]*10^-9*Fsw*10^3+0.5*VACnom*Table7[[#This Row],[Ipeak (A) C]]*Table7[[#This Row],[toff (ns) C]]*10^-9*Fsw*10^3/10^-3</f>
        <v>654.24143115779077</v>
      </c>
      <c r="BO224" s="145">
        <f t="shared" si="49"/>
        <v>305.44000000000011</v>
      </c>
      <c r="BP224" s="145">
        <f t="shared" si="50"/>
        <v>357.69600000000014</v>
      </c>
      <c r="BQ224" s="145">
        <f t="shared" si="51"/>
        <v>1067.2000000000003</v>
      </c>
      <c r="BR224" s="145">
        <f>IF(VACnom&gt;Vbat, C_MOSFET_S_VSD_L_BU*Table7[[#This Row],[Ivalley (A) C]]*Fsw*10^3*40*10^-9+C_MOSFET_S_VSD_L_BU*Table7[[#This Row],[Ipeak (A) C]]*Fsw*10^3*30*10^-9, C_MOSFET_S_VSD_H_BO*Table7[[#This Row],[Ivalley (A) C]]*Fsw*10^3*40*10^-9+C_MOSFET_S_VSD_H_BO*Table7[[#This Row],[Ipeak (A) C]]*Fsw*10^3*30*10^-9)/10^-3</f>
        <v>267.9026086956523</v>
      </c>
      <c r="BS224" s="145">
        <f t="shared" si="52"/>
        <v>357.69600000000014</v>
      </c>
      <c r="BT224" s="145">
        <f>IF(VACnom&lt;Vbat, Table7[[#This Row],[Duty Cycle]]*Table7[[#This Row],[I_L RMS]]^2*C_MOSFET_S_RDSON_H_BU*10^-3, (1-Table7[[#This Row],[Duty Cycle]])*Table7[[#This Row],[I_L RMS]]^2*C_MOSFET_S_RDSON_H_BO*10^-3)/10^-3</f>
        <v>32.415846716528137</v>
      </c>
      <c r="BU224" s="145">
        <f>IF(VACnom&gt;Vbat, Table7[[#This Row],[PIV (mW) C]]+Table7[[#This Row],[PQoss (mW) C]]+Table7[[#This Row],[Pgate_top (mW) C]], Table7[[#This Row],[PRR (mW) C]]+Table7[[#This Row],[Pdead (mW) C]]+Table7[[#This Row],[Pgate_top (mW) C]])</f>
        <v>1317.3774311577911</v>
      </c>
      <c r="BV224" s="145">
        <f>Table7[[#This Row],[Pcon_top (mW) C]]+Table7[[#This Row],[Psw_top (mW) C]]</f>
        <v>1349.7932778743193</v>
      </c>
      <c r="BW224" s="145">
        <f>IF(VACnom&gt;Vbat, (1-Table7[[#This Row],[Duty Cycle]])*Table7[[#This Row],[I_L RMS]]^2*C_MOSFET_S_RDSON_L_BU*10^-3, Table7[[#This Row],[Duty Cycle]]*Table7[[#This Row],[I_L RMS]]^2*C_MOSFET_S_RDSON_L_BO*10^-3)/10^-3</f>
        <v>21.194976699268395</v>
      </c>
      <c r="BX224" s="145">
        <f>IF(VACnom&gt;Vbat, Table7[[#This Row],[PRR (mW) C]]+Table7[[#This Row],[Pdead (mW) C]]+Table7[[#This Row],[Pgate_bottom (mW) C]], Table7[[#This Row],[PIV (mW) C]]+Table7[[#This Row],[PQoss (mW) C]]+Table7[[#This Row],[Pgate_bottom (mW) C]])</f>
        <v>1692.7986086956528</v>
      </c>
      <c r="BY224" s="145">
        <f>Table7[[#This Row],[Pcon_bottom (mW) C]]+Table7[[#This Row],[Psw_bottom (mV) C]]</f>
        <v>1713.9935853949212</v>
      </c>
      <c r="BZ224" s="145">
        <f>Table7[[#This Row],[Pbottom (mW) C]]+Table7[[#This Row],[Ptop (mW) C]]</f>
        <v>3063.7868632692407</v>
      </c>
      <c r="CA224" s="148"/>
      <c r="CB224" s="144">
        <f>(RAC_SNS*10^-3*(Table7[[#This Row],[IOUT (A)]]*Vbat/VACnom)^2/10^-3)</f>
        <v>1146.9967485822306</v>
      </c>
      <c r="CC224" s="144">
        <f>(RBAT_SNS*10^-3*Table7[[#This Row],[IOUT (A)]]^2)/10^-3</f>
        <v>2996.3519999999999</v>
      </c>
      <c r="CD224" s="144">
        <f>IF(VACnom&gt;Vbat,(L_DRC*10^-3*(Table7[[#This Row],[IOUT (A)]])^2/10^-3),(L_DRC*10^-3*(Table7[[#This Row],[IOUT (A)]]*Vbat/VACnom)^2/10^-3))</f>
        <v>2996.3519999999999</v>
      </c>
      <c r="CE224" s="152"/>
      <c r="CF224" s="145">
        <f>(Table7[[#This Row],[R_AC (mW)]]+Table7[[#This Row],[R_SR (mW)]]+Table7[[#This Row],[Inductor Loss (mW)]])/10^3</f>
        <v>7.1397007485822304</v>
      </c>
      <c r="CG224" s="145" t="e">
        <f ca="1">Table7[[#This Row],[Total TI (mW)]]/10^3</f>
        <v>#VALUE!</v>
      </c>
      <c r="CH224" s="145" t="e">
        <f ca="1">Table7[[#This Row],[Total Sense Loss]]+Table7[[#This Row],[Total MOSFET Loss]]</f>
        <v>#VALUE!</v>
      </c>
      <c r="CI224" s="149" t="e">
        <f ca="1">IF(Table7[[#This Row],[POUT (W)]]=0,0,(Table7[[#This Row],[POUT (W)]])/(Table7[[#This Row],[POUT (W)]]+Table7[[#This Row],[Total Power Loss (W)]]))*100</f>
        <v>#VALUE!</v>
      </c>
      <c r="CJ224" s="153"/>
      <c r="CK224" s="145">
        <f>(Table7[[#This Row],[R_AC (mW)]]+Table7[[#This Row],[R_SR (mW)]]+Table7[[#This Row],[Inductor Loss (mW)]])/10^3</f>
        <v>7.1397007485822304</v>
      </c>
      <c r="CL224" s="145">
        <f>Table7[[#This Row],[Total (mW) C]]/10^3</f>
        <v>3.0637868632692409</v>
      </c>
      <c r="CM224" s="145">
        <f>Table7[[#This Row],[Total Sense Loss C]]+Table7[[#This Row],[Total MOSFET Loss C]]</f>
        <v>10.203487611851472</v>
      </c>
      <c r="CN224" s="149">
        <f>IF(Table7[[#This Row],[POUT (W)]]=0,0,(Table7[[#This Row],[POUT (W)]])/(Table7[[#This Row],[POUT (W)]]+Table7[[#This Row],[Total Power Loss (W) C]]))*100</f>
        <v>98.880051395687758</v>
      </c>
      <c r="CO224" s="153"/>
      <c r="CP224" s="149">
        <f>IF(MOSFET_S=Custom_MOSFET,Table7[[#This Row],[Total Sense Loss C]],Table7[[#This Row],[Total Sense Loss]])</f>
        <v>7.1397007485822304</v>
      </c>
      <c r="CQ224" s="149">
        <f>IF(MOSFET_S=Custom_MOSFET,Table7[[#This Row],[Total MOSFET Loss C]],Table7[[#This Row],[Total MOSFET Loss]])</f>
        <v>3.0637868632692409</v>
      </c>
      <c r="CR224" s="149">
        <f>IF(MOSFET_S=Custom_MOSFET,Table7[[#This Row],[Efficiency C]],Table7[[#This Row],[Efficiency]])</f>
        <v>98.880051395687758</v>
      </c>
      <c r="CS224" s="153"/>
      <c r="CT224" s="149">
        <f>IF(MOSFET_S=Compare_MOSFET, Table7[[#This Row],[Total Sense Loss C]], -100)</f>
        <v>-100</v>
      </c>
      <c r="CU224" s="149">
        <f>IF(MOSFET_S=Compare_MOSFET, Table7[[#This Row],[Total MOSFET Loss C]], -100)</f>
        <v>-100</v>
      </c>
      <c r="CV224" s="149">
        <f>IF(MOSFET_S=Compare_MOSFET, Table7[[#This Row],[Efficiency C]], -100)</f>
        <v>-100</v>
      </c>
      <c r="CW224" s="153"/>
      <c r="CX224" s="149">
        <f ca="1">IF(Save_Sel=CLR_Save,  Table7[[#This Row],[Total Sense Loss P1]], Table7[[#This Row],[Total Sense Loss P1 Saved]])</f>
        <v>7.1397007485822304</v>
      </c>
      <c r="CY224" s="149">
        <f ca="1">IF(Save_Sel=CLR_Save,  Table7[[#This Row],[Total MOSFET Loss P1]], Table7[[#This Row],[Total MOSFET Loss P1 Saved]] )</f>
        <v>3.0637868632692409</v>
      </c>
      <c r="CZ224" s="149">
        <f ca="1">IF(Save_Sel=CLR_Save, Table7[[#This Row],[Efficiency P1]], Table7[[#This Row],[Efficiency P1 Saved]])</f>
        <v>98.880051395687758</v>
      </c>
      <c r="DA224" s="153"/>
      <c r="DB224" s="149">
        <f ca="1">IF(Save_Sel=CLR_Save,  Table7[[#This Row],[Total Sense Loss P2]], Table7[[#This Row],[Total Sense Loss P2 Saved]])</f>
        <v>-100</v>
      </c>
      <c r="DC224" s="149">
        <f ca="1">IF(Save_Sel=CLR_Save,  Table7[[#This Row],[Total MOSFET Loss P2]], Table7[[#This Row],[Total MOSFET Loss P2 Saved]] )</f>
        <v>-100</v>
      </c>
      <c r="DD224" s="149">
        <f ca="1">IF(Save_Sel=CLR_Save, Table7[[#This Row],[Efficiency P2]], Table7[[#This Row],[Efficiency P2 Saved]])</f>
        <v>-100</v>
      </c>
      <c r="DE224" s="153"/>
      <c r="DF224" s="19"/>
      <c r="DG224" s="19"/>
      <c r="DH224" s="19"/>
      <c r="DI224" s="19"/>
      <c r="DJ224" s="19"/>
      <c r="DK224" s="19"/>
      <c r="DL224" s="19"/>
      <c r="DM224" s="19"/>
      <c r="DN224" s="19"/>
      <c r="DO224" s="19"/>
      <c r="DP224" s="19"/>
      <c r="DQ224" s="19"/>
      <c r="DR224" s="19"/>
      <c r="DS224" s="19"/>
      <c r="DT224" s="19"/>
      <c r="DU224" s="19"/>
      <c r="DV224" s="19"/>
      <c r="DW224" s="19"/>
      <c r="DX224" s="19"/>
      <c r="DY224" s="19"/>
      <c r="DZ224" s="19"/>
      <c r="EA224" s="19"/>
      <c r="EB224" s="19"/>
      <c r="EC224" s="19"/>
      <c r="ED224" s="19"/>
      <c r="EE224" s="19"/>
      <c r="EF224" s="19"/>
      <c r="EG224" s="19"/>
      <c r="EH224" s="19"/>
      <c r="EI224" s="19"/>
      <c r="EJ224" s="19"/>
      <c r="EK224" s="19"/>
      <c r="EL224" s="19"/>
      <c r="EM224" s="19"/>
      <c r="EN224" s="19"/>
      <c r="EO224" s="19"/>
      <c r="EP224" s="19"/>
      <c r="EQ224" s="19"/>
      <c r="ER224" s="19"/>
      <c r="ES224" s="19"/>
      <c r="ET224" s="19"/>
      <c r="EU224" s="19"/>
      <c r="EV224" s="19"/>
      <c r="EW224" s="19"/>
      <c r="EX224" s="19"/>
      <c r="EY224" s="19"/>
      <c r="EZ224" s="19"/>
      <c r="FA224" s="19"/>
      <c r="FB224" s="19"/>
      <c r="FC224" s="19"/>
      <c r="FD224" s="19"/>
      <c r="FE224" s="19"/>
      <c r="FF224" s="19"/>
      <c r="FG224" s="19"/>
      <c r="FH224" s="19"/>
      <c r="FI224" s="19"/>
    </row>
    <row r="225" spans="1:165" ht="15.75" thickBot="1" x14ac:dyDescent="0.3">
      <c r="A225" s="46"/>
      <c r="B225" s="47"/>
      <c r="C225" s="47"/>
      <c r="D225" s="43"/>
      <c r="E225" s="47"/>
      <c r="F225" s="47"/>
      <c r="G225" s="47"/>
      <c r="H225" s="34"/>
      <c r="I225" s="34"/>
      <c r="J225" s="114"/>
      <c r="K225" s="114"/>
      <c r="L225" s="114"/>
      <c r="M225" s="114"/>
      <c r="N225" s="114"/>
      <c r="O225" s="114"/>
      <c r="P225" s="114"/>
      <c r="Q225" s="114"/>
      <c r="R225" s="114"/>
      <c r="S225" s="115"/>
      <c r="T225" s="18"/>
      <c r="U225" s="19"/>
      <c r="V225" s="19"/>
      <c r="W225" s="19"/>
      <c r="X225" s="19"/>
      <c r="Y225" s="19"/>
      <c r="Z225" s="19"/>
      <c r="AA225" s="19"/>
      <c r="AB225" s="19"/>
      <c r="AC225" s="19"/>
      <c r="AD225" s="19"/>
      <c r="AE225" s="19"/>
      <c r="AF225" s="143">
        <f t="shared" si="54"/>
        <v>69</v>
      </c>
      <c r="AG225" s="143">
        <f t="shared" si="53"/>
        <v>24.84</v>
      </c>
      <c r="AH225" s="144">
        <f t="shared" si="42"/>
        <v>914.11199999999997</v>
      </c>
      <c r="AI225" s="145">
        <f t="shared" si="43"/>
        <v>0.97826086956521752</v>
      </c>
      <c r="AJ225" s="145">
        <f t="shared" si="44"/>
        <v>24.300000000000004</v>
      </c>
      <c r="AK225" s="145">
        <f t="shared" si="40"/>
        <v>0.39130434782608459</v>
      </c>
      <c r="AL225" s="145">
        <f t="shared" si="41"/>
        <v>24.300262548466133</v>
      </c>
      <c r="AM225" s="146"/>
      <c r="AN225" s="145">
        <f>MAX(0,Table7[[#This Row],[I_L]]-0.5*Table7[[#This Row],[I_L pkpk]])</f>
        <v>24.104347826086961</v>
      </c>
      <c r="AO225" s="145">
        <f>Table7[[#This Row],[I_L]]+0.5*Table7[[#This Row],[I_L pkpk]]</f>
        <v>24.495652173913047</v>
      </c>
      <c r="AP225" s="145">
        <f ca="1">IF(VACnom&gt;Vbat, (VGS_S-(TI_MOSFET_S_VTH_H_BU+Table7[[#This Row],[I_L]]/TI_MOSFET_S_gFS_H_BU))/3.4, (VGS_S-(TI_MOSFET_S_VTH_L_BO+Table7[[#This Row],[I_L]]/TI_MOSFET_S_gFS_L_BO))/3.4 )</f>
        <v>2.9597285067873305</v>
      </c>
      <c r="AQ225" s="145">
        <f ca="1">IF(VACnom&gt;Vbat, ((TI_MOSFET_S_VTH_H_BU+Table7[[#This Row],[I_L]]/TI_MOSFET_S_gFS_H_BU))/1, ((TI_MOSFET_S_VTH_L_BO+Table7[[#This Row],[I_L]]/TI_MOSFET_S_gFS_L_BO))/1 )</f>
        <v>1.936923076923077</v>
      </c>
      <c r="AR225" s="145">
        <f ca="1">IF(VACnom&gt;Vbat, (TI_MOSFET_S_QGD_H_BU+TI_MOSFET_S_QGS_H_BU)*10^-9/Table7[[#This Row],[Ion (A)]], (TI_MOSFET_S_QGD_L_BO+TI_MOSFET_S_QGS_L_BO)*10^-9/Table7[[#This Row],[Ion (A)]])/10^-9</f>
        <v>9.7306222290169693</v>
      </c>
      <c r="AS225" s="145">
        <f ca="1">IF(VACnom&gt;Vbat, (TI_MOSFET_S_QGD_H_BU+TI_MOSFET_S_QGS_H_BU)*10^-9/Table7[[#This Row],[Ioff (A)]], (TI_MOSFET_S_QGD_L_BO+TI_MOSFET_S_QGS_L_BO)*10^-9/Table7[[#This Row],[Ioff (A)]])/10^-9</f>
        <v>14.868943606036538</v>
      </c>
      <c r="AT225" s="145">
        <f ca="1" xml:space="preserve"> 0.5*VACnom*Table7[[#This Row],[Ivalley (A)]]*Table7[[#This Row],[ton (ns)]]*10^-9*Fsw*10^3+0.5*VACnom*Table7[[#This Row],[Ipeak (A)]]*Table7[[#This Row],[toff (ns)]]*10^-9*Fsw*10^3/10^-3</f>
        <v>1341.2091975367612</v>
      </c>
      <c r="AU225" s="145">
        <f t="shared" ca="1" si="45"/>
        <v>268.64000000000004</v>
      </c>
      <c r="AV225" s="145" t="e">
        <f t="shared" si="46"/>
        <v>#VALUE!</v>
      </c>
      <c r="AW225" s="145">
        <f t="shared" ca="1" si="47"/>
        <v>566.72000000000025</v>
      </c>
      <c r="AX225" s="145">
        <f ca="1">IF(VACnom&gt;Vbat, TI_MOSFET_S_VSD_L_BU*Table7[[#This Row],[Ivalley (A)]]*Fsw*10^3*40*10^-9+TI_MOSFET_S_VSD_L_BU*Table7[[#This Row],[Ipeak (A)]]*Fsw*10^3*30*10^-9, TI_MOSFET_S_VSD_H_BO*Table7[[#This Row],[Ivalley (A)]]*Fsw*10^3*40*10^-9+TI_MOSFET_S_VSD_H_BO*Table7[[#This Row],[Ipeak (A)]]*Fsw*10^3*30*10^-9)/10^-3</f>
        <v>244.66226086956539</v>
      </c>
      <c r="AY225" s="145" t="e">
        <f t="shared" si="48"/>
        <v>#VALUE!</v>
      </c>
      <c r="AZ225" s="145" t="e">
        <f>IF(VACnom&lt;Vbat, Table7[[#This Row],[Duty Cycle]]*Table7[[#This Row],[I_L RMS]]^2*TI_MOSFET_S_RDSON_H_BU*10^-3, (1-Table7[[#This Row],[Duty Cycle]])*Table7[[#This Row],[I_L RMS]]^2*TI_MOSFET_S_RDSON_H_BO*10^-3)/10^-3</f>
        <v>#VALUE!</v>
      </c>
      <c r="BA225" s="145" t="e">
        <f ca="1">IF(VACnom&gt;Vbat, Table7[[#This Row],[PIV (mW)]]+Table7[[#This Row],[Pqoss (mW)]]+Table7[[#This Row],[Pgate_top (mW)]], Table7[[#This Row],[PRR (mW)]]+Table7[[#This Row],[Pdead (mW)]]+Table7[[#This Row],[Pgate_top (mW)]])</f>
        <v>#VALUE!</v>
      </c>
      <c r="BB225" s="145" t="e">
        <f ca="1">Table7[[#This Row],[Pcon_top (mW)]]+Table7[[#This Row],[Psw_top (mW)]]</f>
        <v>#VALUE!</v>
      </c>
      <c r="BC225" s="145" t="e">
        <f>IF(VACnom&gt;Vbat, (1-Table7[[#This Row],[Duty Cycle]])*Table7[[#This Row],[I_L RMS]]^2*TI_MOSFET_S_RDSON_L_BU*10^-3, Table7[[#This Row],[Duty Cycle]]*Table7[[#This Row],[I_L RMS]]^2*TI_MOSFET_S_RDSON_L_BO*10^-3)/10^-3</f>
        <v>#VALUE!</v>
      </c>
      <c r="BD225" s="145" t="e">
        <f ca="1">IF(VACnom&gt;Vbat, Table7[[#This Row],[PRR (mW)]]+Table7[[#This Row],[Pdead (mW)]]+Table7[[#This Row],[Pgate_bottom (mW)]], Table7[[#This Row],[PIV (mW)]]+Table7[[#This Row],[Pqoss (mW)]]+Table7[[#This Row],[Pgate_bottom (mW)]])</f>
        <v>#VALUE!</v>
      </c>
      <c r="BE225" s="147" t="e">
        <f ca="1">Table7[[#This Row],[Pcon_bottom (mW)]]+Table7[[#This Row],[Psw_bottom (mW)]]</f>
        <v>#VALUE!</v>
      </c>
      <c r="BF225" s="145" t="e">
        <f ca="1">Table7[[#This Row],[Pbottom (mW)]]+Table7[[#This Row],[Ptop (mW)]]</f>
        <v>#VALUE!</v>
      </c>
      <c r="BG225" s="142"/>
      <c r="BH225" s="145">
        <f>MAX(0,Table7[[#This Row],[I_L]]-0.5*Table7[[#This Row],[I_L pkpk]])</f>
        <v>24.104347826086961</v>
      </c>
      <c r="BI225" s="145">
        <f>Table7[[#This Row],[I_L]]+0.5*Table7[[#This Row],[I_L pkpk]]</f>
        <v>24.495652173913047</v>
      </c>
      <c r="BJ225" s="145">
        <f>IF(VACnom&gt;Vbat, (VGS_S-(C_MOSFET_S_VTH_H_BU+Table7[[#This Row],[I_L]]/C_MOSFET_S_gFS_H_BU))/3.4, (VGS_S-(C_MOSFET_S_VTH_L_BO+Table7[[#This Row],[I_L]]/C_MOSFET_S_gFS_L_BO))/3.4 )</f>
        <v>2.9089756592292089</v>
      </c>
      <c r="BK225" s="145">
        <f>IF(VACnom&gt;Vbat, ((C_MOSFET_S_VTH_H_BU+Table7[[#This Row],[I_L]]/C_MOSFET_S_gFS_H_BU))/1, ((C_MOSFET_S_VTH_L_BO+Table7[[#This Row],[I_L]]/C_MOSFET_S_gFS_L_BO))/1 )</f>
        <v>2.1094827586206897</v>
      </c>
      <c r="BL225" s="145">
        <f>IF(VACnom&gt;Vbat, (C_MOSFET_S_QGD_H_BU+C_MOSFET_S_QGS_H_BU)*10^-9/Table7[[#This Row],[Ion (A) C]], (C_MOSFET_S_QGD_L_BO+C_MOSFET_S_QGS_L_BO)*10^-9/Table7[[#This Row],[Ion (A) C]])/10^-9</f>
        <v>5.3283360934367643</v>
      </c>
      <c r="BM225" s="145">
        <f>IF(VACnom&gt;Vbat, (C_MOSFET_S_QGD_H_BU+C_MOSFET_S_QGS_H_BU)*10^-9/Table7[[#This Row],[Ioff (A) C]], (C_MOSFET_S_QGD_L_BO+C_MOSFET_S_QGS_L_BO)*10^-9/Table7[[#This Row],[Ioff (A) C]])/10^-9</f>
        <v>7.3477727829995914</v>
      </c>
      <c r="BN225" s="145">
        <f xml:space="preserve"> 0.5*VACnom*Table7[[#This Row],[Ivalley (A) C]]*Table7[[#This Row],[ton (ns) C]]*10^-9*Fsw*10^3+0.5*VACnom*Table7[[#This Row],[Ipeak (A) C]]*Table7[[#This Row],[toff (ns) C]]*10^-9*Fsw*10^3/10^-3</f>
        <v>662.83027447554764</v>
      </c>
      <c r="BO225" s="145">
        <f t="shared" si="49"/>
        <v>305.44000000000011</v>
      </c>
      <c r="BP225" s="145">
        <f t="shared" si="50"/>
        <v>357.69600000000014</v>
      </c>
      <c r="BQ225" s="145">
        <f t="shared" si="51"/>
        <v>1067.2000000000003</v>
      </c>
      <c r="BR225" s="145">
        <f>IF(VACnom&gt;Vbat, C_MOSFET_S_VSD_L_BU*Table7[[#This Row],[Ivalley (A) C]]*Fsw*10^3*40*10^-9+C_MOSFET_S_VSD_L_BU*Table7[[#This Row],[Ipeak (A) C]]*Fsw*10^3*30*10^-9, C_MOSFET_S_VSD_H_BO*Table7[[#This Row],[Ivalley (A) C]]*Fsw*10^3*40*10^-9+C_MOSFET_S_VSD_H_BO*Table7[[#This Row],[Ipeak (A) C]]*Fsw*10^3*30*10^-9)/10^-3</f>
        <v>271.84695652173929</v>
      </c>
      <c r="BS225" s="145">
        <f t="shared" si="52"/>
        <v>357.69600000000014</v>
      </c>
      <c r="BT225" s="145">
        <f>IF(VACnom&lt;Vbat, Table7[[#This Row],[Duty Cycle]]*Table7[[#This Row],[I_L RMS]]^2*C_MOSFET_S_RDSON_H_BU*10^-3, (1-Table7[[#This Row],[Duty Cycle]])*Table7[[#This Row],[I_L RMS]]^2*C_MOSFET_S_RDSON_H_BO*10^-3)/10^-3</f>
        <v>33.376242952247694</v>
      </c>
      <c r="BU225" s="145">
        <f>IF(VACnom&gt;Vbat, Table7[[#This Row],[PIV (mW) C]]+Table7[[#This Row],[PQoss (mW) C]]+Table7[[#This Row],[Pgate_top (mW) C]], Table7[[#This Row],[PRR (mW) C]]+Table7[[#This Row],[Pdead (mW) C]]+Table7[[#This Row],[Pgate_top (mW) C]])</f>
        <v>1325.9662744755478</v>
      </c>
      <c r="BV225" s="145">
        <f>Table7[[#This Row],[Pcon_top (mW) C]]+Table7[[#This Row],[Psw_top (mW) C]]</f>
        <v>1359.3425174277954</v>
      </c>
      <c r="BW225" s="145">
        <f>IF(VACnom&gt;Vbat, (1-Table7[[#This Row],[Duty Cycle]])*Table7[[#This Row],[I_L RMS]]^2*C_MOSFET_S_RDSON_L_BU*10^-3, Table7[[#This Row],[Duty Cycle]]*Table7[[#This Row],[I_L RMS]]^2*C_MOSFET_S_RDSON_L_BO*10^-3)/10^-3</f>
        <v>21.822928084161951</v>
      </c>
      <c r="BX225" s="145">
        <f>IF(VACnom&gt;Vbat, Table7[[#This Row],[PRR (mW) C]]+Table7[[#This Row],[Pdead (mW) C]]+Table7[[#This Row],[Pgate_bottom (mW) C]], Table7[[#This Row],[PIV (mW) C]]+Table7[[#This Row],[PQoss (mW) C]]+Table7[[#This Row],[Pgate_bottom (mW) C]])</f>
        <v>1696.7429565217396</v>
      </c>
      <c r="BY225" s="145">
        <f>Table7[[#This Row],[Pcon_bottom (mW) C]]+Table7[[#This Row],[Psw_bottom (mV) C]]</f>
        <v>1718.5658846059016</v>
      </c>
      <c r="BZ225" s="145">
        <f>Table7[[#This Row],[Pbottom (mW) C]]+Table7[[#This Row],[Ptop (mW) C]]</f>
        <v>3077.9084020336968</v>
      </c>
      <c r="CA225" s="148"/>
      <c r="CB225" s="144">
        <f>(RAC_SNS*10^-3*(Table7[[#This Row],[IOUT (A)]]*Vbat/VACnom)^2/10^-3)</f>
        <v>1180.98</v>
      </c>
      <c r="CC225" s="144">
        <f>(RBAT_SNS*10^-3*Table7[[#This Row],[IOUT (A)]]^2)/10^-3</f>
        <v>3085.1279999999997</v>
      </c>
      <c r="CD225" s="144">
        <f>IF(VACnom&gt;Vbat,(L_DRC*10^-3*(Table7[[#This Row],[IOUT (A)]])^2/10^-3),(L_DRC*10^-3*(Table7[[#This Row],[IOUT (A)]]*Vbat/VACnom)^2/10^-3))</f>
        <v>3085.1279999999997</v>
      </c>
      <c r="CE225" s="152"/>
      <c r="CF225" s="145">
        <f>(Table7[[#This Row],[R_AC (mW)]]+Table7[[#This Row],[R_SR (mW)]]+Table7[[#This Row],[Inductor Loss (mW)]])/10^3</f>
        <v>7.3512360000000001</v>
      </c>
      <c r="CG225" s="145" t="e">
        <f ca="1">Table7[[#This Row],[Total TI (mW)]]/10^3</f>
        <v>#VALUE!</v>
      </c>
      <c r="CH225" s="145" t="e">
        <f ca="1">Table7[[#This Row],[Total Sense Loss]]+Table7[[#This Row],[Total MOSFET Loss]]</f>
        <v>#VALUE!</v>
      </c>
      <c r="CI225" s="149" t="e">
        <f ca="1">IF(Table7[[#This Row],[POUT (W)]]=0,0,(Table7[[#This Row],[POUT (W)]])/(Table7[[#This Row],[POUT (W)]]+Table7[[#This Row],[Total Power Loss (W)]]))*100</f>
        <v>#VALUE!</v>
      </c>
      <c r="CJ225" s="153"/>
      <c r="CK225" s="145">
        <f>(Table7[[#This Row],[R_AC (mW)]]+Table7[[#This Row],[R_SR (mW)]]+Table7[[#This Row],[Inductor Loss (mW)]])/10^3</f>
        <v>7.3512360000000001</v>
      </c>
      <c r="CL225" s="145">
        <f>Table7[[#This Row],[Total (mW) C]]/10^3</f>
        <v>3.0779084020336969</v>
      </c>
      <c r="CM225" s="145">
        <f>Table7[[#This Row],[Total Sense Loss C]]+Table7[[#This Row],[Total MOSFET Loss C]]</f>
        <v>10.429144402033696</v>
      </c>
      <c r="CN225" s="149">
        <f>IF(Table7[[#This Row],[POUT (W)]]=0,0,(Table7[[#This Row],[POUT (W)]])/(Table7[[#This Row],[POUT (W)]]+Table7[[#This Row],[Total Power Loss (W) C]]))*100</f>
        <v>98.871965356525166</v>
      </c>
      <c r="CO225" s="153"/>
      <c r="CP225" s="149">
        <f>IF(MOSFET_S=Custom_MOSFET,Table7[[#This Row],[Total Sense Loss C]],Table7[[#This Row],[Total Sense Loss]])</f>
        <v>7.3512360000000001</v>
      </c>
      <c r="CQ225" s="149">
        <f>IF(MOSFET_S=Custom_MOSFET,Table7[[#This Row],[Total MOSFET Loss C]],Table7[[#This Row],[Total MOSFET Loss]])</f>
        <v>3.0779084020336969</v>
      </c>
      <c r="CR225" s="149">
        <f>IF(MOSFET_S=Custom_MOSFET,Table7[[#This Row],[Efficiency C]],Table7[[#This Row],[Efficiency]])</f>
        <v>98.871965356525166</v>
      </c>
      <c r="CS225" s="153"/>
      <c r="CT225" s="149">
        <f>IF(MOSFET_S=Compare_MOSFET, Table7[[#This Row],[Total Sense Loss C]], -100)</f>
        <v>-100</v>
      </c>
      <c r="CU225" s="149">
        <f>IF(MOSFET_S=Compare_MOSFET, Table7[[#This Row],[Total MOSFET Loss C]], -100)</f>
        <v>-100</v>
      </c>
      <c r="CV225" s="149">
        <f>IF(MOSFET_S=Compare_MOSFET, Table7[[#This Row],[Efficiency C]], -100)</f>
        <v>-100</v>
      </c>
      <c r="CW225" s="153"/>
      <c r="CX225" s="149">
        <f ca="1">IF(Save_Sel=CLR_Save,  Table7[[#This Row],[Total Sense Loss P1]], Table7[[#This Row],[Total Sense Loss P1 Saved]])</f>
        <v>7.3512360000000001</v>
      </c>
      <c r="CY225" s="149">
        <f ca="1">IF(Save_Sel=CLR_Save,  Table7[[#This Row],[Total MOSFET Loss P1]], Table7[[#This Row],[Total MOSFET Loss P1 Saved]] )</f>
        <v>3.0779084020336969</v>
      </c>
      <c r="CZ225" s="149">
        <f ca="1">IF(Save_Sel=CLR_Save, Table7[[#This Row],[Efficiency P1]], Table7[[#This Row],[Efficiency P1 Saved]])</f>
        <v>98.871965356525166</v>
      </c>
      <c r="DA225" s="153"/>
      <c r="DB225" s="149">
        <f ca="1">IF(Save_Sel=CLR_Save,  Table7[[#This Row],[Total Sense Loss P2]], Table7[[#This Row],[Total Sense Loss P2 Saved]])</f>
        <v>-100</v>
      </c>
      <c r="DC225" s="149">
        <f ca="1">IF(Save_Sel=CLR_Save,  Table7[[#This Row],[Total MOSFET Loss P2]], Table7[[#This Row],[Total MOSFET Loss P2 Saved]] )</f>
        <v>-100</v>
      </c>
      <c r="DD225" s="149">
        <f ca="1">IF(Save_Sel=CLR_Save, Table7[[#This Row],[Efficiency P2]], Table7[[#This Row],[Efficiency P2 Saved]])</f>
        <v>-100</v>
      </c>
      <c r="DE225" s="153"/>
      <c r="DF225" s="19"/>
      <c r="DG225" s="19"/>
      <c r="DH225" s="19"/>
      <c r="DI225" s="19"/>
      <c r="DJ225" s="19"/>
      <c r="DK225" s="19"/>
      <c r="DL225" s="19"/>
      <c r="DM225" s="19"/>
      <c r="DN225" s="19"/>
      <c r="DO225" s="19"/>
      <c r="DP225" s="19"/>
      <c r="DQ225" s="19"/>
      <c r="DR225" s="19"/>
      <c r="DS225" s="19"/>
      <c r="DT225" s="19"/>
      <c r="DU225" s="19"/>
      <c r="DV225" s="19"/>
      <c r="DW225" s="19"/>
      <c r="DX225" s="19"/>
      <c r="DY225" s="19"/>
      <c r="DZ225" s="19"/>
      <c r="EA225" s="19"/>
      <c r="EB225" s="19"/>
      <c r="EC225" s="19"/>
      <c r="ED225" s="19"/>
      <c r="EE225" s="19"/>
      <c r="EF225" s="19"/>
      <c r="EG225" s="19"/>
      <c r="EH225" s="19"/>
      <c r="EI225" s="19"/>
      <c r="EJ225" s="19"/>
      <c r="EK225" s="19"/>
      <c r="EL225" s="19"/>
      <c r="EM225" s="19"/>
      <c r="EN225" s="19"/>
      <c r="EO225" s="19"/>
      <c r="EP225" s="19"/>
      <c r="EQ225" s="19"/>
      <c r="ER225" s="19"/>
      <c r="ES225" s="19"/>
      <c r="ET225" s="19"/>
      <c r="EU225" s="19"/>
      <c r="EV225" s="19"/>
      <c r="EW225" s="19"/>
      <c r="EX225" s="19"/>
      <c r="EY225" s="19"/>
      <c r="EZ225" s="19"/>
      <c r="FA225" s="19"/>
      <c r="FB225" s="19"/>
      <c r="FC225" s="19"/>
      <c r="FD225" s="19"/>
      <c r="FE225" s="19"/>
      <c r="FF225" s="19"/>
      <c r="FG225" s="19"/>
      <c r="FH225" s="19"/>
      <c r="FI225" s="19"/>
    </row>
    <row r="226" spans="1:165" x14ac:dyDescent="0.25">
      <c r="A226" s="18"/>
      <c r="B226" s="18"/>
      <c r="C226" s="18"/>
      <c r="D226" s="18"/>
      <c r="E226" s="18"/>
      <c r="F226" s="18"/>
      <c r="G226" s="18"/>
      <c r="H226" s="18"/>
      <c r="I226" s="18"/>
      <c r="J226" s="18"/>
      <c r="K226" s="18"/>
      <c r="L226" s="18"/>
      <c r="M226" s="18"/>
      <c r="N226" s="18"/>
      <c r="O226" s="18"/>
      <c r="P226" s="18"/>
      <c r="Q226" s="18"/>
      <c r="R226" s="18"/>
      <c r="S226" s="18"/>
      <c r="T226" s="18"/>
      <c r="U226" s="19"/>
      <c r="V226" s="19"/>
      <c r="W226" s="19"/>
      <c r="X226" s="19"/>
      <c r="Y226" s="19"/>
      <c r="Z226" s="19"/>
      <c r="AA226" s="19"/>
      <c r="AB226" s="19"/>
      <c r="AC226" s="19"/>
      <c r="AD226" s="19"/>
      <c r="AE226" s="19"/>
      <c r="AF226" s="143">
        <f t="shared" si="54"/>
        <v>70</v>
      </c>
      <c r="AG226" s="143">
        <f t="shared" si="53"/>
        <v>25.2</v>
      </c>
      <c r="AH226" s="144">
        <f t="shared" si="42"/>
        <v>927.3599999999999</v>
      </c>
      <c r="AI226" s="145">
        <f t="shared" si="43"/>
        <v>0.97826086956521752</v>
      </c>
      <c r="AJ226" s="145">
        <f t="shared" si="44"/>
        <v>24.65217391304348</v>
      </c>
      <c r="AK226" s="145">
        <f t="shared" si="40"/>
        <v>0.39130434782608459</v>
      </c>
      <c r="AL226" s="145">
        <f t="shared" si="41"/>
        <v>24.652432710856896</v>
      </c>
      <c r="AM226" s="146"/>
      <c r="AN226" s="145">
        <f>MAX(0,Table7[[#This Row],[I_L]]-0.5*Table7[[#This Row],[I_L pkpk]])</f>
        <v>24.456521739130437</v>
      </c>
      <c r="AO226" s="145">
        <f>Table7[[#This Row],[I_L]]+0.5*Table7[[#This Row],[I_L pkpk]]</f>
        <v>24.847826086956523</v>
      </c>
      <c r="AP226" s="145">
        <f ca="1">IF(VACnom&gt;Vbat, (VGS_S-(TI_MOSFET_S_VTH_H_BU+Table7[[#This Row],[I_L]]/TI_MOSFET_S_gFS_H_BU))/3.4, (VGS_S-(TI_MOSFET_S_VTH_L_BO+Table7[[#This Row],[I_L]]/TI_MOSFET_S_gFS_L_BO))/3.4 )</f>
        <v>2.9589317332284084</v>
      </c>
      <c r="AQ226" s="145">
        <f ca="1">IF(VACnom&gt;Vbat, ((TI_MOSFET_S_VTH_H_BU+Table7[[#This Row],[I_L]]/TI_MOSFET_S_gFS_H_BU))/1, ((TI_MOSFET_S_VTH_L_BO+Table7[[#This Row],[I_L]]/TI_MOSFET_S_gFS_L_BO))/1 )</f>
        <v>1.9396321070234115</v>
      </c>
      <c r="AR226" s="145">
        <f ca="1">IF(VACnom&gt;Vbat, (TI_MOSFET_S_QGD_H_BU+TI_MOSFET_S_QGS_H_BU)*10^-9/Table7[[#This Row],[Ion (A)]], (TI_MOSFET_S_QGD_L_BO+TI_MOSFET_S_QGS_L_BO)*10^-9/Table7[[#This Row],[Ion (A)]])/10^-9</f>
        <v>9.7332424660494343</v>
      </c>
      <c r="AS226" s="145">
        <f ca="1">IF(VACnom&gt;Vbat, (TI_MOSFET_S_QGD_H_BU+TI_MOSFET_S_QGS_H_BU)*10^-9/Table7[[#This Row],[Ioff (A)]], (TI_MOSFET_S_QGD_L_BO+TI_MOSFET_S_QGS_L_BO)*10^-9/Table7[[#This Row],[Ioff (A)]])/10^-9</f>
        <v>14.848176566945426</v>
      </c>
      <c r="AT226" s="145">
        <f ca="1" xml:space="preserve"> 0.5*VACnom*Table7[[#This Row],[Ivalley (A)]]*Table7[[#This Row],[ton (ns)]]*10^-9*Fsw*10^3+0.5*VACnom*Table7[[#This Row],[Ipeak (A)]]*Table7[[#This Row],[toff (ns)]]*10^-9*Fsw*10^3/10^-3</f>
        <v>1358.5932571034346</v>
      </c>
      <c r="AU226" s="145">
        <f t="shared" ca="1" si="45"/>
        <v>268.64000000000004</v>
      </c>
      <c r="AV226" s="145" t="e">
        <f t="shared" si="46"/>
        <v>#VALUE!</v>
      </c>
      <c r="AW226" s="145">
        <f t="shared" ca="1" si="47"/>
        <v>566.72000000000025</v>
      </c>
      <c r="AX226" s="145">
        <f ca="1">IF(VACnom&gt;Vbat, TI_MOSFET_S_VSD_L_BU*Table7[[#This Row],[Ivalley (A)]]*Fsw*10^3*40*10^-9+TI_MOSFET_S_VSD_L_BU*Table7[[#This Row],[Ipeak (A)]]*Fsw*10^3*30*10^-9, TI_MOSFET_S_VSD_H_BO*Table7[[#This Row],[Ivalley (A)]]*Fsw*10^3*40*10^-9+TI_MOSFET_S_VSD_H_BO*Table7[[#This Row],[Ipeak (A)]]*Fsw*10^3*30*10^-9)/10^-3</f>
        <v>248.21217391304359</v>
      </c>
      <c r="AY226" s="145" t="e">
        <f t="shared" si="48"/>
        <v>#VALUE!</v>
      </c>
      <c r="AZ226" s="145" t="e">
        <f>IF(VACnom&lt;Vbat, Table7[[#This Row],[Duty Cycle]]*Table7[[#This Row],[I_L RMS]]^2*TI_MOSFET_S_RDSON_H_BU*10^-3, (1-Table7[[#This Row],[Duty Cycle]])*Table7[[#This Row],[I_L RMS]]^2*TI_MOSFET_S_RDSON_H_BO*10^-3)/10^-3</f>
        <v>#VALUE!</v>
      </c>
      <c r="BA226" s="145" t="e">
        <f ca="1">IF(VACnom&gt;Vbat, Table7[[#This Row],[PIV (mW)]]+Table7[[#This Row],[Pqoss (mW)]]+Table7[[#This Row],[Pgate_top (mW)]], Table7[[#This Row],[PRR (mW)]]+Table7[[#This Row],[Pdead (mW)]]+Table7[[#This Row],[Pgate_top (mW)]])</f>
        <v>#VALUE!</v>
      </c>
      <c r="BB226" s="145" t="e">
        <f ca="1">Table7[[#This Row],[Pcon_top (mW)]]+Table7[[#This Row],[Psw_top (mW)]]</f>
        <v>#VALUE!</v>
      </c>
      <c r="BC226" s="145" t="e">
        <f>IF(VACnom&gt;Vbat, (1-Table7[[#This Row],[Duty Cycle]])*Table7[[#This Row],[I_L RMS]]^2*TI_MOSFET_S_RDSON_L_BU*10^-3, Table7[[#This Row],[Duty Cycle]]*Table7[[#This Row],[I_L RMS]]^2*TI_MOSFET_S_RDSON_L_BO*10^-3)/10^-3</f>
        <v>#VALUE!</v>
      </c>
      <c r="BD226" s="145" t="e">
        <f ca="1">IF(VACnom&gt;Vbat, Table7[[#This Row],[PRR (mW)]]+Table7[[#This Row],[Pdead (mW)]]+Table7[[#This Row],[Pgate_bottom (mW)]], Table7[[#This Row],[PIV (mW)]]+Table7[[#This Row],[Pqoss (mW)]]+Table7[[#This Row],[Pgate_bottom (mW)]])</f>
        <v>#VALUE!</v>
      </c>
      <c r="BE226" s="147" t="e">
        <f ca="1">Table7[[#This Row],[Pcon_bottom (mW)]]+Table7[[#This Row],[Psw_bottom (mW)]]</f>
        <v>#VALUE!</v>
      </c>
      <c r="BF226" s="145" t="e">
        <f ca="1">Table7[[#This Row],[Pbottom (mW)]]+Table7[[#This Row],[Ptop (mW)]]</f>
        <v>#VALUE!</v>
      </c>
      <c r="BG226" s="142"/>
      <c r="BH226" s="145">
        <f>MAX(0,Table7[[#This Row],[I_L]]-0.5*Table7[[#This Row],[I_L pkpk]])</f>
        <v>24.456521739130437</v>
      </c>
      <c r="BI226" s="145">
        <f>Table7[[#This Row],[I_L]]+0.5*Table7[[#This Row],[I_L pkpk]]</f>
        <v>24.847826086956523</v>
      </c>
      <c r="BJ226" s="145">
        <f>IF(VACnom&gt;Vbat, (VGS_S-(C_MOSFET_S_VTH_H_BU+Table7[[#This Row],[I_L]]/C_MOSFET_S_gFS_H_BU))/3.4, (VGS_S-(C_MOSFET_S_VTH_L_BO+Table7[[#This Row],[I_L]]/C_MOSFET_S_gFS_L_BO))/3.4 )</f>
        <v>2.9080827233442101</v>
      </c>
      <c r="BK226" s="145">
        <f>IF(VACnom&gt;Vbat, ((C_MOSFET_S_VTH_H_BU+Table7[[#This Row],[I_L]]/C_MOSFET_S_gFS_H_BU))/1, ((C_MOSFET_S_VTH_L_BO+Table7[[#This Row],[I_L]]/C_MOSFET_S_gFS_L_BO))/1 )</f>
        <v>2.1125187406296853</v>
      </c>
      <c r="BL226" s="145">
        <f>IF(VACnom&gt;Vbat, (C_MOSFET_S_QGD_H_BU+C_MOSFET_S_QGS_H_BU)*10^-9/Table7[[#This Row],[Ion (A) C]], (C_MOSFET_S_QGD_L_BO+C_MOSFET_S_QGS_L_BO)*10^-9/Table7[[#This Row],[Ion (A) C]])/10^-9</f>
        <v>5.3299721756798766</v>
      </c>
      <c r="BM226" s="145">
        <f>IF(VACnom&gt;Vbat, (C_MOSFET_S_QGD_H_BU+C_MOSFET_S_QGS_H_BU)*10^-9/Table7[[#This Row],[Ioff (A) C]], (C_MOSFET_S_QGD_L_BO+C_MOSFET_S_QGS_L_BO)*10^-9/Table7[[#This Row],[Ioff (A) C]])/10^-9</f>
        <v>7.3372130158617503</v>
      </c>
      <c r="BN226" s="145">
        <f xml:space="preserve"> 0.5*VACnom*Table7[[#This Row],[Ivalley (A) C]]*Table7[[#This Row],[ton (ns) C]]*10^-9*Fsw*10^3+0.5*VACnom*Table7[[#This Row],[Ipeak (A) C]]*Table7[[#This Row],[toff (ns) C]]*10^-9*Fsw*10^3/10^-3</f>
        <v>671.39445566620975</v>
      </c>
      <c r="BO226" s="145">
        <f t="shared" si="49"/>
        <v>305.44000000000011</v>
      </c>
      <c r="BP226" s="145">
        <f t="shared" si="50"/>
        <v>357.69600000000014</v>
      </c>
      <c r="BQ226" s="145">
        <f t="shared" si="51"/>
        <v>1067.2000000000003</v>
      </c>
      <c r="BR226" s="145">
        <f>IF(VACnom&gt;Vbat, C_MOSFET_S_VSD_L_BU*Table7[[#This Row],[Ivalley (A) C]]*Fsw*10^3*40*10^-9+C_MOSFET_S_VSD_L_BU*Table7[[#This Row],[Ipeak (A) C]]*Fsw*10^3*30*10^-9, C_MOSFET_S_VSD_H_BO*Table7[[#This Row],[Ivalley (A) C]]*Fsw*10^3*40*10^-9+C_MOSFET_S_VSD_H_BO*Table7[[#This Row],[Ipeak (A) C]]*Fsw*10^3*30*10^-9)/10^-3</f>
        <v>275.79130434782621</v>
      </c>
      <c r="BS226" s="145">
        <f t="shared" si="52"/>
        <v>357.69600000000014</v>
      </c>
      <c r="BT226" s="145">
        <f>IF(VACnom&lt;Vbat, Table7[[#This Row],[Duty Cycle]]*Table7[[#This Row],[I_L RMS]]^2*C_MOSFET_S_RDSON_H_BU*10^-3, (1-Table7[[#This Row],[Duty Cycle]])*Table7[[#This Row],[I_L RMS]]^2*C_MOSFET_S_RDSON_H_BO*10^-3)/10^-3</f>
        <v>34.350659570970471</v>
      </c>
      <c r="BU226" s="145">
        <f>IF(VACnom&gt;Vbat, Table7[[#This Row],[PIV (mW) C]]+Table7[[#This Row],[PQoss (mW) C]]+Table7[[#This Row],[Pgate_top (mW) C]], Table7[[#This Row],[PRR (mW) C]]+Table7[[#This Row],[Pdead (mW) C]]+Table7[[#This Row],[Pgate_top (mW) C]])</f>
        <v>1334.5304556662099</v>
      </c>
      <c r="BV226" s="145">
        <f>Table7[[#This Row],[Pcon_top (mW) C]]+Table7[[#This Row],[Psw_top (mW) C]]</f>
        <v>1368.8811152371804</v>
      </c>
      <c r="BW226" s="145">
        <f>IF(VACnom&gt;Vbat, (1-Table7[[#This Row],[Duty Cycle]])*Table7[[#This Row],[I_L RMS]]^2*C_MOSFET_S_RDSON_L_BU*10^-3, Table7[[#This Row],[Duty Cycle]]*Table7[[#This Row],[I_L RMS]]^2*C_MOSFET_S_RDSON_L_BO*10^-3)/10^-3</f>
        <v>22.460046642557611</v>
      </c>
      <c r="BX226" s="145">
        <f>IF(VACnom&gt;Vbat, Table7[[#This Row],[PRR (mW) C]]+Table7[[#This Row],[Pdead (mW) C]]+Table7[[#This Row],[Pgate_bottom (mW) C]], Table7[[#This Row],[PIV (mW) C]]+Table7[[#This Row],[PQoss (mW) C]]+Table7[[#This Row],[Pgate_bottom (mW) C]])</f>
        <v>1700.6873043478265</v>
      </c>
      <c r="BY226" s="145">
        <f>Table7[[#This Row],[Pcon_bottom (mW) C]]+Table7[[#This Row],[Psw_bottom (mV) C]]</f>
        <v>1723.1473509903842</v>
      </c>
      <c r="BZ226" s="145">
        <f>Table7[[#This Row],[Pbottom (mW) C]]+Table7[[#This Row],[Ptop (mW) C]]</f>
        <v>3092.0284662275644</v>
      </c>
      <c r="CA226" s="148"/>
      <c r="CB226" s="144">
        <f>(RAC_SNS*10^-3*(Table7[[#This Row],[IOUT (A)]]*Vbat/VACnom)^2/10^-3)</f>
        <v>1215.4593572778826</v>
      </c>
      <c r="CC226" s="144">
        <f>(RBAT_SNS*10^-3*Table7[[#This Row],[IOUT (A)]]^2)/10^-3</f>
        <v>3175.2</v>
      </c>
      <c r="CD226" s="144">
        <f>IF(VACnom&gt;Vbat,(L_DRC*10^-3*(Table7[[#This Row],[IOUT (A)]])^2/10^-3),(L_DRC*10^-3*(Table7[[#This Row],[IOUT (A)]]*Vbat/VACnom)^2/10^-3))</f>
        <v>3175.2</v>
      </c>
      <c r="CE226" s="152"/>
      <c r="CF226" s="145">
        <f>(Table7[[#This Row],[R_AC (mW)]]+Table7[[#This Row],[R_SR (mW)]]+Table7[[#This Row],[Inductor Loss (mW)]])/10^3</f>
        <v>7.5658593572778816</v>
      </c>
      <c r="CG226" s="145" t="e">
        <f ca="1">Table7[[#This Row],[Total TI (mW)]]/10^3</f>
        <v>#VALUE!</v>
      </c>
      <c r="CH226" s="145" t="e">
        <f ca="1">Table7[[#This Row],[Total Sense Loss]]+Table7[[#This Row],[Total MOSFET Loss]]</f>
        <v>#VALUE!</v>
      </c>
      <c r="CI226" s="149" t="e">
        <f ca="1">IF(Table7[[#This Row],[POUT (W)]]=0,0,(Table7[[#This Row],[POUT (W)]])/(Table7[[#This Row],[POUT (W)]]+Table7[[#This Row],[Total Power Loss (W)]]))*100</f>
        <v>#VALUE!</v>
      </c>
      <c r="CJ226" s="153"/>
      <c r="CK226" s="145">
        <f>(Table7[[#This Row],[R_AC (mW)]]+Table7[[#This Row],[R_SR (mW)]]+Table7[[#This Row],[Inductor Loss (mW)]])/10^3</f>
        <v>7.5658593572778816</v>
      </c>
      <c r="CL226" s="145">
        <f>Table7[[#This Row],[Total (mW) C]]/10^3</f>
        <v>3.0920284662275646</v>
      </c>
      <c r="CM226" s="145">
        <f>Table7[[#This Row],[Total Sense Loss C]]+Table7[[#This Row],[Total MOSFET Loss C]]</f>
        <v>10.657887823505446</v>
      </c>
      <c r="CN226" s="149">
        <f>IF(Table7[[#This Row],[POUT (W)]]=0,0,(Table7[[#This Row],[POUT (W)]])/(Table7[[#This Row],[POUT (W)]]+Table7[[#This Row],[Total Power Loss (W) C]]))*100</f>
        <v>98.863786292153222</v>
      </c>
      <c r="CO226" s="153"/>
      <c r="CP226" s="149">
        <f>IF(MOSFET_S=Custom_MOSFET,Table7[[#This Row],[Total Sense Loss C]],Table7[[#This Row],[Total Sense Loss]])</f>
        <v>7.5658593572778816</v>
      </c>
      <c r="CQ226" s="149">
        <f>IF(MOSFET_S=Custom_MOSFET,Table7[[#This Row],[Total MOSFET Loss C]],Table7[[#This Row],[Total MOSFET Loss]])</f>
        <v>3.0920284662275646</v>
      </c>
      <c r="CR226" s="149">
        <f>IF(MOSFET_S=Custom_MOSFET,Table7[[#This Row],[Efficiency C]],Table7[[#This Row],[Efficiency]])</f>
        <v>98.863786292153222</v>
      </c>
      <c r="CS226" s="153"/>
      <c r="CT226" s="149">
        <f>IF(MOSFET_S=Compare_MOSFET, Table7[[#This Row],[Total Sense Loss C]], -100)</f>
        <v>-100</v>
      </c>
      <c r="CU226" s="149">
        <f>IF(MOSFET_S=Compare_MOSFET, Table7[[#This Row],[Total MOSFET Loss C]], -100)</f>
        <v>-100</v>
      </c>
      <c r="CV226" s="149">
        <f>IF(MOSFET_S=Compare_MOSFET, Table7[[#This Row],[Efficiency C]], -100)</f>
        <v>-100</v>
      </c>
      <c r="CW226" s="153"/>
      <c r="CX226" s="149">
        <f ca="1">IF(Save_Sel=CLR_Save,  Table7[[#This Row],[Total Sense Loss P1]], Table7[[#This Row],[Total Sense Loss P1 Saved]])</f>
        <v>7.5658593572778816</v>
      </c>
      <c r="CY226" s="149">
        <f ca="1">IF(Save_Sel=CLR_Save,  Table7[[#This Row],[Total MOSFET Loss P1]], Table7[[#This Row],[Total MOSFET Loss P1 Saved]] )</f>
        <v>3.0920284662275646</v>
      </c>
      <c r="CZ226" s="149">
        <f ca="1">IF(Save_Sel=CLR_Save, Table7[[#This Row],[Efficiency P1]], Table7[[#This Row],[Efficiency P1 Saved]])</f>
        <v>98.863786292153222</v>
      </c>
      <c r="DA226" s="153"/>
      <c r="DB226" s="149">
        <f ca="1">IF(Save_Sel=CLR_Save,  Table7[[#This Row],[Total Sense Loss P2]], Table7[[#This Row],[Total Sense Loss P2 Saved]])</f>
        <v>-100</v>
      </c>
      <c r="DC226" s="149">
        <f ca="1">IF(Save_Sel=CLR_Save,  Table7[[#This Row],[Total MOSFET Loss P2]], Table7[[#This Row],[Total MOSFET Loss P2 Saved]] )</f>
        <v>-100</v>
      </c>
      <c r="DD226" s="149">
        <f ca="1">IF(Save_Sel=CLR_Save, Table7[[#This Row],[Efficiency P2]], Table7[[#This Row],[Efficiency P2 Saved]])</f>
        <v>-100</v>
      </c>
      <c r="DE226" s="153"/>
      <c r="DF226" s="19"/>
      <c r="DG226" s="19"/>
      <c r="DH226" s="19"/>
      <c r="DI226" s="19"/>
      <c r="DJ226" s="19"/>
      <c r="DK226" s="19"/>
      <c r="DL226" s="19"/>
      <c r="DM226" s="19"/>
      <c r="DN226" s="19"/>
      <c r="DO226" s="19"/>
      <c r="DP226" s="19"/>
      <c r="DQ226" s="19"/>
      <c r="DR226" s="19"/>
      <c r="DS226" s="19"/>
      <c r="DT226" s="19"/>
      <c r="DU226" s="19"/>
      <c r="DV226" s="19"/>
      <c r="DW226" s="19"/>
      <c r="DX226" s="19"/>
      <c r="DY226" s="19"/>
      <c r="DZ226" s="19"/>
      <c r="EA226" s="19"/>
      <c r="EB226" s="19"/>
      <c r="EC226" s="19"/>
      <c r="ED226" s="19"/>
      <c r="EE226" s="19"/>
      <c r="EF226" s="19"/>
      <c r="EG226" s="19"/>
      <c r="EH226" s="19"/>
      <c r="EI226" s="19"/>
      <c r="EJ226" s="19"/>
      <c r="EK226" s="19"/>
      <c r="EL226" s="19"/>
      <c r="EM226" s="19"/>
      <c r="EN226" s="19"/>
      <c r="EO226" s="19"/>
      <c r="EP226" s="19"/>
      <c r="EQ226" s="19"/>
      <c r="ER226" s="19"/>
      <c r="ES226" s="19"/>
      <c r="ET226" s="19"/>
      <c r="EU226" s="19"/>
      <c r="EV226" s="19"/>
      <c r="EW226" s="19"/>
      <c r="EX226" s="19"/>
      <c r="EY226" s="19"/>
      <c r="EZ226" s="19"/>
      <c r="FA226" s="19"/>
      <c r="FB226" s="19"/>
      <c r="FC226" s="19"/>
      <c r="FD226" s="19"/>
      <c r="FE226" s="19"/>
      <c r="FF226" s="19"/>
      <c r="FG226" s="19"/>
      <c r="FH226" s="19"/>
      <c r="FI226" s="19"/>
    </row>
    <row r="227" spans="1:165" x14ac:dyDescent="0.25">
      <c r="A227" s="67"/>
      <c r="B227" s="67"/>
      <c r="C227" s="67"/>
      <c r="D227" s="67"/>
      <c r="E227" s="67"/>
      <c r="F227" s="67"/>
      <c r="G227" s="67"/>
      <c r="H227" s="67"/>
      <c r="I227" s="67"/>
      <c r="J227" s="67"/>
      <c r="K227" s="67"/>
      <c r="L227" s="67"/>
      <c r="M227" s="67"/>
      <c r="N227" s="67"/>
      <c r="O227" s="67"/>
      <c r="P227" s="67"/>
      <c r="Q227" s="67"/>
      <c r="R227" s="67"/>
      <c r="S227" s="67"/>
      <c r="T227" s="67"/>
      <c r="U227" s="19"/>
      <c r="V227" s="19"/>
      <c r="W227" s="19"/>
      <c r="X227" s="19"/>
      <c r="Y227" s="19"/>
      <c r="Z227" s="19"/>
      <c r="AA227" s="19"/>
      <c r="AB227" s="19"/>
      <c r="AC227" s="19"/>
      <c r="AD227" s="19"/>
      <c r="AE227" s="19"/>
      <c r="AF227" s="143">
        <f t="shared" si="54"/>
        <v>71</v>
      </c>
      <c r="AG227" s="143">
        <f t="shared" si="53"/>
        <v>25.56</v>
      </c>
      <c r="AH227" s="144">
        <f t="shared" si="42"/>
        <v>940.60799999999983</v>
      </c>
      <c r="AI227" s="145">
        <f t="shared" si="43"/>
        <v>0.97826086956521752</v>
      </c>
      <c r="AJ227" s="145">
        <f t="shared" si="44"/>
        <v>25.00434782608696</v>
      </c>
      <c r="AK227" s="145">
        <f t="shared" si="40"/>
        <v>0.39130434782608459</v>
      </c>
      <c r="AL227" s="145">
        <f t="shared" si="41"/>
        <v>25.004602978898209</v>
      </c>
      <c r="AM227" s="146"/>
      <c r="AN227" s="145">
        <f>MAX(0,Table7[[#This Row],[I_L]]-0.5*Table7[[#This Row],[I_L pkpk]])</f>
        <v>24.808695652173917</v>
      </c>
      <c r="AO227" s="145">
        <f>Table7[[#This Row],[I_L]]+0.5*Table7[[#This Row],[I_L pkpk]]</f>
        <v>25.200000000000003</v>
      </c>
      <c r="AP227" s="145">
        <f ca="1">IF(VACnom&gt;Vbat, (VGS_S-(TI_MOSFET_S_VTH_H_BU+Table7[[#This Row],[I_L]]/TI_MOSFET_S_gFS_H_BU))/3.4, (VGS_S-(TI_MOSFET_S_VTH_L_BO+Table7[[#This Row],[I_L]]/TI_MOSFET_S_gFS_L_BO))/3.4 )</f>
        <v>2.9581349596694864</v>
      </c>
      <c r="AQ227" s="145">
        <f ca="1">IF(VACnom&gt;Vbat, ((TI_MOSFET_S_VTH_H_BU+Table7[[#This Row],[I_L]]/TI_MOSFET_S_gFS_H_BU))/1, ((TI_MOSFET_S_VTH_L_BO+Table7[[#This Row],[I_L]]/TI_MOSFET_S_gFS_L_BO))/1 )</f>
        <v>1.9423411371237458</v>
      </c>
      <c r="AR227" s="145">
        <f ca="1">IF(VACnom&gt;Vbat, (TI_MOSFET_S_QGD_H_BU+TI_MOSFET_S_QGS_H_BU)*10^-9/Table7[[#This Row],[Ion (A)]], (TI_MOSFET_S_QGD_L_BO+TI_MOSFET_S_QGS_L_BO)*10^-9/Table7[[#This Row],[Ion (A)]])/10^-9</f>
        <v>9.7358641146034248</v>
      </c>
      <c r="AS227" s="145">
        <f ca="1">IF(VACnom&gt;Vbat, (TI_MOSFET_S_QGD_H_BU+TI_MOSFET_S_QGS_H_BU)*10^-9/Table7[[#This Row],[Ioff (A)]], (TI_MOSFET_S_QGD_L_BO+TI_MOSFET_S_QGS_L_BO)*10^-9/Table7[[#This Row],[Ioff (A)]])/10^-9</f>
        <v>14.827467456436395</v>
      </c>
      <c r="AT227" s="145">
        <f ca="1" xml:space="preserve"> 0.5*VACnom*Table7[[#This Row],[Ivalley (A)]]*Table7[[#This Row],[ton (ns)]]*10^-9*Fsw*10^3+0.5*VACnom*Table7[[#This Row],[Ipeak (A)]]*Table7[[#This Row],[toff (ns)]]*10^-9*Fsw*10^3/10^-3</f>
        <v>1375.9288674902928</v>
      </c>
      <c r="AU227" s="145">
        <f t="shared" ca="1" si="45"/>
        <v>268.64000000000004</v>
      </c>
      <c r="AV227" s="145" t="e">
        <f t="shared" si="46"/>
        <v>#VALUE!</v>
      </c>
      <c r="AW227" s="145">
        <f t="shared" ca="1" si="47"/>
        <v>566.72000000000025</v>
      </c>
      <c r="AX227" s="145">
        <f ca="1">IF(VACnom&gt;Vbat, TI_MOSFET_S_VSD_L_BU*Table7[[#This Row],[Ivalley (A)]]*Fsw*10^3*40*10^-9+TI_MOSFET_S_VSD_L_BU*Table7[[#This Row],[Ipeak (A)]]*Fsw*10^3*30*10^-9, TI_MOSFET_S_VSD_H_BO*Table7[[#This Row],[Ivalley (A)]]*Fsw*10^3*40*10^-9+TI_MOSFET_S_VSD_H_BO*Table7[[#This Row],[Ipeak (A)]]*Fsw*10^3*30*10^-9)/10^-3</f>
        <v>251.76208695652184</v>
      </c>
      <c r="AY227" s="145" t="e">
        <f t="shared" si="48"/>
        <v>#VALUE!</v>
      </c>
      <c r="AZ227" s="145" t="e">
        <f>IF(VACnom&lt;Vbat, Table7[[#This Row],[Duty Cycle]]*Table7[[#This Row],[I_L RMS]]^2*TI_MOSFET_S_RDSON_H_BU*10^-3, (1-Table7[[#This Row],[Duty Cycle]])*Table7[[#This Row],[I_L RMS]]^2*TI_MOSFET_S_RDSON_H_BO*10^-3)/10^-3</f>
        <v>#VALUE!</v>
      </c>
      <c r="BA227" s="145" t="e">
        <f ca="1">IF(VACnom&gt;Vbat, Table7[[#This Row],[PIV (mW)]]+Table7[[#This Row],[Pqoss (mW)]]+Table7[[#This Row],[Pgate_top (mW)]], Table7[[#This Row],[PRR (mW)]]+Table7[[#This Row],[Pdead (mW)]]+Table7[[#This Row],[Pgate_top (mW)]])</f>
        <v>#VALUE!</v>
      </c>
      <c r="BB227" s="145" t="e">
        <f ca="1">Table7[[#This Row],[Pcon_top (mW)]]+Table7[[#This Row],[Psw_top (mW)]]</f>
        <v>#VALUE!</v>
      </c>
      <c r="BC227" s="145" t="e">
        <f>IF(VACnom&gt;Vbat, (1-Table7[[#This Row],[Duty Cycle]])*Table7[[#This Row],[I_L RMS]]^2*TI_MOSFET_S_RDSON_L_BU*10^-3, Table7[[#This Row],[Duty Cycle]]*Table7[[#This Row],[I_L RMS]]^2*TI_MOSFET_S_RDSON_L_BO*10^-3)/10^-3</f>
        <v>#VALUE!</v>
      </c>
      <c r="BD227" s="145" t="e">
        <f ca="1">IF(VACnom&gt;Vbat, Table7[[#This Row],[PRR (mW)]]+Table7[[#This Row],[Pdead (mW)]]+Table7[[#This Row],[Pgate_bottom (mW)]], Table7[[#This Row],[PIV (mW)]]+Table7[[#This Row],[Pqoss (mW)]]+Table7[[#This Row],[Pgate_bottom (mW)]])</f>
        <v>#VALUE!</v>
      </c>
      <c r="BE227" s="147" t="e">
        <f ca="1">Table7[[#This Row],[Pcon_bottom (mW)]]+Table7[[#This Row],[Psw_bottom (mW)]]</f>
        <v>#VALUE!</v>
      </c>
      <c r="BF227" s="145" t="e">
        <f ca="1">Table7[[#This Row],[Pbottom (mW)]]+Table7[[#This Row],[Ptop (mW)]]</f>
        <v>#VALUE!</v>
      </c>
      <c r="BG227" s="142"/>
      <c r="BH227" s="145">
        <f>MAX(0,Table7[[#This Row],[I_L]]-0.5*Table7[[#This Row],[I_L pkpk]])</f>
        <v>24.808695652173917</v>
      </c>
      <c r="BI227" s="145">
        <f>Table7[[#This Row],[I_L]]+0.5*Table7[[#This Row],[I_L pkpk]]</f>
        <v>25.200000000000003</v>
      </c>
      <c r="BJ227" s="145">
        <f>IF(VACnom&gt;Vbat, (VGS_S-(C_MOSFET_S_VTH_H_BU+Table7[[#This Row],[I_L]]/C_MOSFET_S_gFS_H_BU))/3.4, (VGS_S-(C_MOSFET_S_VTH_L_BO+Table7[[#This Row],[I_L]]/C_MOSFET_S_gFS_L_BO))/3.4 )</f>
        <v>2.9071897874592114</v>
      </c>
      <c r="BK227" s="145">
        <f>IF(VACnom&gt;Vbat, ((C_MOSFET_S_VTH_H_BU+Table7[[#This Row],[I_L]]/C_MOSFET_S_gFS_H_BU))/1, ((C_MOSFET_S_VTH_L_BO+Table7[[#This Row],[I_L]]/C_MOSFET_S_gFS_L_BO))/1 )</f>
        <v>2.1155547226386808</v>
      </c>
      <c r="BL227" s="145">
        <f>IF(VACnom&gt;Vbat, (C_MOSFET_S_QGD_H_BU+C_MOSFET_S_QGS_H_BU)*10^-9/Table7[[#This Row],[Ion (A) C]], (C_MOSFET_S_QGD_L_BO+C_MOSFET_S_QGS_L_BO)*10^-9/Table7[[#This Row],[Ion (A) C]])/10^-9</f>
        <v>5.3316092629599154</v>
      </c>
      <c r="BM227" s="145">
        <f>IF(VACnom&gt;Vbat, (C_MOSFET_S_QGD_H_BU+C_MOSFET_S_QGS_H_BU)*10^-9/Table7[[#This Row],[Ioff (A) C]], (C_MOSFET_S_QGD_L_BO+C_MOSFET_S_QGS_L_BO)*10^-9/Table7[[#This Row],[Ioff (A) C]])/10^-9</f>
        <v>7.3266835568626743</v>
      </c>
      <c r="BN227" s="145">
        <f xml:space="preserve"> 0.5*VACnom*Table7[[#This Row],[Ivalley (A) C]]*Table7[[#This Row],[ton (ns) C]]*10^-9*Fsw*10^3+0.5*VACnom*Table7[[#This Row],[Ipeak (A) C]]*Table7[[#This Row],[toff (ns) C]]*10^-9*Fsw*10^3/10^-3</f>
        <v>679.93408092848824</v>
      </c>
      <c r="BO227" s="145">
        <f t="shared" si="49"/>
        <v>305.44000000000011</v>
      </c>
      <c r="BP227" s="145">
        <f t="shared" si="50"/>
        <v>357.69600000000014</v>
      </c>
      <c r="BQ227" s="145">
        <f t="shared" si="51"/>
        <v>1067.2000000000003</v>
      </c>
      <c r="BR227" s="145">
        <f>IF(VACnom&gt;Vbat, C_MOSFET_S_VSD_L_BU*Table7[[#This Row],[Ivalley (A) C]]*Fsw*10^3*40*10^-9+C_MOSFET_S_VSD_L_BU*Table7[[#This Row],[Ipeak (A) C]]*Fsw*10^3*30*10^-9, C_MOSFET_S_VSD_H_BO*Table7[[#This Row],[Ivalley (A) C]]*Fsw*10^3*40*10^-9+C_MOSFET_S_VSD_H_BO*Table7[[#This Row],[Ipeak (A) C]]*Fsw*10^3*30*10^-9)/10^-3</f>
        <v>279.73565217391314</v>
      </c>
      <c r="BS227" s="145">
        <f t="shared" si="52"/>
        <v>357.69600000000014</v>
      </c>
      <c r="BT227" s="145">
        <f>IF(VACnom&lt;Vbat, Table7[[#This Row],[Duty Cycle]]*Table7[[#This Row],[I_L RMS]]^2*C_MOSFET_S_RDSON_H_BU*10^-3, (1-Table7[[#This Row],[Duty Cycle]])*Table7[[#This Row],[I_L RMS]]^2*C_MOSFET_S_RDSON_H_BO*10^-3)/10^-3</f>
        <v>35.339096572696434</v>
      </c>
      <c r="BU227" s="145">
        <f>IF(VACnom&gt;Vbat, Table7[[#This Row],[PIV (mW) C]]+Table7[[#This Row],[PQoss (mW) C]]+Table7[[#This Row],[Pgate_top (mW) C]], Table7[[#This Row],[PRR (mW) C]]+Table7[[#This Row],[Pdead (mW) C]]+Table7[[#This Row],[Pgate_top (mW) C]])</f>
        <v>1343.0700809284886</v>
      </c>
      <c r="BV227" s="145">
        <f>Table7[[#This Row],[Pcon_top (mW) C]]+Table7[[#This Row],[Psw_top (mW) C]]</f>
        <v>1378.409177501185</v>
      </c>
      <c r="BW227" s="145">
        <f>IF(VACnom&gt;Vbat, (1-Table7[[#This Row],[Duty Cycle]])*Table7[[#This Row],[I_L RMS]]^2*C_MOSFET_S_RDSON_L_BU*10^-3, Table7[[#This Row],[Duty Cycle]]*Table7[[#This Row],[I_L RMS]]^2*C_MOSFET_S_RDSON_L_BO*10^-3)/10^-3</f>
        <v>23.106332374455359</v>
      </c>
      <c r="BX227" s="145">
        <f>IF(VACnom&gt;Vbat, Table7[[#This Row],[PRR (mW) C]]+Table7[[#This Row],[Pdead (mW) C]]+Table7[[#This Row],[Pgate_bottom (mW) C]], Table7[[#This Row],[PIV (mW) C]]+Table7[[#This Row],[PQoss (mW) C]]+Table7[[#This Row],[Pgate_bottom (mW) C]])</f>
        <v>1704.6316521739136</v>
      </c>
      <c r="BY227" s="145">
        <f>Table7[[#This Row],[Pcon_bottom (mW) C]]+Table7[[#This Row],[Psw_bottom (mV) C]]</f>
        <v>1727.737984548369</v>
      </c>
      <c r="BZ227" s="145">
        <f>Table7[[#This Row],[Pbottom (mW) C]]+Table7[[#This Row],[Ptop (mW) C]]</f>
        <v>3106.147162049554</v>
      </c>
      <c r="CA227" s="148"/>
      <c r="CB227" s="144">
        <f>(RAC_SNS*10^-3*(Table7[[#This Row],[IOUT (A)]]*Vbat/VACnom)^2/10^-3)</f>
        <v>1250.4348204158789</v>
      </c>
      <c r="CC227" s="144">
        <f>(RBAT_SNS*10^-3*Table7[[#This Row],[IOUT (A)]]^2)/10^-3</f>
        <v>3266.5679999999998</v>
      </c>
      <c r="CD227" s="144">
        <f>IF(VACnom&gt;Vbat,(L_DRC*10^-3*(Table7[[#This Row],[IOUT (A)]])^2/10^-3),(L_DRC*10^-3*(Table7[[#This Row],[IOUT (A)]]*Vbat/VACnom)^2/10^-3))</f>
        <v>3266.5679999999998</v>
      </c>
      <c r="CE227" s="152"/>
      <c r="CF227" s="145">
        <f>(Table7[[#This Row],[R_AC (mW)]]+Table7[[#This Row],[R_SR (mW)]]+Table7[[#This Row],[Inductor Loss (mW)]])/10^3</f>
        <v>7.7835708204158784</v>
      </c>
      <c r="CG227" s="145" t="e">
        <f ca="1">Table7[[#This Row],[Total TI (mW)]]/10^3</f>
        <v>#VALUE!</v>
      </c>
      <c r="CH227" s="145" t="e">
        <f ca="1">Table7[[#This Row],[Total Sense Loss]]+Table7[[#This Row],[Total MOSFET Loss]]</f>
        <v>#VALUE!</v>
      </c>
      <c r="CI227" s="149" t="e">
        <f ca="1">IF(Table7[[#This Row],[POUT (W)]]=0,0,(Table7[[#This Row],[POUT (W)]])/(Table7[[#This Row],[POUT (W)]]+Table7[[#This Row],[Total Power Loss (W)]]))*100</f>
        <v>#VALUE!</v>
      </c>
      <c r="CJ227" s="153"/>
      <c r="CK227" s="145">
        <f>(Table7[[#This Row],[R_AC (mW)]]+Table7[[#This Row],[R_SR (mW)]]+Table7[[#This Row],[Inductor Loss (mW)]])/10^3</f>
        <v>7.7835708204158784</v>
      </c>
      <c r="CL227" s="145">
        <f>Table7[[#This Row],[Total (mW) C]]/10^3</f>
        <v>3.1061471620495542</v>
      </c>
      <c r="CM227" s="145">
        <f>Table7[[#This Row],[Total Sense Loss C]]+Table7[[#This Row],[Total MOSFET Loss C]]</f>
        <v>10.889717982465433</v>
      </c>
      <c r="CN227" s="149">
        <f>IF(Table7[[#This Row],[POUT (W)]]=0,0,(Table7[[#This Row],[POUT (W)]])/(Table7[[#This Row],[POUT (W)]]+Table7[[#This Row],[Total Power Loss (W) C]]))*100</f>
        <v>98.85551822388436</v>
      </c>
      <c r="CO227" s="153"/>
      <c r="CP227" s="149">
        <f>IF(MOSFET_S=Custom_MOSFET,Table7[[#This Row],[Total Sense Loss C]],Table7[[#This Row],[Total Sense Loss]])</f>
        <v>7.7835708204158784</v>
      </c>
      <c r="CQ227" s="149">
        <f>IF(MOSFET_S=Custom_MOSFET,Table7[[#This Row],[Total MOSFET Loss C]],Table7[[#This Row],[Total MOSFET Loss]])</f>
        <v>3.1061471620495542</v>
      </c>
      <c r="CR227" s="149">
        <f>IF(MOSFET_S=Custom_MOSFET,Table7[[#This Row],[Efficiency C]],Table7[[#This Row],[Efficiency]])</f>
        <v>98.85551822388436</v>
      </c>
      <c r="CS227" s="153"/>
      <c r="CT227" s="149">
        <f>IF(MOSFET_S=Compare_MOSFET, Table7[[#This Row],[Total Sense Loss C]], -100)</f>
        <v>-100</v>
      </c>
      <c r="CU227" s="149">
        <f>IF(MOSFET_S=Compare_MOSFET, Table7[[#This Row],[Total MOSFET Loss C]], -100)</f>
        <v>-100</v>
      </c>
      <c r="CV227" s="149">
        <f>IF(MOSFET_S=Compare_MOSFET, Table7[[#This Row],[Efficiency C]], -100)</f>
        <v>-100</v>
      </c>
      <c r="CW227" s="153"/>
      <c r="CX227" s="149">
        <f ca="1">IF(Save_Sel=CLR_Save,  Table7[[#This Row],[Total Sense Loss P1]], Table7[[#This Row],[Total Sense Loss P1 Saved]])</f>
        <v>7.7835708204158784</v>
      </c>
      <c r="CY227" s="149">
        <f ca="1">IF(Save_Sel=CLR_Save,  Table7[[#This Row],[Total MOSFET Loss P1]], Table7[[#This Row],[Total MOSFET Loss P1 Saved]] )</f>
        <v>3.1061471620495542</v>
      </c>
      <c r="CZ227" s="149">
        <f ca="1">IF(Save_Sel=CLR_Save, Table7[[#This Row],[Efficiency P1]], Table7[[#This Row],[Efficiency P1 Saved]])</f>
        <v>98.85551822388436</v>
      </c>
      <c r="DA227" s="153"/>
      <c r="DB227" s="149">
        <f ca="1">IF(Save_Sel=CLR_Save,  Table7[[#This Row],[Total Sense Loss P2]], Table7[[#This Row],[Total Sense Loss P2 Saved]])</f>
        <v>-100</v>
      </c>
      <c r="DC227" s="149">
        <f ca="1">IF(Save_Sel=CLR_Save,  Table7[[#This Row],[Total MOSFET Loss P2]], Table7[[#This Row],[Total MOSFET Loss P2 Saved]] )</f>
        <v>-100</v>
      </c>
      <c r="DD227" s="149">
        <f ca="1">IF(Save_Sel=CLR_Save, Table7[[#This Row],[Efficiency P2]], Table7[[#This Row],[Efficiency P2 Saved]])</f>
        <v>-100</v>
      </c>
      <c r="DE227" s="153"/>
      <c r="DF227" s="19"/>
      <c r="DG227" s="19"/>
      <c r="DH227" s="19"/>
      <c r="DI227" s="19"/>
      <c r="DJ227" s="19"/>
      <c r="DK227" s="19"/>
      <c r="DL227" s="19"/>
      <c r="DM227" s="19"/>
      <c r="DN227" s="19"/>
      <c r="DO227" s="19"/>
      <c r="DP227" s="19"/>
      <c r="DQ227" s="19"/>
      <c r="DR227" s="19"/>
      <c r="DS227" s="19"/>
      <c r="DT227" s="19"/>
      <c r="DU227" s="19"/>
      <c r="DV227" s="19"/>
      <c r="DW227" s="19"/>
      <c r="DX227" s="19"/>
      <c r="DY227" s="19"/>
      <c r="DZ227" s="19"/>
      <c r="EA227" s="19"/>
      <c r="EB227" s="19"/>
      <c r="EC227" s="19"/>
      <c r="ED227" s="19"/>
      <c r="EE227" s="19"/>
      <c r="EF227" s="19"/>
      <c r="EG227" s="19"/>
      <c r="EH227" s="19"/>
      <c r="EI227" s="19"/>
      <c r="EJ227" s="19"/>
      <c r="EK227" s="19"/>
      <c r="EL227" s="19"/>
      <c r="EM227" s="19"/>
      <c r="EN227" s="19"/>
      <c r="EO227" s="19"/>
      <c r="EP227" s="19"/>
      <c r="EQ227" s="19"/>
      <c r="ER227" s="19"/>
      <c r="ES227" s="19"/>
      <c r="ET227" s="19"/>
      <c r="EU227" s="19"/>
      <c r="EV227" s="19"/>
      <c r="EW227" s="19"/>
      <c r="EX227" s="19"/>
      <c r="EY227" s="19"/>
      <c r="EZ227" s="19"/>
      <c r="FA227" s="19"/>
      <c r="FB227" s="19"/>
      <c r="FC227" s="19"/>
      <c r="FD227" s="19"/>
      <c r="FE227" s="19"/>
      <c r="FF227" s="19"/>
      <c r="FG227" s="19"/>
      <c r="FH227" s="19"/>
      <c r="FI227" s="19"/>
    </row>
    <row r="228" spans="1:165" x14ac:dyDescent="0.25">
      <c r="A228" s="67"/>
      <c r="B228" s="67"/>
      <c r="C228" s="67"/>
      <c r="D228" s="67"/>
      <c r="E228" s="67"/>
      <c r="F228" s="67"/>
      <c r="G228" s="67"/>
      <c r="H228" s="67"/>
      <c r="I228" s="67"/>
      <c r="J228" s="67"/>
      <c r="K228" s="67"/>
      <c r="L228" s="67"/>
      <c r="M228" s="67"/>
      <c r="N228" s="67"/>
      <c r="O228" s="67"/>
      <c r="P228" s="67"/>
      <c r="Q228" s="67"/>
      <c r="R228" s="67"/>
      <c r="S228" s="67"/>
      <c r="T228" s="67"/>
      <c r="U228" s="19"/>
      <c r="V228" s="19"/>
      <c r="W228" s="19"/>
      <c r="X228" s="19"/>
      <c r="Y228" s="19"/>
      <c r="Z228" s="19"/>
      <c r="AA228" s="19"/>
      <c r="AB228" s="19"/>
      <c r="AC228" s="19"/>
      <c r="AD228" s="19"/>
      <c r="AE228" s="19"/>
      <c r="AF228" s="143">
        <f t="shared" si="54"/>
        <v>72</v>
      </c>
      <c r="AG228" s="143">
        <f t="shared" si="53"/>
        <v>25.92</v>
      </c>
      <c r="AH228" s="144">
        <f t="shared" si="42"/>
        <v>953.85599999999999</v>
      </c>
      <c r="AI228" s="145">
        <f t="shared" si="43"/>
        <v>0.97826086956521752</v>
      </c>
      <c r="AJ228" s="145">
        <f t="shared" si="44"/>
        <v>25.356521739130439</v>
      </c>
      <c r="AK228" s="145">
        <f t="shared" si="40"/>
        <v>0.39130434782608459</v>
      </c>
      <c r="AL228" s="145">
        <f t="shared" si="41"/>
        <v>25.356773348188057</v>
      </c>
      <c r="AM228" s="146"/>
      <c r="AN228" s="145">
        <f>MAX(0,Table7[[#This Row],[I_L]]-0.5*Table7[[#This Row],[I_L pkpk]])</f>
        <v>25.160869565217396</v>
      </c>
      <c r="AO228" s="145">
        <f>Table7[[#This Row],[I_L]]+0.5*Table7[[#This Row],[I_L pkpk]]</f>
        <v>25.552173913043482</v>
      </c>
      <c r="AP228" s="145">
        <f ca="1">IF(VACnom&gt;Vbat, (VGS_S-(TI_MOSFET_S_VTH_H_BU+Table7[[#This Row],[I_L]]/TI_MOSFET_S_gFS_H_BU))/3.4, (VGS_S-(TI_MOSFET_S_VTH_L_BO+Table7[[#This Row],[I_L]]/TI_MOSFET_S_gFS_L_BO))/3.4 )</f>
        <v>2.9573381861105648</v>
      </c>
      <c r="AQ228" s="145">
        <f ca="1">IF(VACnom&gt;Vbat, ((TI_MOSFET_S_VTH_H_BU+Table7[[#This Row],[I_L]]/TI_MOSFET_S_gFS_H_BU))/1, ((TI_MOSFET_S_VTH_L_BO+Table7[[#This Row],[I_L]]/TI_MOSFET_S_gFS_L_BO))/1 )</f>
        <v>1.9450501672240803</v>
      </c>
      <c r="AR228" s="145">
        <f ca="1">IF(VACnom&gt;Vbat, (TI_MOSFET_S_QGD_H_BU+TI_MOSFET_S_QGS_H_BU)*10^-9/Table7[[#This Row],[Ion (A)]], (TI_MOSFET_S_QGD_L_BO+TI_MOSFET_S_QGS_L_BO)*10^-9/Table7[[#This Row],[Ion (A)]])/10^-9</f>
        <v>9.7384871758198273</v>
      </c>
      <c r="AS228" s="145">
        <f ca="1">IF(VACnom&gt;Vbat, (TI_MOSFET_S_QGD_H_BU+TI_MOSFET_S_QGS_H_BU)*10^-9/Table7[[#This Row],[Ioff (A)]], (TI_MOSFET_S_QGD_L_BO+TI_MOSFET_S_QGS_L_BO)*10^-9/Table7[[#This Row],[Ioff (A)]])/10^-9</f>
        <v>14.806816032463848</v>
      </c>
      <c r="AT228" s="145">
        <f ca="1" xml:space="preserve"> 0.5*VACnom*Table7[[#This Row],[Ivalley (A)]]*Table7[[#This Row],[ton (ns)]]*10^-9*Fsw*10^3+0.5*VACnom*Table7[[#This Row],[Ipeak (A)]]*Table7[[#This Row],[toff (ns)]]*10^-9*Fsw*10^3/10^-3</f>
        <v>1393.2162311692246</v>
      </c>
      <c r="AU228" s="145">
        <f t="shared" ca="1" si="45"/>
        <v>268.64000000000004</v>
      </c>
      <c r="AV228" s="145" t="e">
        <f t="shared" si="46"/>
        <v>#VALUE!</v>
      </c>
      <c r="AW228" s="145">
        <f t="shared" ca="1" si="47"/>
        <v>566.72000000000025</v>
      </c>
      <c r="AX228" s="145">
        <f ca="1">IF(VACnom&gt;Vbat, TI_MOSFET_S_VSD_L_BU*Table7[[#This Row],[Ivalley (A)]]*Fsw*10^3*40*10^-9+TI_MOSFET_S_VSD_L_BU*Table7[[#This Row],[Ipeak (A)]]*Fsw*10^3*30*10^-9, TI_MOSFET_S_VSD_H_BO*Table7[[#This Row],[Ivalley (A)]]*Fsw*10^3*40*10^-9+TI_MOSFET_S_VSD_H_BO*Table7[[#This Row],[Ipeak (A)]]*Fsw*10^3*30*10^-9)/10^-3</f>
        <v>255.3120000000001</v>
      </c>
      <c r="AY228" s="145" t="e">
        <f t="shared" si="48"/>
        <v>#VALUE!</v>
      </c>
      <c r="AZ228" s="145" t="e">
        <f>IF(VACnom&lt;Vbat, Table7[[#This Row],[Duty Cycle]]*Table7[[#This Row],[I_L RMS]]^2*TI_MOSFET_S_RDSON_H_BU*10^-3, (1-Table7[[#This Row],[Duty Cycle]])*Table7[[#This Row],[I_L RMS]]^2*TI_MOSFET_S_RDSON_H_BO*10^-3)/10^-3</f>
        <v>#VALUE!</v>
      </c>
      <c r="BA228" s="145" t="e">
        <f ca="1">IF(VACnom&gt;Vbat, Table7[[#This Row],[PIV (mW)]]+Table7[[#This Row],[Pqoss (mW)]]+Table7[[#This Row],[Pgate_top (mW)]], Table7[[#This Row],[PRR (mW)]]+Table7[[#This Row],[Pdead (mW)]]+Table7[[#This Row],[Pgate_top (mW)]])</f>
        <v>#VALUE!</v>
      </c>
      <c r="BB228" s="145" t="e">
        <f ca="1">Table7[[#This Row],[Pcon_top (mW)]]+Table7[[#This Row],[Psw_top (mW)]]</f>
        <v>#VALUE!</v>
      </c>
      <c r="BC228" s="145" t="e">
        <f>IF(VACnom&gt;Vbat, (1-Table7[[#This Row],[Duty Cycle]])*Table7[[#This Row],[I_L RMS]]^2*TI_MOSFET_S_RDSON_L_BU*10^-3, Table7[[#This Row],[Duty Cycle]]*Table7[[#This Row],[I_L RMS]]^2*TI_MOSFET_S_RDSON_L_BO*10^-3)/10^-3</f>
        <v>#VALUE!</v>
      </c>
      <c r="BD228" s="145" t="e">
        <f ca="1">IF(VACnom&gt;Vbat, Table7[[#This Row],[PRR (mW)]]+Table7[[#This Row],[Pdead (mW)]]+Table7[[#This Row],[Pgate_bottom (mW)]], Table7[[#This Row],[PIV (mW)]]+Table7[[#This Row],[Pqoss (mW)]]+Table7[[#This Row],[Pgate_bottom (mW)]])</f>
        <v>#VALUE!</v>
      </c>
      <c r="BE228" s="147" t="e">
        <f ca="1">Table7[[#This Row],[Pcon_bottom (mW)]]+Table7[[#This Row],[Psw_bottom (mW)]]</f>
        <v>#VALUE!</v>
      </c>
      <c r="BF228" s="145" t="e">
        <f ca="1">Table7[[#This Row],[Pbottom (mW)]]+Table7[[#This Row],[Ptop (mW)]]</f>
        <v>#VALUE!</v>
      </c>
      <c r="BG228" s="142"/>
      <c r="BH228" s="145">
        <f>MAX(0,Table7[[#This Row],[I_L]]-0.5*Table7[[#This Row],[I_L pkpk]])</f>
        <v>25.160869565217396</v>
      </c>
      <c r="BI228" s="145">
        <f>Table7[[#This Row],[I_L]]+0.5*Table7[[#This Row],[I_L pkpk]]</f>
        <v>25.552173913043482</v>
      </c>
      <c r="BJ228" s="145">
        <f>IF(VACnom&gt;Vbat, (VGS_S-(C_MOSFET_S_VTH_H_BU+Table7[[#This Row],[I_L]]/C_MOSFET_S_gFS_H_BU))/3.4, (VGS_S-(C_MOSFET_S_VTH_L_BO+Table7[[#This Row],[I_L]]/C_MOSFET_S_gFS_L_BO))/3.4 )</f>
        <v>2.9062968515742127</v>
      </c>
      <c r="BK228" s="145">
        <f>IF(VACnom&gt;Vbat, ((C_MOSFET_S_VTH_H_BU+Table7[[#This Row],[I_L]]/C_MOSFET_S_gFS_H_BU))/1, ((C_MOSFET_S_VTH_L_BO+Table7[[#This Row],[I_L]]/C_MOSFET_S_gFS_L_BO))/1 )</f>
        <v>2.118590704647676</v>
      </c>
      <c r="BL228" s="145">
        <f>IF(VACnom&gt;Vbat, (C_MOSFET_S_QGD_H_BU+C_MOSFET_S_QGS_H_BU)*10^-9/Table7[[#This Row],[Ion (A) C]], (C_MOSFET_S_QGD_L_BO+C_MOSFET_S_QGS_L_BO)*10^-9/Table7[[#This Row],[Ion (A) C]])/10^-9</f>
        <v>5.3332473562032492</v>
      </c>
      <c r="BM228" s="145">
        <f>IF(VACnom&gt;Vbat, (C_MOSFET_S_QGD_H_BU+C_MOSFET_S_QGS_H_BU)*10^-9/Table7[[#This Row],[Ioff (A) C]], (C_MOSFET_S_QGD_L_BO+C_MOSFET_S_QGS_L_BO)*10^-9/Table7[[#This Row],[Ioff (A) C]])/10^-9</f>
        <v>7.3161842757058952</v>
      </c>
      <c r="BN228" s="145">
        <f xml:space="preserve"> 0.5*VACnom*Table7[[#This Row],[Ivalley (A) C]]*Table7[[#This Row],[ton (ns) C]]*10^-9*Fsw*10^3+0.5*VACnom*Table7[[#This Row],[Ipeak (A) C]]*Table7[[#This Row],[toff (ns) C]]*10^-9*Fsw*10^3/10^-3</f>
        <v>688.44925585238263</v>
      </c>
      <c r="BO228" s="145">
        <f t="shared" si="49"/>
        <v>305.44000000000011</v>
      </c>
      <c r="BP228" s="145">
        <f t="shared" si="50"/>
        <v>357.69600000000014</v>
      </c>
      <c r="BQ228" s="145">
        <f t="shared" si="51"/>
        <v>1067.2000000000003</v>
      </c>
      <c r="BR228" s="145">
        <f>IF(VACnom&gt;Vbat, C_MOSFET_S_VSD_L_BU*Table7[[#This Row],[Ivalley (A) C]]*Fsw*10^3*40*10^-9+C_MOSFET_S_VSD_L_BU*Table7[[#This Row],[Ipeak (A) C]]*Fsw*10^3*30*10^-9, C_MOSFET_S_VSD_H_BO*Table7[[#This Row],[Ivalley (A) C]]*Fsw*10^3*40*10^-9+C_MOSFET_S_VSD_H_BO*Table7[[#This Row],[Ipeak (A) C]]*Fsw*10^3*30*10^-9)/10^-3</f>
        <v>283.68000000000012</v>
      </c>
      <c r="BS228" s="145">
        <f t="shared" si="52"/>
        <v>357.69600000000014</v>
      </c>
      <c r="BT228" s="145">
        <f>IF(VACnom&lt;Vbat, Table7[[#This Row],[Duty Cycle]]*Table7[[#This Row],[I_L RMS]]^2*C_MOSFET_S_RDSON_H_BU*10^-3, (1-Table7[[#This Row],[Duty Cycle]])*Table7[[#This Row],[I_L RMS]]^2*C_MOSFET_S_RDSON_H_BO*10^-3)/10^-3</f>
        <v>36.341553957425624</v>
      </c>
      <c r="BU228" s="145">
        <f>IF(VACnom&gt;Vbat, Table7[[#This Row],[PIV (mW) C]]+Table7[[#This Row],[PQoss (mW) C]]+Table7[[#This Row],[Pgate_top (mW) C]], Table7[[#This Row],[PRR (mW) C]]+Table7[[#This Row],[Pdead (mW) C]]+Table7[[#This Row],[Pgate_top (mW) C]])</f>
        <v>1351.5852558523829</v>
      </c>
      <c r="BV228" s="145">
        <f>Table7[[#This Row],[Pcon_top (mW) C]]+Table7[[#This Row],[Psw_top (mW) C]]</f>
        <v>1387.9268098098087</v>
      </c>
      <c r="BW228" s="145">
        <f>IF(VACnom&gt;Vbat, (1-Table7[[#This Row],[Duty Cycle]])*Table7[[#This Row],[I_L RMS]]^2*C_MOSFET_S_RDSON_L_BU*10^-3, Table7[[#This Row],[Duty Cycle]]*Table7[[#This Row],[I_L RMS]]^2*C_MOSFET_S_RDSON_L_BO*10^-3)/10^-3</f>
        <v>23.761785279855214</v>
      </c>
      <c r="BX228" s="145">
        <f>IF(VACnom&gt;Vbat, Table7[[#This Row],[PRR (mW) C]]+Table7[[#This Row],[Pdead (mW) C]]+Table7[[#This Row],[Pgate_bottom (mW) C]], Table7[[#This Row],[PIV (mW) C]]+Table7[[#This Row],[PQoss (mW) C]]+Table7[[#This Row],[Pgate_bottom (mW) C]])</f>
        <v>1708.5760000000005</v>
      </c>
      <c r="BY228" s="145">
        <f>Table7[[#This Row],[Pcon_bottom (mW) C]]+Table7[[#This Row],[Psw_bottom (mV) C]]</f>
        <v>1732.3377852798558</v>
      </c>
      <c r="BZ228" s="145">
        <f>Table7[[#This Row],[Pbottom (mW) C]]+Table7[[#This Row],[Ptop (mW) C]]</f>
        <v>3120.2645950896645</v>
      </c>
      <c r="CA228" s="148"/>
      <c r="CB228" s="144">
        <f>(RAC_SNS*10^-3*(Table7[[#This Row],[IOUT (A)]]*Vbat/VACnom)^2/10^-3)</f>
        <v>1285.906389413989</v>
      </c>
      <c r="CC228" s="144">
        <f>(RBAT_SNS*10^-3*Table7[[#This Row],[IOUT (A)]]^2)/10^-3</f>
        <v>3359.2320000000009</v>
      </c>
      <c r="CD228" s="144">
        <f>IF(VACnom&gt;Vbat,(L_DRC*10^-3*(Table7[[#This Row],[IOUT (A)]])^2/10^-3),(L_DRC*10^-3*(Table7[[#This Row],[IOUT (A)]]*Vbat/VACnom)^2/10^-3))</f>
        <v>3359.2320000000009</v>
      </c>
      <c r="CE228" s="152"/>
      <c r="CF228" s="145">
        <f>(Table7[[#This Row],[R_AC (mW)]]+Table7[[#This Row],[R_SR (mW)]]+Table7[[#This Row],[Inductor Loss (mW)]])/10^3</f>
        <v>8.0043703894139906</v>
      </c>
      <c r="CG228" s="145" t="e">
        <f ca="1">Table7[[#This Row],[Total TI (mW)]]/10^3</f>
        <v>#VALUE!</v>
      </c>
      <c r="CH228" s="145" t="e">
        <f ca="1">Table7[[#This Row],[Total Sense Loss]]+Table7[[#This Row],[Total MOSFET Loss]]</f>
        <v>#VALUE!</v>
      </c>
      <c r="CI228" s="149" t="e">
        <f ca="1">IF(Table7[[#This Row],[POUT (W)]]=0,0,(Table7[[#This Row],[POUT (W)]])/(Table7[[#This Row],[POUT (W)]]+Table7[[#This Row],[Total Power Loss (W)]]))*100</f>
        <v>#VALUE!</v>
      </c>
      <c r="CJ228" s="153"/>
      <c r="CK228" s="145">
        <f>(Table7[[#This Row],[R_AC (mW)]]+Table7[[#This Row],[R_SR (mW)]]+Table7[[#This Row],[Inductor Loss (mW)]])/10^3</f>
        <v>8.0043703894139906</v>
      </c>
      <c r="CL228" s="145">
        <f>Table7[[#This Row],[Total (mW) C]]/10^3</f>
        <v>3.1202645950896644</v>
      </c>
      <c r="CM228" s="145">
        <f>Table7[[#This Row],[Total Sense Loss C]]+Table7[[#This Row],[Total MOSFET Loss C]]</f>
        <v>11.124634984503654</v>
      </c>
      <c r="CN228" s="149">
        <f>IF(Table7[[#This Row],[POUT (W)]]=0,0,(Table7[[#This Row],[POUT (W)]])/(Table7[[#This Row],[POUT (W)]]+Table7[[#This Row],[Total Power Loss (W) C]]))*100</f>
        <v>98.847164950135777</v>
      </c>
      <c r="CO228" s="153"/>
      <c r="CP228" s="149">
        <f>IF(MOSFET_S=Custom_MOSFET,Table7[[#This Row],[Total Sense Loss C]],Table7[[#This Row],[Total Sense Loss]])</f>
        <v>8.0043703894139906</v>
      </c>
      <c r="CQ228" s="149">
        <f>IF(MOSFET_S=Custom_MOSFET,Table7[[#This Row],[Total MOSFET Loss C]],Table7[[#This Row],[Total MOSFET Loss]])</f>
        <v>3.1202645950896644</v>
      </c>
      <c r="CR228" s="149">
        <f>IF(MOSFET_S=Custom_MOSFET,Table7[[#This Row],[Efficiency C]],Table7[[#This Row],[Efficiency]])</f>
        <v>98.847164950135777</v>
      </c>
      <c r="CS228" s="153"/>
      <c r="CT228" s="149">
        <f>IF(MOSFET_S=Compare_MOSFET, Table7[[#This Row],[Total Sense Loss C]], -100)</f>
        <v>-100</v>
      </c>
      <c r="CU228" s="149">
        <f>IF(MOSFET_S=Compare_MOSFET, Table7[[#This Row],[Total MOSFET Loss C]], -100)</f>
        <v>-100</v>
      </c>
      <c r="CV228" s="149">
        <f>IF(MOSFET_S=Compare_MOSFET, Table7[[#This Row],[Efficiency C]], -100)</f>
        <v>-100</v>
      </c>
      <c r="CW228" s="153"/>
      <c r="CX228" s="149">
        <f ca="1">IF(Save_Sel=CLR_Save,  Table7[[#This Row],[Total Sense Loss P1]], Table7[[#This Row],[Total Sense Loss P1 Saved]])</f>
        <v>8.0043703894139906</v>
      </c>
      <c r="CY228" s="149">
        <f ca="1">IF(Save_Sel=CLR_Save,  Table7[[#This Row],[Total MOSFET Loss P1]], Table7[[#This Row],[Total MOSFET Loss P1 Saved]] )</f>
        <v>3.1202645950896644</v>
      </c>
      <c r="CZ228" s="149">
        <f ca="1">IF(Save_Sel=CLR_Save, Table7[[#This Row],[Efficiency P1]], Table7[[#This Row],[Efficiency P1 Saved]])</f>
        <v>98.847164950135777</v>
      </c>
      <c r="DA228" s="153"/>
      <c r="DB228" s="149">
        <f ca="1">IF(Save_Sel=CLR_Save,  Table7[[#This Row],[Total Sense Loss P2]], Table7[[#This Row],[Total Sense Loss P2 Saved]])</f>
        <v>-100</v>
      </c>
      <c r="DC228" s="149">
        <f ca="1">IF(Save_Sel=CLR_Save,  Table7[[#This Row],[Total MOSFET Loss P2]], Table7[[#This Row],[Total MOSFET Loss P2 Saved]] )</f>
        <v>-100</v>
      </c>
      <c r="DD228" s="149">
        <f ca="1">IF(Save_Sel=CLR_Save, Table7[[#This Row],[Efficiency P2]], Table7[[#This Row],[Efficiency P2 Saved]])</f>
        <v>-100</v>
      </c>
      <c r="DE228" s="153"/>
      <c r="DF228" s="19"/>
      <c r="DG228" s="19"/>
      <c r="DH228" s="19"/>
      <c r="DI228" s="19"/>
      <c r="DJ228" s="19"/>
      <c r="DK228" s="19"/>
      <c r="DL228" s="19"/>
      <c r="DM228" s="19"/>
      <c r="DN228" s="19"/>
      <c r="DO228" s="19"/>
      <c r="DP228" s="19"/>
      <c r="DQ228" s="19"/>
      <c r="DR228" s="19"/>
      <c r="DS228" s="19"/>
      <c r="DT228" s="19"/>
      <c r="DU228" s="19"/>
      <c r="DV228" s="19"/>
      <c r="DW228" s="19"/>
      <c r="DX228" s="19"/>
      <c r="DY228" s="19"/>
      <c r="DZ228" s="19"/>
      <c r="EA228" s="19"/>
      <c r="EB228" s="19"/>
      <c r="EC228" s="19"/>
      <c r="ED228" s="19"/>
      <c r="EE228" s="19"/>
      <c r="EF228" s="19"/>
      <c r="EG228" s="19"/>
      <c r="EH228" s="19"/>
      <c r="EI228" s="19"/>
      <c r="EJ228" s="19"/>
      <c r="EK228" s="19"/>
      <c r="EL228" s="19"/>
      <c r="EM228" s="19"/>
      <c r="EN228" s="19"/>
      <c r="EO228" s="19"/>
      <c r="EP228" s="19"/>
      <c r="EQ228" s="19"/>
      <c r="ER228" s="19"/>
      <c r="ES228" s="19"/>
      <c r="ET228" s="19"/>
      <c r="EU228" s="19"/>
      <c r="EV228" s="19"/>
      <c r="EW228" s="19"/>
      <c r="EX228" s="19"/>
      <c r="EY228" s="19"/>
      <c r="EZ228" s="19"/>
      <c r="FA228" s="19"/>
      <c r="FB228" s="19"/>
      <c r="FC228" s="19"/>
      <c r="FD228" s="19"/>
      <c r="FE228" s="19"/>
      <c r="FF228" s="19"/>
      <c r="FG228" s="19"/>
      <c r="FH228" s="19"/>
      <c r="FI228" s="19"/>
    </row>
    <row r="229" spans="1:165" x14ac:dyDescent="0.25">
      <c r="A229" s="67"/>
      <c r="B229" s="67"/>
      <c r="C229" s="67"/>
      <c r="D229" s="67"/>
      <c r="E229" s="67"/>
      <c r="F229" s="67"/>
      <c r="G229" s="67"/>
      <c r="H229" s="67"/>
      <c r="I229" s="67"/>
      <c r="J229" s="67"/>
      <c r="K229" s="67"/>
      <c r="L229" s="67"/>
      <c r="M229" s="67"/>
      <c r="N229" s="67"/>
      <c r="O229" s="67"/>
      <c r="P229" s="67"/>
      <c r="Q229" s="67"/>
      <c r="R229" s="67"/>
      <c r="S229" s="67"/>
      <c r="T229" s="67"/>
      <c r="U229" s="19"/>
      <c r="V229" s="19"/>
      <c r="W229" s="19"/>
      <c r="X229" s="19"/>
      <c r="Y229" s="19"/>
      <c r="Z229" s="19"/>
      <c r="AA229" s="19"/>
      <c r="AB229" s="19"/>
      <c r="AC229" s="19"/>
      <c r="AD229" s="19"/>
      <c r="AE229" s="19"/>
      <c r="AF229" s="143">
        <f t="shared" si="54"/>
        <v>73</v>
      </c>
      <c r="AG229" s="143">
        <f t="shared" si="53"/>
        <v>26.28</v>
      </c>
      <c r="AH229" s="144">
        <f t="shared" si="42"/>
        <v>967.10399999999993</v>
      </c>
      <c r="AI229" s="145">
        <f t="shared" si="43"/>
        <v>0.97826086956521752</v>
      </c>
      <c r="AJ229" s="145">
        <f t="shared" si="44"/>
        <v>25.708695652173919</v>
      </c>
      <c r="AK229" s="145">
        <f t="shared" si="40"/>
        <v>0.39130434782608459</v>
      </c>
      <c r="AL229" s="145">
        <f t="shared" si="41"/>
        <v>25.708943814565618</v>
      </c>
      <c r="AM229" s="146"/>
      <c r="AN229" s="145">
        <f>MAX(0,Table7[[#This Row],[I_L]]-0.5*Table7[[#This Row],[I_L pkpk]])</f>
        <v>25.513043478260876</v>
      </c>
      <c r="AO229" s="145">
        <f>Table7[[#This Row],[I_L]]+0.5*Table7[[#This Row],[I_L pkpk]]</f>
        <v>25.904347826086962</v>
      </c>
      <c r="AP229" s="145">
        <f ca="1">IF(VACnom&gt;Vbat, (VGS_S-(TI_MOSFET_S_VTH_H_BU+Table7[[#This Row],[I_L]]/TI_MOSFET_S_gFS_H_BU))/3.4, (VGS_S-(TI_MOSFET_S_VTH_L_BO+Table7[[#This Row],[I_L]]/TI_MOSFET_S_gFS_L_BO))/3.4 )</f>
        <v>2.9565414125516432</v>
      </c>
      <c r="AQ229" s="145">
        <f ca="1">IF(VACnom&gt;Vbat, ((TI_MOSFET_S_VTH_H_BU+Table7[[#This Row],[I_L]]/TI_MOSFET_S_gFS_H_BU))/1, ((TI_MOSFET_S_VTH_L_BO+Table7[[#This Row],[I_L]]/TI_MOSFET_S_gFS_L_BO))/1 )</f>
        <v>1.9477591973244148</v>
      </c>
      <c r="AR229" s="145">
        <f ca="1">IF(VACnom&gt;Vbat, (TI_MOSFET_S_QGD_H_BU+TI_MOSFET_S_QGS_H_BU)*10^-9/Table7[[#This Row],[Ion (A)]], (TI_MOSFET_S_QGD_L_BO+TI_MOSFET_S_QGS_L_BO)*10^-9/Table7[[#This Row],[Ion (A)]])/10^-9</f>
        <v>9.7411116508407574</v>
      </c>
      <c r="AS229" s="145">
        <f ca="1">IF(VACnom&gt;Vbat, (TI_MOSFET_S_QGD_H_BU+TI_MOSFET_S_QGS_H_BU)*10^-9/Table7[[#This Row],[Ioff (A)]], (TI_MOSFET_S_QGD_L_BO+TI_MOSFET_S_QGS_L_BO)*10^-9/Table7[[#This Row],[Ioff (A)]])/10^-9</f>
        <v>14.786222054328789</v>
      </c>
      <c r="AT229" s="145">
        <f ca="1" xml:space="preserve"> 0.5*VACnom*Table7[[#This Row],[Ivalley (A)]]*Table7[[#This Row],[ton (ns)]]*10^-9*Fsw*10^3+0.5*VACnom*Table7[[#This Row],[Ipeak (A)]]*Table7[[#This Row],[toff (ns)]]*10^-9*Fsw*10^3/10^-3</f>
        <v>1410.4555494857298</v>
      </c>
      <c r="AU229" s="145">
        <f t="shared" ca="1" si="45"/>
        <v>268.64000000000004</v>
      </c>
      <c r="AV229" s="145" t="e">
        <f t="shared" si="46"/>
        <v>#VALUE!</v>
      </c>
      <c r="AW229" s="145">
        <f t="shared" ca="1" si="47"/>
        <v>566.72000000000025</v>
      </c>
      <c r="AX229" s="145">
        <f ca="1">IF(VACnom&gt;Vbat, TI_MOSFET_S_VSD_L_BU*Table7[[#This Row],[Ivalley (A)]]*Fsw*10^3*40*10^-9+TI_MOSFET_S_VSD_L_BU*Table7[[#This Row],[Ipeak (A)]]*Fsw*10^3*30*10^-9, TI_MOSFET_S_VSD_H_BO*Table7[[#This Row],[Ivalley (A)]]*Fsw*10^3*40*10^-9+TI_MOSFET_S_VSD_H_BO*Table7[[#This Row],[Ipeak (A)]]*Fsw*10^3*30*10^-9)/10^-3</f>
        <v>258.86191304347835</v>
      </c>
      <c r="AY229" s="145" t="e">
        <f t="shared" si="48"/>
        <v>#VALUE!</v>
      </c>
      <c r="AZ229" s="145" t="e">
        <f>IF(VACnom&lt;Vbat, Table7[[#This Row],[Duty Cycle]]*Table7[[#This Row],[I_L RMS]]^2*TI_MOSFET_S_RDSON_H_BU*10^-3, (1-Table7[[#This Row],[Duty Cycle]])*Table7[[#This Row],[I_L RMS]]^2*TI_MOSFET_S_RDSON_H_BO*10^-3)/10^-3</f>
        <v>#VALUE!</v>
      </c>
      <c r="BA229" s="145" t="e">
        <f ca="1">IF(VACnom&gt;Vbat, Table7[[#This Row],[PIV (mW)]]+Table7[[#This Row],[Pqoss (mW)]]+Table7[[#This Row],[Pgate_top (mW)]], Table7[[#This Row],[PRR (mW)]]+Table7[[#This Row],[Pdead (mW)]]+Table7[[#This Row],[Pgate_top (mW)]])</f>
        <v>#VALUE!</v>
      </c>
      <c r="BB229" s="145" t="e">
        <f ca="1">Table7[[#This Row],[Pcon_top (mW)]]+Table7[[#This Row],[Psw_top (mW)]]</f>
        <v>#VALUE!</v>
      </c>
      <c r="BC229" s="145" t="e">
        <f>IF(VACnom&gt;Vbat, (1-Table7[[#This Row],[Duty Cycle]])*Table7[[#This Row],[I_L RMS]]^2*TI_MOSFET_S_RDSON_L_BU*10^-3, Table7[[#This Row],[Duty Cycle]]*Table7[[#This Row],[I_L RMS]]^2*TI_MOSFET_S_RDSON_L_BO*10^-3)/10^-3</f>
        <v>#VALUE!</v>
      </c>
      <c r="BD229" s="145" t="e">
        <f ca="1">IF(VACnom&gt;Vbat, Table7[[#This Row],[PRR (mW)]]+Table7[[#This Row],[Pdead (mW)]]+Table7[[#This Row],[Pgate_bottom (mW)]], Table7[[#This Row],[PIV (mW)]]+Table7[[#This Row],[Pqoss (mW)]]+Table7[[#This Row],[Pgate_bottom (mW)]])</f>
        <v>#VALUE!</v>
      </c>
      <c r="BE229" s="147" t="e">
        <f ca="1">Table7[[#This Row],[Pcon_bottom (mW)]]+Table7[[#This Row],[Psw_bottom (mW)]]</f>
        <v>#VALUE!</v>
      </c>
      <c r="BF229" s="145" t="e">
        <f ca="1">Table7[[#This Row],[Pbottom (mW)]]+Table7[[#This Row],[Ptop (mW)]]</f>
        <v>#VALUE!</v>
      </c>
      <c r="BG229" s="142"/>
      <c r="BH229" s="145">
        <f>MAX(0,Table7[[#This Row],[I_L]]-0.5*Table7[[#This Row],[I_L pkpk]])</f>
        <v>25.513043478260876</v>
      </c>
      <c r="BI229" s="145">
        <f>Table7[[#This Row],[I_L]]+0.5*Table7[[#This Row],[I_L pkpk]]</f>
        <v>25.904347826086962</v>
      </c>
      <c r="BJ229" s="145">
        <f>IF(VACnom&gt;Vbat, (VGS_S-(C_MOSFET_S_VTH_H_BU+Table7[[#This Row],[I_L]]/C_MOSFET_S_gFS_H_BU))/3.4, (VGS_S-(C_MOSFET_S_VTH_L_BO+Table7[[#This Row],[I_L]]/C_MOSFET_S_gFS_L_BO))/3.4 )</f>
        <v>2.9054039156892144</v>
      </c>
      <c r="BK229" s="145">
        <f>IF(VACnom&gt;Vbat, ((C_MOSFET_S_VTH_H_BU+Table7[[#This Row],[I_L]]/C_MOSFET_S_gFS_H_BU))/1, ((C_MOSFET_S_VTH_L_BO+Table7[[#This Row],[I_L]]/C_MOSFET_S_gFS_L_BO))/1 )</f>
        <v>2.1216266866566715</v>
      </c>
      <c r="BL229" s="145">
        <f>IF(VACnom&gt;Vbat, (C_MOSFET_S_QGD_H_BU+C_MOSFET_S_QGS_H_BU)*10^-9/Table7[[#This Row],[Ion (A) C]], (C_MOSFET_S_QGD_L_BO+C_MOSFET_S_QGS_L_BO)*10^-9/Table7[[#This Row],[Ion (A) C]])/10^-9</f>
        <v>5.3348864563373866</v>
      </c>
      <c r="BM229" s="145">
        <f>IF(VACnom&gt;Vbat, (C_MOSFET_S_QGD_H_BU+C_MOSFET_S_QGS_H_BU)*10^-9/Table7[[#This Row],[Ioff (A) C]], (C_MOSFET_S_QGD_L_BO+C_MOSFET_S_QGS_L_BO)*10^-9/Table7[[#This Row],[Ioff (A) C]])/10^-9</f>
        <v>7.3057150428407382</v>
      </c>
      <c r="BN229" s="145">
        <f xml:space="preserve"> 0.5*VACnom*Table7[[#This Row],[Ivalley (A) C]]*Table7[[#This Row],[ton (ns) C]]*10^-9*Fsw*10^3+0.5*VACnom*Table7[[#This Row],[Ipeak (A) C]]*Table7[[#This Row],[toff (ns) C]]*10^-9*Fsw*10^3/10^-3</f>
        <v>696.94008542353481</v>
      </c>
      <c r="BO229" s="145">
        <f t="shared" si="49"/>
        <v>305.44000000000011</v>
      </c>
      <c r="BP229" s="145">
        <f t="shared" si="50"/>
        <v>357.69600000000014</v>
      </c>
      <c r="BQ229" s="145">
        <f t="shared" si="51"/>
        <v>1067.2000000000003</v>
      </c>
      <c r="BR229" s="145">
        <f>IF(VACnom&gt;Vbat, C_MOSFET_S_VSD_L_BU*Table7[[#This Row],[Ivalley (A) C]]*Fsw*10^3*40*10^-9+C_MOSFET_S_VSD_L_BU*Table7[[#This Row],[Ipeak (A) C]]*Fsw*10^3*30*10^-9, C_MOSFET_S_VSD_H_BO*Table7[[#This Row],[Ivalley (A) C]]*Fsw*10^3*40*10^-9+C_MOSFET_S_VSD_H_BO*Table7[[#This Row],[Ipeak (A) C]]*Fsw*10^3*30*10^-9)/10^-3</f>
        <v>287.62434782608716</v>
      </c>
      <c r="BS229" s="145">
        <f t="shared" si="52"/>
        <v>357.69600000000014</v>
      </c>
      <c r="BT229" s="145">
        <f>IF(VACnom&lt;Vbat, Table7[[#This Row],[Duty Cycle]]*Table7[[#This Row],[I_L RMS]]^2*C_MOSFET_S_RDSON_H_BU*10^-3, (1-Table7[[#This Row],[Duty Cycle]])*Table7[[#This Row],[I_L RMS]]^2*C_MOSFET_S_RDSON_H_BO*10^-3)/10^-3</f>
        <v>37.358031725158014</v>
      </c>
      <c r="BU229" s="145">
        <f>IF(VACnom&gt;Vbat, Table7[[#This Row],[PIV (mW) C]]+Table7[[#This Row],[PQoss (mW) C]]+Table7[[#This Row],[Pgate_top (mW) C]], Table7[[#This Row],[PRR (mW) C]]+Table7[[#This Row],[Pdead (mW) C]]+Table7[[#This Row],[Pgate_top (mW) C]])</f>
        <v>1360.076085423535</v>
      </c>
      <c r="BV229" s="145">
        <f>Table7[[#This Row],[Pcon_top (mW) C]]+Table7[[#This Row],[Psw_top (mW) C]]</f>
        <v>1397.4341171486931</v>
      </c>
      <c r="BW229" s="145">
        <f>IF(VACnom&gt;Vbat, (1-Table7[[#This Row],[Duty Cycle]])*Table7[[#This Row],[I_L RMS]]^2*C_MOSFET_S_RDSON_L_BU*10^-3, Table7[[#This Row],[Duty Cycle]]*Table7[[#This Row],[I_L RMS]]^2*C_MOSFET_S_RDSON_L_BO*10^-3)/10^-3</f>
        <v>24.426405358757162</v>
      </c>
      <c r="BX229" s="145">
        <f>IF(VACnom&gt;Vbat, Table7[[#This Row],[PRR (mW) C]]+Table7[[#This Row],[Pdead (mW) C]]+Table7[[#This Row],[Pgate_bottom (mW) C]], Table7[[#This Row],[PIV (mW) C]]+Table7[[#This Row],[PQoss (mW) C]]+Table7[[#This Row],[Pgate_bottom (mW) C]])</f>
        <v>1712.5203478260876</v>
      </c>
      <c r="BY229" s="145">
        <f>Table7[[#This Row],[Pcon_bottom (mW) C]]+Table7[[#This Row],[Psw_bottom (mV) C]]</f>
        <v>1736.9467531848447</v>
      </c>
      <c r="BZ229" s="145">
        <f>Table7[[#This Row],[Pbottom (mW) C]]+Table7[[#This Row],[Ptop (mW) C]]</f>
        <v>3134.380870333538</v>
      </c>
      <c r="CA229" s="148"/>
      <c r="CB229" s="144">
        <f>(RAC_SNS*10^-3*(Table7[[#This Row],[IOUT (A)]]*Vbat/VACnom)^2/10^-3)</f>
        <v>1321.8740642722119</v>
      </c>
      <c r="CC229" s="144">
        <f>(RBAT_SNS*10^-3*Table7[[#This Row],[IOUT (A)]]^2)/10^-3</f>
        <v>3453.1920000000005</v>
      </c>
      <c r="CD229" s="144">
        <f>IF(VACnom&gt;Vbat,(L_DRC*10^-3*(Table7[[#This Row],[IOUT (A)]])^2/10^-3),(L_DRC*10^-3*(Table7[[#This Row],[IOUT (A)]]*Vbat/VACnom)^2/10^-3))</f>
        <v>3453.1920000000005</v>
      </c>
      <c r="CE229" s="152"/>
      <c r="CF229" s="145">
        <f>(Table7[[#This Row],[R_AC (mW)]]+Table7[[#This Row],[R_SR (mW)]]+Table7[[#This Row],[Inductor Loss (mW)]])/10^3</f>
        <v>8.2282580642722127</v>
      </c>
      <c r="CG229" s="145" t="e">
        <f ca="1">Table7[[#This Row],[Total TI (mW)]]/10^3</f>
        <v>#VALUE!</v>
      </c>
      <c r="CH229" s="145" t="e">
        <f ca="1">Table7[[#This Row],[Total Sense Loss]]+Table7[[#This Row],[Total MOSFET Loss]]</f>
        <v>#VALUE!</v>
      </c>
      <c r="CI229" s="149" t="e">
        <f ca="1">IF(Table7[[#This Row],[POUT (W)]]=0,0,(Table7[[#This Row],[POUT (W)]])/(Table7[[#This Row],[POUT (W)]]+Table7[[#This Row],[Total Power Loss (W)]]))*100</f>
        <v>#VALUE!</v>
      </c>
      <c r="CJ229" s="153"/>
      <c r="CK229" s="145">
        <f>(Table7[[#This Row],[R_AC (mW)]]+Table7[[#This Row],[R_SR (mW)]]+Table7[[#This Row],[Inductor Loss (mW)]])/10^3</f>
        <v>8.2282580642722127</v>
      </c>
      <c r="CL229" s="145">
        <f>Table7[[#This Row],[Total (mW) C]]/10^3</f>
        <v>3.1343808703335378</v>
      </c>
      <c r="CM229" s="145">
        <f>Table7[[#This Row],[Total Sense Loss C]]+Table7[[#This Row],[Total MOSFET Loss C]]</f>
        <v>11.362638934605751</v>
      </c>
      <c r="CN229" s="149">
        <f>IF(Table7[[#This Row],[POUT (W)]]=0,0,(Table7[[#This Row],[POUT (W)]])/(Table7[[#This Row],[POUT (W)]]+Table7[[#This Row],[Total Power Loss (W) C]]))*100</f>
        <v>98.838730061662815</v>
      </c>
      <c r="CO229" s="153"/>
      <c r="CP229" s="149">
        <f>IF(MOSFET_S=Custom_MOSFET,Table7[[#This Row],[Total Sense Loss C]],Table7[[#This Row],[Total Sense Loss]])</f>
        <v>8.2282580642722127</v>
      </c>
      <c r="CQ229" s="149">
        <f>IF(MOSFET_S=Custom_MOSFET,Table7[[#This Row],[Total MOSFET Loss C]],Table7[[#This Row],[Total MOSFET Loss]])</f>
        <v>3.1343808703335378</v>
      </c>
      <c r="CR229" s="149">
        <f>IF(MOSFET_S=Custom_MOSFET,Table7[[#This Row],[Efficiency C]],Table7[[#This Row],[Efficiency]])</f>
        <v>98.838730061662815</v>
      </c>
      <c r="CS229" s="153"/>
      <c r="CT229" s="149">
        <f>IF(MOSFET_S=Compare_MOSFET, Table7[[#This Row],[Total Sense Loss C]], -100)</f>
        <v>-100</v>
      </c>
      <c r="CU229" s="149">
        <f>IF(MOSFET_S=Compare_MOSFET, Table7[[#This Row],[Total MOSFET Loss C]], -100)</f>
        <v>-100</v>
      </c>
      <c r="CV229" s="149">
        <f>IF(MOSFET_S=Compare_MOSFET, Table7[[#This Row],[Efficiency C]], -100)</f>
        <v>-100</v>
      </c>
      <c r="CW229" s="153"/>
      <c r="CX229" s="149">
        <f ca="1">IF(Save_Sel=CLR_Save,  Table7[[#This Row],[Total Sense Loss P1]], Table7[[#This Row],[Total Sense Loss P1 Saved]])</f>
        <v>8.2282580642722127</v>
      </c>
      <c r="CY229" s="149">
        <f ca="1">IF(Save_Sel=CLR_Save,  Table7[[#This Row],[Total MOSFET Loss P1]], Table7[[#This Row],[Total MOSFET Loss P1 Saved]] )</f>
        <v>3.1343808703335378</v>
      </c>
      <c r="CZ229" s="149">
        <f ca="1">IF(Save_Sel=CLR_Save, Table7[[#This Row],[Efficiency P1]], Table7[[#This Row],[Efficiency P1 Saved]])</f>
        <v>98.838730061662815</v>
      </c>
      <c r="DA229" s="153"/>
      <c r="DB229" s="149">
        <f ca="1">IF(Save_Sel=CLR_Save,  Table7[[#This Row],[Total Sense Loss P2]], Table7[[#This Row],[Total Sense Loss P2 Saved]])</f>
        <v>-100</v>
      </c>
      <c r="DC229" s="149">
        <f ca="1">IF(Save_Sel=CLR_Save,  Table7[[#This Row],[Total MOSFET Loss P2]], Table7[[#This Row],[Total MOSFET Loss P2 Saved]] )</f>
        <v>-100</v>
      </c>
      <c r="DD229" s="149">
        <f ca="1">IF(Save_Sel=CLR_Save, Table7[[#This Row],[Efficiency P2]], Table7[[#This Row],[Efficiency P2 Saved]])</f>
        <v>-100</v>
      </c>
      <c r="DE229" s="153"/>
      <c r="DF229" s="19"/>
      <c r="DG229" s="19"/>
      <c r="DH229" s="19"/>
      <c r="DI229" s="19"/>
      <c r="DJ229" s="19"/>
      <c r="DK229" s="19"/>
      <c r="DL229" s="19"/>
      <c r="DM229" s="19"/>
      <c r="DN229" s="19"/>
      <c r="DO229" s="19"/>
      <c r="DP229" s="19"/>
      <c r="DQ229" s="19"/>
      <c r="DR229" s="19"/>
      <c r="DS229" s="19"/>
      <c r="DT229" s="19"/>
      <c r="DU229" s="19"/>
      <c r="DV229" s="19"/>
      <c r="DW229" s="19"/>
      <c r="DX229" s="19"/>
      <c r="DY229" s="19"/>
      <c r="DZ229" s="19"/>
      <c r="EA229" s="19"/>
      <c r="EB229" s="19"/>
      <c r="EC229" s="19"/>
      <c r="ED229" s="19"/>
      <c r="EE229" s="19"/>
      <c r="EF229" s="19"/>
      <c r="EG229" s="19"/>
      <c r="EH229" s="19"/>
      <c r="EI229" s="19"/>
      <c r="EJ229" s="19"/>
      <c r="EK229" s="19"/>
      <c r="EL229" s="19"/>
      <c r="EM229" s="19"/>
      <c r="EN229" s="19"/>
      <c r="EO229" s="19"/>
      <c r="EP229" s="19"/>
      <c r="EQ229" s="19"/>
      <c r="ER229" s="19"/>
      <c r="ES229" s="19"/>
      <c r="ET229" s="19"/>
      <c r="EU229" s="19"/>
      <c r="EV229" s="19"/>
      <c r="EW229" s="19"/>
      <c r="EX229" s="19"/>
      <c r="EY229" s="19"/>
      <c r="EZ229" s="19"/>
      <c r="FA229" s="19"/>
      <c r="FB229" s="19"/>
      <c r="FC229" s="19"/>
      <c r="FD229" s="19"/>
      <c r="FE229" s="19"/>
      <c r="FF229" s="19"/>
      <c r="FG229" s="19"/>
      <c r="FH229" s="19"/>
      <c r="FI229" s="19"/>
    </row>
    <row r="230" spans="1:165" x14ac:dyDescent="0.25">
      <c r="A230" s="67"/>
      <c r="B230" s="67"/>
      <c r="C230" s="67"/>
      <c r="D230" s="67"/>
      <c r="E230" s="67"/>
      <c r="F230" s="67"/>
      <c r="G230" s="67"/>
      <c r="H230" s="67"/>
      <c r="I230" s="67"/>
      <c r="J230" s="67"/>
      <c r="K230" s="67"/>
      <c r="L230" s="67"/>
      <c r="M230" s="67"/>
      <c r="N230" s="67"/>
      <c r="O230" s="67"/>
      <c r="P230" s="67"/>
      <c r="Q230" s="67"/>
      <c r="R230" s="67"/>
      <c r="S230" s="67"/>
      <c r="T230" s="67"/>
      <c r="U230" s="19"/>
      <c r="V230" s="19"/>
      <c r="W230" s="19"/>
      <c r="X230" s="19"/>
      <c r="Y230" s="19"/>
      <c r="Z230" s="19"/>
      <c r="AA230" s="19"/>
      <c r="AB230" s="19"/>
      <c r="AC230" s="19"/>
      <c r="AD230" s="19"/>
      <c r="AE230" s="19"/>
      <c r="AF230" s="143">
        <f t="shared" si="54"/>
        <v>74</v>
      </c>
      <c r="AG230" s="143">
        <f t="shared" si="53"/>
        <v>26.64</v>
      </c>
      <c r="AH230" s="144">
        <f t="shared" si="42"/>
        <v>980.35199999999998</v>
      </c>
      <c r="AI230" s="145">
        <f t="shared" si="43"/>
        <v>0.97826086956521752</v>
      </c>
      <c r="AJ230" s="145">
        <f t="shared" si="44"/>
        <v>26.060869565217395</v>
      </c>
      <c r="AK230" s="145">
        <f t="shared" si="40"/>
        <v>0.39130434782608459</v>
      </c>
      <c r="AL230" s="145">
        <f t="shared" si="41"/>
        <v>26.061114374094977</v>
      </c>
      <c r="AM230" s="146"/>
      <c r="AN230" s="145">
        <f>MAX(0,Table7[[#This Row],[I_L]]-0.5*Table7[[#This Row],[I_L pkpk]])</f>
        <v>25.865217391304352</v>
      </c>
      <c r="AO230" s="145">
        <f>Table7[[#This Row],[I_L]]+0.5*Table7[[#This Row],[I_L pkpk]]</f>
        <v>26.256521739130438</v>
      </c>
      <c r="AP230" s="145">
        <f ca="1">IF(VACnom&gt;Vbat, (VGS_S-(TI_MOSFET_S_VTH_H_BU+Table7[[#This Row],[I_L]]/TI_MOSFET_S_gFS_H_BU))/3.4, (VGS_S-(TI_MOSFET_S_VTH_L_BO+Table7[[#This Row],[I_L]]/TI_MOSFET_S_gFS_L_BO))/3.4 )</f>
        <v>2.9557446389927207</v>
      </c>
      <c r="AQ230" s="145">
        <f ca="1">IF(VACnom&gt;Vbat, ((TI_MOSFET_S_VTH_H_BU+Table7[[#This Row],[I_L]]/TI_MOSFET_S_gFS_H_BU))/1, ((TI_MOSFET_S_VTH_L_BO+Table7[[#This Row],[I_L]]/TI_MOSFET_S_gFS_L_BO))/1 )</f>
        <v>1.9504682274247491</v>
      </c>
      <c r="AR230" s="145">
        <f ca="1">IF(VACnom&gt;Vbat, (TI_MOSFET_S_QGD_H_BU+TI_MOSFET_S_QGS_H_BU)*10^-9/Table7[[#This Row],[Ion (A)]], (TI_MOSFET_S_QGD_L_BO+TI_MOSFET_S_QGS_L_BO)*10^-9/Table7[[#This Row],[Ion (A)]])/10^-9</f>
        <v>9.7437375408095708</v>
      </c>
      <c r="AS230" s="145">
        <f ca="1">IF(VACnom&gt;Vbat, (TI_MOSFET_S_QGD_H_BU+TI_MOSFET_S_QGS_H_BU)*10^-9/Table7[[#This Row],[Ioff (A)]], (TI_MOSFET_S_QGD_L_BO+TI_MOSFET_S_QGS_L_BO)*10^-9/Table7[[#This Row],[Ioff (A)]])/10^-9</f>
        <v>14.765685282669457</v>
      </c>
      <c r="AT230" s="145">
        <f ca="1" xml:space="preserve"> 0.5*VACnom*Table7[[#This Row],[Ivalley (A)]]*Table7[[#This Row],[ton (ns)]]*10^-9*Fsw*10^3+0.5*VACnom*Table7[[#This Row],[Ipeak (A)]]*Table7[[#This Row],[toff (ns)]]*10^-9*Fsw*10^3/10^-3</f>
        <v>1427.6470226667386</v>
      </c>
      <c r="AU230" s="145">
        <f t="shared" ca="1" si="45"/>
        <v>268.64000000000004</v>
      </c>
      <c r="AV230" s="145" t="e">
        <f t="shared" si="46"/>
        <v>#VALUE!</v>
      </c>
      <c r="AW230" s="145">
        <f t="shared" ca="1" si="47"/>
        <v>566.72000000000025</v>
      </c>
      <c r="AX230" s="145">
        <f ca="1">IF(VACnom&gt;Vbat, TI_MOSFET_S_VSD_L_BU*Table7[[#This Row],[Ivalley (A)]]*Fsw*10^3*40*10^-9+TI_MOSFET_S_VSD_L_BU*Table7[[#This Row],[Ipeak (A)]]*Fsw*10^3*30*10^-9, TI_MOSFET_S_VSD_H_BO*Table7[[#This Row],[Ivalley (A)]]*Fsw*10^3*40*10^-9+TI_MOSFET_S_VSD_H_BO*Table7[[#This Row],[Ipeak (A)]]*Fsw*10^3*30*10^-9)/10^-3</f>
        <v>262.41182608695664</v>
      </c>
      <c r="AY230" s="145" t="e">
        <f t="shared" si="48"/>
        <v>#VALUE!</v>
      </c>
      <c r="AZ230" s="145" t="e">
        <f>IF(VACnom&lt;Vbat, Table7[[#This Row],[Duty Cycle]]*Table7[[#This Row],[I_L RMS]]^2*TI_MOSFET_S_RDSON_H_BU*10^-3, (1-Table7[[#This Row],[Duty Cycle]])*Table7[[#This Row],[I_L RMS]]^2*TI_MOSFET_S_RDSON_H_BO*10^-3)/10^-3</f>
        <v>#VALUE!</v>
      </c>
      <c r="BA230" s="145" t="e">
        <f ca="1">IF(VACnom&gt;Vbat, Table7[[#This Row],[PIV (mW)]]+Table7[[#This Row],[Pqoss (mW)]]+Table7[[#This Row],[Pgate_top (mW)]], Table7[[#This Row],[PRR (mW)]]+Table7[[#This Row],[Pdead (mW)]]+Table7[[#This Row],[Pgate_top (mW)]])</f>
        <v>#VALUE!</v>
      </c>
      <c r="BB230" s="145" t="e">
        <f ca="1">Table7[[#This Row],[Pcon_top (mW)]]+Table7[[#This Row],[Psw_top (mW)]]</f>
        <v>#VALUE!</v>
      </c>
      <c r="BC230" s="145" t="e">
        <f>IF(VACnom&gt;Vbat, (1-Table7[[#This Row],[Duty Cycle]])*Table7[[#This Row],[I_L RMS]]^2*TI_MOSFET_S_RDSON_L_BU*10^-3, Table7[[#This Row],[Duty Cycle]]*Table7[[#This Row],[I_L RMS]]^2*TI_MOSFET_S_RDSON_L_BO*10^-3)/10^-3</f>
        <v>#VALUE!</v>
      </c>
      <c r="BD230" s="145" t="e">
        <f ca="1">IF(VACnom&gt;Vbat, Table7[[#This Row],[PRR (mW)]]+Table7[[#This Row],[Pdead (mW)]]+Table7[[#This Row],[Pgate_bottom (mW)]], Table7[[#This Row],[PIV (mW)]]+Table7[[#This Row],[Pqoss (mW)]]+Table7[[#This Row],[Pgate_bottom (mW)]])</f>
        <v>#VALUE!</v>
      </c>
      <c r="BE230" s="147" t="e">
        <f ca="1">Table7[[#This Row],[Pcon_bottom (mW)]]+Table7[[#This Row],[Psw_bottom (mW)]]</f>
        <v>#VALUE!</v>
      </c>
      <c r="BF230" s="145" t="e">
        <f ca="1">Table7[[#This Row],[Pbottom (mW)]]+Table7[[#This Row],[Ptop (mW)]]</f>
        <v>#VALUE!</v>
      </c>
      <c r="BG230" s="142"/>
      <c r="BH230" s="145">
        <f>MAX(0,Table7[[#This Row],[I_L]]-0.5*Table7[[#This Row],[I_L pkpk]])</f>
        <v>25.865217391304352</v>
      </c>
      <c r="BI230" s="145">
        <f>Table7[[#This Row],[I_L]]+0.5*Table7[[#This Row],[I_L pkpk]]</f>
        <v>26.256521739130438</v>
      </c>
      <c r="BJ230" s="145">
        <f>IF(VACnom&gt;Vbat, (VGS_S-(C_MOSFET_S_VTH_H_BU+Table7[[#This Row],[I_L]]/C_MOSFET_S_gFS_H_BU))/3.4, (VGS_S-(C_MOSFET_S_VTH_L_BO+Table7[[#This Row],[I_L]]/C_MOSFET_S_gFS_L_BO))/3.4 )</f>
        <v>2.9045109798042157</v>
      </c>
      <c r="BK230" s="145">
        <f>IF(VACnom&gt;Vbat, ((C_MOSFET_S_VTH_H_BU+Table7[[#This Row],[I_L]]/C_MOSFET_S_gFS_H_BU))/1, ((C_MOSFET_S_VTH_L_BO+Table7[[#This Row],[I_L]]/C_MOSFET_S_gFS_L_BO))/1 )</f>
        <v>2.1246626686656671</v>
      </c>
      <c r="BL230" s="145">
        <f>IF(VACnom&gt;Vbat, (C_MOSFET_S_QGD_H_BU+C_MOSFET_S_QGS_H_BU)*10^-9/Table7[[#This Row],[Ion (A) C]], (C_MOSFET_S_QGD_L_BO+C_MOSFET_S_QGS_L_BO)*10^-9/Table7[[#This Row],[Ion (A) C]])/10^-9</f>
        <v>5.3365265642909732</v>
      </c>
      <c r="BM230" s="145">
        <f>IF(VACnom&gt;Vbat, (C_MOSFET_S_QGD_H_BU+C_MOSFET_S_QGS_H_BU)*10^-9/Table7[[#This Row],[Ioff (A) C]], (C_MOSFET_S_QGD_L_BO+C_MOSFET_S_QGS_L_BO)*10^-9/Table7[[#This Row],[Ioff (A) C]])/10^-9</f>
        <v>7.2952757294570079</v>
      </c>
      <c r="BN230" s="145">
        <f xml:space="preserve"> 0.5*VACnom*Table7[[#This Row],[Ivalley (A) C]]*Table7[[#This Row],[ton (ns) C]]*10^-9*Fsw*10^3+0.5*VACnom*Table7[[#This Row],[Ipeak (A) C]]*Table7[[#This Row],[toff (ns) C]]*10^-9*Fsw*10^3/10^-3</f>
        <v>705.40667402754968</v>
      </c>
      <c r="BO230" s="145">
        <f t="shared" si="49"/>
        <v>305.44000000000011</v>
      </c>
      <c r="BP230" s="145">
        <f t="shared" si="50"/>
        <v>357.69600000000014</v>
      </c>
      <c r="BQ230" s="145">
        <f t="shared" si="51"/>
        <v>1067.2000000000003</v>
      </c>
      <c r="BR230" s="145">
        <f>IF(VACnom&gt;Vbat, C_MOSFET_S_VSD_L_BU*Table7[[#This Row],[Ivalley (A) C]]*Fsw*10^3*40*10^-9+C_MOSFET_S_VSD_L_BU*Table7[[#This Row],[Ipeak (A) C]]*Fsw*10^3*30*10^-9, C_MOSFET_S_VSD_H_BO*Table7[[#This Row],[Ivalley (A) C]]*Fsw*10^3*40*10^-9+C_MOSFET_S_VSD_H_BO*Table7[[#This Row],[Ipeak (A) C]]*Fsw*10^3*30*10^-9)/10^-3</f>
        <v>291.56869565217409</v>
      </c>
      <c r="BS230" s="145">
        <f t="shared" si="52"/>
        <v>357.69600000000014</v>
      </c>
      <c r="BT230" s="145">
        <f>IF(VACnom&lt;Vbat, Table7[[#This Row],[Duty Cycle]]*Table7[[#This Row],[I_L RMS]]^2*C_MOSFET_S_RDSON_H_BU*10^-3, (1-Table7[[#This Row],[Duty Cycle]])*Table7[[#This Row],[I_L RMS]]^2*C_MOSFET_S_RDSON_H_BO*10^-3)/10^-3</f>
        <v>38.388529875893596</v>
      </c>
      <c r="BU230" s="145">
        <f>IF(VACnom&gt;Vbat, Table7[[#This Row],[PIV (mW) C]]+Table7[[#This Row],[PQoss (mW) C]]+Table7[[#This Row],[Pgate_top (mW) C]], Table7[[#This Row],[PRR (mW) C]]+Table7[[#This Row],[Pdead (mW) C]]+Table7[[#This Row],[Pgate_top (mW) C]])</f>
        <v>1368.54267402755</v>
      </c>
      <c r="BV230" s="145">
        <f>Table7[[#This Row],[Pcon_top (mW) C]]+Table7[[#This Row],[Psw_top (mW) C]]</f>
        <v>1406.9312039034435</v>
      </c>
      <c r="BW230" s="145">
        <f>IF(VACnom&gt;Vbat, (1-Table7[[#This Row],[Duty Cycle]])*Table7[[#This Row],[I_L RMS]]^2*C_MOSFET_S_RDSON_L_BU*10^-3, Table7[[#This Row],[Duty Cycle]]*Table7[[#This Row],[I_L RMS]]^2*C_MOSFET_S_RDSON_L_BO*10^-3)/10^-3</f>
        <v>25.100192611161194</v>
      </c>
      <c r="BX230" s="145">
        <f>IF(VACnom&gt;Vbat, Table7[[#This Row],[PRR (mW) C]]+Table7[[#This Row],[Pdead (mW) C]]+Table7[[#This Row],[Pgate_bottom (mW) C]], Table7[[#This Row],[PIV (mW) C]]+Table7[[#This Row],[PQoss (mW) C]]+Table7[[#This Row],[Pgate_bottom (mW) C]])</f>
        <v>1716.4646956521744</v>
      </c>
      <c r="BY230" s="145">
        <f>Table7[[#This Row],[Pcon_bottom (mW) C]]+Table7[[#This Row],[Psw_bottom (mV) C]]</f>
        <v>1741.5648882633357</v>
      </c>
      <c r="BZ230" s="145">
        <f>Table7[[#This Row],[Pbottom (mW) C]]+Table7[[#This Row],[Ptop (mW) C]]</f>
        <v>3148.4960921667789</v>
      </c>
      <c r="CA230" s="148"/>
      <c r="CB230" s="144">
        <f>(RAC_SNS*10^-3*(Table7[[#This Row],[IOUT (A)]]*Vbat/VACnom)^2/10^-3)</f>
        <v>1358.3378449905483</v>
      </c>
      <c r="CC230" s="144">
        <f>(RBAT_SNS*10^-3*Table7[[#This Row],[IOUT (A)]]^2)/10^-3</f>
        <v>3548.4480000000003</v>
      </c>
      <c r="CD230" s="144">
        <f>IF(VACnom&gt;Vbat,(L_DRC*10^-3*(Table7[[#This Row],[IOUT (A)]])^2/10^-3),(L_DRC*10^-3*(Table7[[#This Row],[IOUT (A)]]*Vbat/VACnom)^2/10^-3))</f>
        <v>3548.4480000000003</v>
      </c>
      <c r="CE230" s="152"/>
      <c r="CF230" s="145">
        <f>(Table7[[#This Row],[R_AC (mW)]]+Table7[[#This Row],[R_SR (mW)]]+Table7[[#This Row],[Inductor Loss (mW)]])/10^3</f>
        <v>8.4552338449905484</v>
      </c>
      <c r="CG230" s="145" t="e">
        <f ca="1">Table7[[#This Row],[Total TI (mW)]]/10^3</f>
        <v>#VALUE!</v>
      </c>
      <c r="CH230" s="145" t="e">
        <f ca="1">Table7[[#This Row],[Total Sense Loss]]+Table7[[#This Row],[Total MOSFET Loss]]</f>
        <v>#VALUE!</v>
      </c>
      <c r="CI230" s="149" t="e">
        <f ca="1">IF(Table7[[#This Row],[POUT (W)]]=0,0,(Table7[[#This Row],[POUT (W)]])/(Table7[[#This Row],[POUT (W)]]+Table7[[#This Row],[Total Power Loss (W)]]))*100</f>
        <v>#VALUE!</v>
      </c>
      <c r="CJ230" s="153"/>
      <c r="CK230" s="145">
        <f>(Table7[[#This Row],[R_AC (mW)]]+Table7[[#This Row],[R_SR (mW)]]+Table7[[#This Row],[Inductor Loss (mW)]])/10^3</f>
        <v>8.4552338449905484</v>
      </c>
      <c r="CL230" s="145">
        <f>Table7[[#This Row],[Total (mW) C]]/10^3</f>
        <v>3.1484960921667788</v>
      </c>
      <c r="CM230" s="145">
        <f>Table7[[#This Row],[Total Sense Loss C]]+Table7[[#This Row],[Total MOSFET Loss C]]</f>
        <v>11.603729937157327</v>
      </c>
      <c r="CN230" s="149">
        <f>IF(Table7[[#This Row],[POUT (W)]]=0,0,(Table7[[#This Row],[POUT (W)]])/(Table7[[#This Row],[POUT (W)]]+Table7[[#This Row],[Total Power Loss (W) C]]))*100</f>
        <v>98.830216955559862</v>
      </c>
      <c r="CO230" s="153"/>
      <c r="CP230" s="149">
        <f>IF(MOSFET_S=Custom_MOSFET,Table7[[#This Row],[Total Sense Loss C]],Table7[[#This Row],[Total Sense Loss]])</f>
        <v>8.4552338449905484</v>
      </c>
      <c r="CQ230" s="149">
        <f>IF(MOSFET_S=Custom_MOSFET,Table7[[#This Row],[Total MOSFET Loss C]],Table7[[#This Row],[Total MOSFET Loss]])</f>
        <v>3.1484960921667788</v>
      </c>
      <c r="CR230" s="149">
        <f>IF(MOSFET_S=Custom_MOSFET,Table7[[#This Row],[Efficiency C]],Table7[[#This Row],[Efficiency]])</f>
        <v>98.830216955559862</v>
      </c>
      <c r="CS230" s="153"/>
      <c r="CT230" s="149">
        <f>IF(MOSFET_S=Compare_MOSFET, Table7[[#This Row],[Total Sense Loss C]], -100)</f>
        <v>-100</v>
      </c>
      <c r="CU230" s="149">
        <f>IF(MOSFET_S=Compare_MOSFET, Table7[[#This Row],[Total MOSFET Loss C]], -100)</f>
        <v>-100</v>
      </c>
      <c r="CV230" s="149">
        <f>IF(MOSFET_S=Compare_MOSFET, Table7[[#This Row],[Efficiency C]], -100)</f>
        <v>-100</v>
      </c>
      <c r="CW230" s="153"/>
      <c r="CX230" s="149">
        <f ca="1">IF(Save_Sel=CLR_Save,  Table7[[#This Row],[Total Sense Loss P1]], Table7[[#This Row],[Total Sense Loss P1 Saved]])</f>
        <v>8.4552338449905484</v>
      </c>
      <c r="CY230" s="149">
        <f ca="1">IF(Save_Sel=CLR_Save,  Table7[[#This Row],[Total MOSFET Loss P1]], Table7[[#This Row],[Total MOSFET Loss P1 Saved]] )</f>
        <v>3.1484960921667788</v>
      </c>
      <c r="CZ230" s="149">
        <f ca="1">IF(Save_Sel=CLR_Save, Table7[[#This Row],[Efficiency P1]], Table7[[#This Row],[Efficiency P1 Saved]])</f>
        <v>98.830216955559862</v>
      </c>
      <c r="DA230" s="153"/>
      <c r="DB230" s="149">
        <f ca="1">IF(Save_Sel=CLR_Save,  Table7[[#This Row],[Total Sense Loss P2]], Table7[[#This Row],[Total Sense Loss P2 Saved]])</f>
        <v>-100</v>
      </c>
      <c r="DC230" s="149">
        <f ca="1">IF(Save_Sel=CLR_Save,  Table7[[#This Row],[Total MOSFET Loss P2]], Table7[[#This Row],[Total MOSFET Loss P2 Saved]] )</f>
        <v>-100</v>
      </c>
      <c r="DD230" s="149">
        <f ca="1">IF(Save_Sel=CLR_Save, Table7[[#This Row],[Efficiency P2]], Table7[[#This Row],[Efficiency P2 Saved]])</f>
        <v>-100</v>
      </c>
      <c r="DE230" s="153"/>
      <c r="DF230" s="19"/>
      <c r="DG230" s="19"/>
      <c r="DH230" s="19"/>
      <c r="DI230" s="19"/>
      <c r="DJ230" s="19"/>
      <c r="DK230" s="19"/>
      <c r="DL230" s="19"/>
      <c r="DM230" s="19"/>
      <c r="DN230" s="19"/>
      <c r="DO230" s="19"/>
      <c r="DP230" s="19"/>
      <c r="DQ230" s="19"/>
      <c r="DR230" s="19"/>
      <c r="DS230" s="19"/>
      <c r="DT230" s="19"/>
      <c r="DU230" s="19"/>
      <c r="DV230" s="19"/>
      <c r="DW230" s="19"/>
      <c r="DX230" s="19"/>
      <c r="DY230" s="19"/>
      <c r="DZ230" s="19"/>
      <c r="EA230" s="19"/>
      <c r="EB230" s="19"/>
      <c r="EC230" s="19"/>
      <c r="ED230" s="19"/>
      <c r="EE230" s="19"/>
      <c r="EF230" s="19"/>
      <c r="EG230" s="19"/>
      <c r="EH230" s="19"/>
      <c r="EI230" s="19"/>
      <c r="EJ230" s="19"/>
      <c r="EK230" s="19"/>
      <c r="EL230" s="19"/>
      <c r="EM230" s="19"/>
      <c r="EN230" s="19"/>
      <c r="EO230" s="19"/>
      <c r="EP230" s="19"/>
      <c r="EQ230" s="19"/>
      <c r="ER230" s="19"/>
      <c r="ES230" s="19"/>
      <c r="ET230" s="19"/>
      <c r="EU230" s="19"/>
      <c r="EV230" s="19"/>
      <c r="EW230" s="19"/>
      <c r="EX230" s="19"/>
      <c r="EY230" s="19"/>
      <c r="EZ230" s="19"/>
      <c r="FA230" s="19"/>
      <c r="FB230" s="19"/>
      <c r="FC230" s="19"/>
      <c r="FD230" s="19"/>
      <c r="FE230" s="19"/>
      <c r="FF230" s="19"/>
      <c r="FG230" s="19"/>
      <c r="FH230" s="19"/>
      <c r="FI230" s="19"/>
    </row>
    <row r="231" spans="1:165" x14ac:dyDescent="0.25">
      <c r="A231" s="67"/>
      <c r="B231" s="67"/>
      <c r="C231" s="67"/>
      <c r="D231" s="67"/>
      <c r="E231" s="67"/>
      <c r="F231" s="67"/>
      <c r="G231" s="67"/>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43">
        <f t="shared" si="54"/>
        <v>75</v>
      </c>
      <c r="AG231" s="143">
        <f t="shared" si="53"/>
        <v>27</v>
      </c>
      <c r="AH231" s="144">
        <f t="shared" si="42"/>
        <v>993.59999999999991</v>
      </c>
      <c r="AI231" s="145">
        <f t="shared" si="43"/>
        <v>0.97826086956521752</v>
      </c>
      <c r="AJ231" s="145">
        <f t="shared" si="44"/>
        <v>26.413043478260875</v>
      </c>
      <c r="AK231" s="145">
        <f t="shared" si="40"/>
        <v>0.39130434782608459</v>
      </c>
      <c r="AL231" s="145">
        <f t="shared" si="41"/>
        <v>26.41328502305014</v>
      </c>
      <c r="AM231" s="146"/>
      <c r="AN231" s="145">
        <f>MAX(0,Table7[[#This Row],[I_L]]-0.5*Table7[[#This Row],[I_L pkpk]])</f>
        <v>26.217391304347831</v>
      </c>
      <c r="AO231" s="145">
        <f>Table7[[#This Row],[I_L]]+0.5*Table7[[#This Row],[I_L pkpk]]</f>
        <v>26.608695652173918</v>
      </c>
      <c r="AP231" s="145">
        <f ca="1">IF(VACnom&gt;Vbat, (VGS_S-(TI_MOSFET_S_VTH_H_BU+Table7[[#This Row],[I_L]]/TI_MOSFET_S_gFS_H_BU))/3.4, (VGS_S-(TI_MOSFET_S_VTH_L_BO+Table7[[#This Row],[I_L]]/TI_MOSFET_S_gFS_L_BO))/3.4 )</f>
        <v>2.9549478654337991</v>
      </c>
      <c r="AQ231" s="145">
        <f ca="1">IF(VACnom&gt;Vbat, ((TI_MOSFET_S_VTH_H_BU+Table7[[#This Row],[I_L]]/TI_MOSFET_S_gFS_H_BU))/1, ((TI_MOSFET_S_VTH_L_BO+Table7[[#This Row],[I_L]]/TI_MOSFET_S_gFS_L_BO))/1 )</f>
        <v>1.9531772575250836</v>
      </c>
      <c r="AR231" s="145">
        <f ca="1">IF(VACnom&gt;Vbat, (TI_MOSFET_S_QGD_H_BU+TI_MOSFET_S_QGS_H_BU)*10^-9/Table7[[#This Row],[Ion (A)]], (TI_MOSFET_S_QGD_L_BO+TI_MOSFET_S_QGS_L_BO)*10^-9/Table7[[#This Row],[Ion (A)]])/10^-9</f>
        <v>9.7463648468708399</v>
      </c>
      <c r="AS231" s="145">
        <f ca="1">IF(VACnom&gt;Vbat, (TI_MOSFET_S_QGD_H_BU+TI_MOSFET_S_QGS_H_BU)*10^-9/Table7[[#This Row],[Ioff (A)]], (TI_MOSFET_S_QGD_L_BO+TI_MOSFET_S_QGS_L_BO)*10^-9/Table7[[#This Row],[Ioff (A)]])/10^-9</f>
        <v>14.745205479452055</v>
      </c>
      <c r="AT231" s="145">
        <f ca="1" xml:space="preserve"> 0.5*VACnom*Table7[[#This Row],[Ivalley (A)]]*Table7[[#This Row],[ton (ns)]]*10^-9*Fsw*10^3+0.5*VACnom*Table7[[#This Row],[Ipeak (A)]]*Table7[[#This Row],[toff (ns)]]*10^-9*Fsw*10^3/10^-3</f>
        <v>1444.7908498283721</v>
      </c>
      <c r="AU231" s="145">
        <f t="shared" ca="1" si="45"/>
        <v>268.64000000000004</v>
      </c>
      <c r="AV231" s="145" t="e">
        <f t="shared" si="46"/>
        <v>#VALUE!</v>
      </c>
      <c r="AW231" s="145">
        <f t="shared" ca="1" si="47"/>
        <v>566.72000000000025</v>
      </c>
      <c r="AX231" s="145">
        <f ca="1">IF(VACnom&gt;Vbat, TI_MOSFET_S_VSD_L_BU*Table7[[#This Row],[Ivalley (A)]]*Fsw*10^3*40*10^-9+TI_MOSFET_S_VSD_L_BU*Table7[[#This Row],[Ipeak (A)]]*Fsw*10^3*30*10^-9, TI_MOSFET_S_VSD_H_BO*Table7[[#This Row],[Ivalley (A)]]*Fsw*10^3*40*10^-9+TI_MOSFET_S_VSD_H_BO*Table7[[#This Row],[Ipeak (A)]]*Fsw*10^3*30*10^-9)/10^-3</f>
        <v>265.96173913043492</v>
      </c>
      <c r="AY231" s="145" t="e">
        <f t="shared" si="48"/>
        <v>#VALUE!</v>
      </c>
      <c r="AZ231" s="145" t="e">
        <f>IF(VACnom&lt;Vbat, Table7[[#This Row],[Duty Cycle]]*Table7[[#This Row],[I_L RMS]]^2*TI_MOSFET_S_RDSON_H_BU*10^-3, (1-Table7[[#This Row],[Duty Cycle]])*Table7[[#This Row],[I_L RMS]]^2*TI_MOSFET_S_RDSON_H_BO*10^-3)/10^-3</f>
        <v>#VALUE!</v>
      </c>
      <c r="BA231" s="145" t="e">
        <f ca="1">IF(VACnom&gt;Vbat, Table7[[#This Row],[PIV (mW)]]+Table7[[#This Row],[Pqoss (mW)]]+Table7[[#This Row],[Pgate_top (mW)]], Table7[[#This Row],[PRR (mW)]]+Table7[[#This Row],[Pdead (mW)]]+Table7[[#This Row],[Pgate_top (mW)]])</f>
        <v>#VALUE!</v>
      </c>
      <c r="BB231" s="145" t="e">
        <f ca="1">Table7[[#This Row],[Pcon_top (mW)]]+Table7[[#This Row],[Psw_top (mW)]]</f>
        <v>#VALUE!</v>
      </c>
      <c r="BC231" s="145" t="e">
        <f>IF(VACnom&gt;Vbat, (1-Table7[[#This Row],[Duty Cycle]])*Table7[[#This Row],[I_L RMS]]^2*TI_MOSFET_S_RDSON_L_BU*10^-3, Table7[[#This Row],[Duty Cycle]]*Table7[[#This Row],[I_L RMS]]^2*TI_MOSFET_S_RDSON_L_BO*10^-3)/10^-3</f>
        <v>#VALUE!</v>
      </c>
      <c r="BD231" s="145" t="e">
        <f ca="1">IF(VACnom&gt;Vbat, Table7[[#This Row],[PRR (mW)]]+Table7[[#This Row],[Pdead (mW)]]+Table7[[#This Row],[Pgate_bottom (mW)]], Table7[[#This Row],[PIV (mW)]]+Table7[[#This Row],[Pqoss (mW)]]+Table7[[#This Row],[Pgate_bottom (mW)]])</f>
        <v>#VALUE!</v>
      </c>
      <c r="BE231" s="147" t="e">
        <f ca="1">Table7[[#This Row],[Pcon_bottom (mW)]]+Table7[[#This Row],[Psw_bottom (mW)]]</f>
        <v>#VALUE!</v>
      </c>
      <c r="BF231" s="145" t="e">
        <f ca="1">Table7[[#This Row],[Pbottom (mW)]]+Table7[[#This Row],[Ptop (mW)]]</f>
        <v>#VALUE!</v>
      </c>
      <c r="BG231" s="142"/>
      <c r="BH231" s="145">
        <f>MAX(0,Table7[[#This Row],[I_L]]-0.5*Table7[[#This Row],[I_L pkpk]])</f>
        <v>26.217391304347831</v>
      </c>
      <c r="BI231" s="145">
        <f>Table7[[#This Row],[I_L]]+0.5*Table7[[#This Row],[I_L pkpk]]</f>
        <v>26.608695652173918</v>
      </c>
      <c r="BJ231" s="145">
        <f>IF(VACnom&gt;Vbat, (VGS_S-(C_MOSFET_S_VTH_H_BU+Table7[[#This Row],[I_L]]/C_MOSFET_S_gFS_H_BU))/3.4, (VGS_S-(C_MOSFET_S_VTH_L_BO+Table7[[#This Row],[I_L]]/C_MOSFET_S_gFS_L_BO))/3.4 )</f>
        <v>2.903618043919217</v>
      </c>
      <c r="BK231" s="145">
        <f>IF(VACnom&gt;Vbat, ((C_MOSFET_S_VTH_H_BU+Table7[[#This Row],[I_L]]/C_MOSFET_S_gFS_H_BU))/1, ((C_MOSFET_S_VTH_L_BO+Table7[[#This Row],[I_L]]/C_MOSFET_S_gFS_L_BO))/1 )</f>
        <v>2.1276986506746627</v>
      </c>
      <c r="BL231" s="145">
        <f>IF(VACnom&gt;Vbat, (C_MOSFET_S_QGD_H_BU+C_MOSFET_S_QGS_H_BU)*10^-9/Table7[[#This Row],[Ion (A) C]], (C_MOSFET_S_QGD_L_BO+C_MOSFET_S_QGS_L_BO)*10^-9/Table7[[#This Row],[Ion (A) C]])/10^-9</f>
        <v>5.3381676809937995</v>
      </c>
      <c r="BM231" s="145">
        <f>IF(VACnom&gt;Vbat, (C_MOSFET_S_QGD_H_BU+C_MOSFET_S_QGS_H_BU)*10^-9/Table7[[#This Row],[Ioff (A) C]], (C_MOSFET_S_QGD_L_BO+C_MOSFET_S_QGS_L_BO)*10^-9/Table7[[#This Row],[Ioff (A) C]])/10^-9</f>
        <v>7.2848662074796975</v>
      </c>
      <c r="BN231" s="145">
        <f xml:space="preserve"> 0.5*VACnom*Table7[[#This Row],[Ivalley (A) C]]*Table7[[#This Row],[ton (ns) C]]*10^-9*Fsw*10^3+0.5*VACnom*Table7[[#This Row],[Ipeak (A) C]]*Table7[[#This Row],[toff (ns) C]]*10^-9*Fsw*10^3/10^-3</f>
        <v>713.84912545427449</v>
      </c>
      <c r="BO231" s="145">
        <f t="shared" si="49"/>
        <v>305.44000000000011</v>
      </c>
      <c r="BP231" s="145">
        <f t="shared" si="50"/>
        <v>357.69600000000014</v>
      </c>
      <c r="BQ231" s="145">
        <f t="shared" si="51"/>
        <v>1067.2000000000003</v>
      </c>
      <c r="BR231" s="145">
        <f>IF(VACnom&gt;Vbat, C_MOSFET_S_VSD_L_BU*Table7[[#This Row],[Ivalley (A) C]]*Fsw*10^3*40*10^-9+C_MOSFET_S_VSD_L_BU*Table7[[#This Row],[Ipeak (A) C]]*Fsw*10^3*30*10^-9, C_MOSFET_S_VSD_H_BO*Table7[[#This Row],[Ivalley (A) C]]*Fsw*10^3*40*10^-9+C_MOSFET_S_VSD_H_BO*Table7[[#This Row],[Ipeak (A) C]]*Fsw*10^3*30*10^-9)/10^-3</f>
        <v>295.51304347826112</v>
      </c>
      <c r="BS231" s="145">
        <f t="shared" si="52"/>
        <v>357.69600000000014</v>
      </c>
      <c r="BT231" s="145">
        <f>IF(VACnom&lt;Vbat, Table7[[#This Row],[Duty Cycle]]*Table7[[#This Row],[I_L RMS]]^2*C_MOSFET_S_RDSON_H_BU*10^-3, (1-Table7[[#This Row],[Duty Cycle]])*Table7[[#This Row],[I_L RMS]]^2*C_MOSFET_S_RDSON_H_BO*10^-3)/10^-3</f>
        <v>39.433048409632391</v>
      </c>
      <c r="BU231" s="145">
        <f>IF(VACnom&gt;Vbat, Table7[[#This Row],[PIV (mW) C]]+Table7[[#This Row],[PQoss (mW) C]]+Table7[[#This Row],[Pgate_top (mW) C]], Table7[[#This Row],[PRR (mW) C]]+Table7[[#This Row],[Pdead (mW) C]]+Table7[[#This Row],[Pgate_top (mW) C]])</f>
        <v>1376.9851254542748</v>
      </c>
      <c r="BV231" s="145">
        <f>Table7[[#This Row],[Pcon_top (mW) C]]+Table7[[#This Row],[Psw_top (mW) C]]</f>
        <v>1416.4181738639072</v>
      </c>
      <c r="BW231" s="145">
        <f>IF(VACnom&gt;Vbat, (1-Table7[[#This Row],[Duty Cycle]])*Table7[[#This Row],[I_L RMS]]^2*C_MOSFET_S_RDSON_L_BU*10^-3, Table7[[#This Row],[Duty Cycle]]*Table7[[#This Row],[I_L RMS]]^2*C_MOSFET_S_RDSON_L_BO*10^-3)/10^-3</f>
        <v>25.783147037067334</v>
      </c>
      <c r="BX231" s="145">
        <f>IF(VACnom&gt;Vbat, Table7[[#This Row],[PRR (mW) C]]+Table7[[#This Row],[Pdead (mW) C]]+Table7[[#This Row],[Pgate_bottom (mW) C]], Table7[[#This Row],[PIV (mW) C]]+Table7[[#This Row],[PQoss (mW) C]]+Table7[[#This Row],[Pgate_bottom (mW) C]])</f>
        <v>1720.4090434782615</v>
      </c>
      <c r="BY231" s="145">
        <f>Table7[[#This Row],[Pcon_bottom (mW) C]]+Table7[[#This Row],[Psw_bottom (mV) C]]</f>
        <v>1746.1921905153288</v>
      </c>
      <c r="BZ231" s="145">
        <f>Table7[[#This Row],[Pbottom (mW) C]]+Table7[[#This Row],[Ptop (mW) C]]</f>
        <v>3162.6103643792358</v>
      </c>
      <c r="CA231" s="148"/>
      <c r="CB231" s="144">
        <f>(RAC_SNS*10^-3*(Table7[[#This Row],[IOUT (A)]]*Vbat/VACnom)^2/10^-3)</f>
        <v>1395.2977315689982</v>
      </c>
      <c r="CC231" s="144">
        <f>(RBAT_SNS*10^-3*Table7[[#This Row],[IOUT (A)]]^2)/10^-3</f>
        <v>3645</v>
      </c>
      <c r="CD231" s="144">
        <f>IF(VACnom&gt;Vbat,(L_DRC*10^-3*(Table7[[#This Row],[IOUT (A)]])^2/10^-3),(L_DRC*10^-3*(Table7[[#This Row],[IOUT (A)]]*Vbat/VACnom)^2/10^-3))</f>
        <v>3645</v>
      </c>
      <c r="CE231" s="152"/>
      <c r="CF231" s="145">
        <f>(Table7[[#This Row],[R_AC (mW)]]+Table7[[#This Row],[R_SR (mW)]]+Table7[[#This Row],[Inductor Loss (mW)]])/10^3</f>
        <v>8.6852977315689994</v>
      </c>
      <c r="CG231" s="145" t="e">
        <f ca="1">Table7[[#This Row],[Total TI (mW)]]/10^3</f>
        <v>#VALUE!</v>
      </c>
      <c r="CH231" s="145" t="e">
        <f ca="1">Table7[[#This Row],[Total Sense Loss]]+Table7[[#This Row],[Total MOSFET Loss]]</f>
        <v>#VALUE!</v>
      </c>
      <c r="CI231" s="149" t="e">
        <f ca="1">IF(Table7[[#This Row],[POUT (W)]]=0,0,(Table7[[#This Row],[POUT (W)]])/(Table7[[#This Row],[POUT (W)]]+Table7[[#This Row],[Total Power Loss (W)]]))*100</f>
        <v>#VALUE!</v>
      </c>
      <c r="CJ231" s="153"/>
      <c r="CK231" s="145">
        <f>(Table7[[#This Row],[R_AC (mW)]]+Table7[[#This Row],[R_SR (mW)]]+Table7[[#This Row],[Inductor Loss (mW)]])/10^3</f>
        <v>8.6852977315689994</v>
      </c>
      <c r="CL231" s="145">
        <f>Table7[[#This Row],[Total (mW) C]]/10^3</f>
        <v>3.1626103643792356</v>
      </c>
      <c r="CM231" s="145">
        <f>Table7[[#This Row],[Total Sense Loss C]]+Table7[[#This Row],[Total MOSFET Loss C]]</f>
        <v>11.847908095948235</v>
      </c>
      <c r="CN231" s="149">
        <f>IF(Table7[[#This Row],[POUT (W)]]=0,0,(Table7[[#This Row],[POUT (W)]])/(Table7[[#This Row],[POUT (W)]]+Table7[[#This Row],[Total Power Loss (W) C]]))*100</f>
        <v>98.821628848143405</v>
      </c>
      <c r="CO231" s="153"/>
      <c r="CP231" s="149">
        <f>IF(MOSFET_S=Custom_MOSFET,Table7[[#This Row],[Total Sense Loss C]],Table7[[#This Row],[Total Sense Loss]])</f>
        <v>8.6852977315689994</v>
      </c>
      <c r="CQ231" s="149">
        <f>IF(MOSFET_S=Custom_MOSFET,Table7[[#This Row],[Total MOSFET Loss C]],Table7[[#This Row],[Total MOSFET Loss]])</f>
        <v>3.1626103643792356</v>
      </c>
      <c r="CR231" s="149">
        <f>IF(MOSFET_S=Custom_MOSFET,Table7[[#This Row],[Efficiency C]],Table7[[#This Row],[Efficiency]])</f>
        <v>98.821628848143405</v>
      </c>
      <c r="CS231" s="153"/>
      <c r="CT231" s="149">
        <f>IF(MOSFET_S=Compare_MOSFET, Table7[[#This Row],[Total Sense Loss C]], -100)</f>
        <v>-100</v>
      </c>
      <c r="CU231" s="149">
        <f>IF(MOSFET_S=Compare_MOSFET, Table7[[#This Row],[Total MOSFET Loss C]], -100)</f>
        <v>-100</v>
      </c>
      <c r="CV231" s="149">
        <f>IF(MOSFET_S=Compare_MOSFET, Table7[[#This Row],[Efficiency C]], -100)</f>
        <v>-100</v>
      </c>
      <c r="CW231" s="153"/>
      <c r="CX231" s="149">
        <f ca="1">IF(Save_Sel=CLR_Save,  Table7[[#This Row],[Total Sense Loss P1]], Table7[[#This Row],[Total Sense Loss P1 Saved]])</f>
        <v>8.6852977315689994</v>
      </c>
      <c r="CY231" s="149">
        <f ca="1">IF(Save_Sel=CLR_Save,  Table7[[#This Row],[Total MOSFET Loss P1]], Table7[[#This Row],[Total MOSFET Loss P1 Saved]] )</f>
        <v>3.1626103643792356</v>
      </c>
      <c r="CZ231" s="149">
        <f ca="1">IF(Save_Sel=CLR_Save, Table7[[#This Row],[Efficiency P1]], Table7[[#This Row],[Efficiency P1 Saved]])</f>
        <v>98.821628848143405</v>
      </c>
      <c r="DA231" s="153"/>
      <c r="DB231" s="149">
        <f ca="1">IF(Save_Sel=CLR_Save,  Table7[[#This Row],[Total Sense Loss P2]], Table7[[#This Row],[Total Sense Loss P2 Saved]])</f>
        <v>-100</v>
      </c>
      <c r="DC231" s="149">
        <f ca="1">IF(Save_Sel=CLR_Save,  Table7[[#This Row],[Total MOSFET Loss P2]], Table7[[#This Row],[Total MOSFET Loss P2 Saved]] )</f>
        <v>-100</v>
      </c>
      <c r="DD231" s="149">
        <f ca="1">IF(Save_Sel=CLR_Save, Table7[[#This Row],[Efficiency P2]], Table7[[#This Row],[Efficiency P2 Saved]])</f>
        <v>-100</v>
      </c>
      <c r="DE231" s="153"/>
      <c r="DF231" s="19"/>
      <c r="DG231" s="19"/>
      <c r="DH231" s="19"/>
      <c r="DI231" s="19"/>
      <c r="DJ231" s="19"/>
      <c r="DK231" s="19"/>
      <c r="DL231" s="19"/>
      <c r="DM231" s="19"/>
      <c r="DN231" s="19"/>
      <c r="DO231" s="19"/>
      <c r="DP231" s="19"/>
      <c r="DQ231" s="19"/>
      <c r="DR231" s="19"/>
      <c r="DS231" s="19"/>
      <c r="DT231" s="19"/>
      <c r="DU231" s="19"/>
      <c r="DV231" s="19"/>
      <c r="DW231" s="19"/>
      <c r="DX231" s="19"/>
      <c r="DY231" s="19"/>
      <c r="DZ231" s="19"/>
      <c r="EA231" s="19"/>
      <c r="EB231" s="19"/>
      <c r="EC231" s="19"/>
      <c r="ED231" s="19"/>
      <c r="EE231" s="19"/>
      <c r="EF231" s="19"/>
      <c r="EG231" s="19"/>
      <c r="EH231" s="19"/>
      <c r="EI231" s="19"/>
      <c r="EJ231" s="19"/>
      <c r="EK231" s="19"/>
      <c r="EL231" s="19"/>
      <c r="EM231" s="19"/>
      <c r="EN231" s="19"/>
      <c r="EO231" s="19"/>
      <c r="EP231" s="19"/>
      <c r="EQ231" s="19"/>
      <c r="ER231" s="19"/>
      <c r="ES231" s="19"/>
      <c r="ET231" s="19"/>
      <c r="EU231" s="19"/>
      <c r="EV231" s="19"/>
      <c r="EW231" s="19"/>
      <c r="EX231" s="19"/>
      <c r="EY231" s="19"/>
      <c r="EZ231" s="19"/>
      <c r="FA231" s="19"/>
      <c r="FB231" s="19"/>
      <c r="FC231" s="19"/>
      <c r="FD231" s="19"/>
      <c r="FE231" s="19"/>
      <c r="FF231" s="19"/>
      <c r="FG231" s="19"/>
      <c r="FH231" s="19"/>
      <c r="FI231" s="19"/>
    </row>
    <row r="232" spans="1:165" x14ac:dyDescent="0.25">
      <c r="A232" s="67"/>
      <c r="B232" s="67"/>
      <c r="C232" s="67"/>
      <c r="D232" s="67"/>
      <c r="E232" s="67"/>
      <c r="F232" s="67"/>
      <c r="G232" s="67"/>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43">
        <f t="shared" si="54"/>
        <v>76</v>
      </c>
      <c r="AG232" s="143">
        <f t="shared" si="53"/>
        <v>27.36</v>
      </c>
      <c r="AH232" s="144">
        <f t="shared" si="42"/>
        <v>1006.848</v>
      </c>
      <c r="AI232" s="145">
        <f t="shared" si="43"/>
        <v>0.97826086956521752</v>
      </c>
      <c r="AJ232" s="145">
        <f t="shared" si="44"/>
        <v>26.765217391304351</v>
      </c>
      <c r="AK232" s="145">
        <f t="shared" si="40"/>
        <v>0.39130434782608459</v>
      </c>
      <c r="AL232" s="145">
        <f t="shared" si="41"/>
        <v>26.765455757901197</v>
      </c>
      <c r="AM232" s="146"/>
      <c r="AN232" s="145">
        <f>MAX(0,Table7[[#This Row],[I_L]]-0.5*Table7[[#This Row],[I_L pkpk]])</f>
        <v>26.569565217391307</v>
      </c>
      <c r="AO232" s="145">
        <f>Table7[[#This Row],[I_L]]+0.5*Table7[[#This Row],[I_L pkpk]]</f>
        <v>26.960869565217394</v>
      </c>
      <c r="AP232" s="145">
        <f ca="1">IF(VACnom&gt;Vbat, (VGS_S-(TI_MOSFET_S_VTH_H_BU+Table7[[#This Row],[I_L]]/TI_MOSFET_S_gFS_H_BU))/3.4, (VGS_S-(TI_MOSFET_S_VTH_L_BO+Table7[[#This Row],[I_L]]/TI_MOSFET_S_gFS_L_BO))/3.4 )</f>
        <v>2.954151091874877</v>
      </c>
      <c r="AQ232" s="145">
        <f ca="1">IF(VACnom&gt;Vbat, ((TI_MOSFET_S_VTH_H_BU+Table7[[#This Row],[I_L]]/TI_MOSFET_S_gFS_H_BU))/1, ((TI_MOSFET_S_VTH_L_BO+Table7[[#This Row],[I_L]]/TI_MOSFET_S_gFS_L_BO))/1 )</f>
        <v>1.9558862876254182</v>
      </c>
      <c r="AR232" s="145">
        <f ca="1">IF(VACnom&gt;Vbat, (TI_MOSFET_S_QGD_H_BU+TI_MOSFET_S_QGS_H_BU)*10^-9/Table7[[#This Row],[Ion (A)]], (TI_MOSFET_S_QGD_L_BO+TI_MOSFET_S_QGS_L_BO)*10^-9/Table7[[#This Row],[Ion (A)]])/10^-9</f>
        <v>9.748993570170386</v>
      </c>
      <c r="AS232" s="145">
        <f ca="1">IF(VACnom&gt;Vbat, (TI_MOSFET_S_QGD_H_BU+TI_MOSFET_S_QGS_H_BU)*10^-9/Table7[[#This Row],[Ioff (A)]], (TI_MOSFET_S_QGD_L_BO+TI_MOSFET_S_QGS_L_BO)*10^-9/Table7[[#This Row],[Ioff (A)]])/10^-9</f>
        <v>14.724782407961561</v>
      </c>
      <c r="AT232" s="145">
        <f ca="1" xml:space="preserve"> 0.5*VACnom*Table7[[#This Row],[Ivalley (A)]]*Table7[[#This Row],[ton (ns)]]*10^-9*Fsw*10^3+0.5*VACnom*Table7[[#This Row],[Ipeak (A)]]*Table7[[#This Row],[toff (ns)]]*10^-9*Fsw*10^3/10^-3</f>
        <v>1461.8872289836318</v>
      </c>
      <c r="AU232" s="145">
        <f t="shared" ca="1" si="45"/>
        <v>268.64000000000004</v>
      </c>
      <c r="AV232" s="145" t="e">
        <f t="shared" si="46"/>
        <v>#VALUE!</v>
      </c>
      <c r="AW232" s="145">
        <f t="shared" ca="1" si="47"/>
        <v>566.72000000000025</v>
      </c>
      <c r="AX232" s="145">
        <f ca="1">IF(VACnom&gt;Vbat, TI_MOSFET_S_VSD_L_BU*Table7[[#This Row],[Ivalley (A)]]*Fsw*10^3*40*10^-9+TI_MOSFET_S_VSD_L_BU*Table7[[#This Row],[Ipeak (A)]]*Fsw*10^3*30*10^-9, TI_MOSFET_S_VSD_H_BO*Table7[[#This Row],[Ivalley (A)]]*Fsw*10^3*40*10^-9+TI_MOSFET_S_VSD_H_BO*Table7[[#This Row],[Ipeak (A)]]*Fsw*10^3*30*10^-9)/10^-3</f>
        <v>269.51165217391315</v>
      </c>
      <c r="AY232" s="145" t="e">
        <f t="shared" si="48"/>
        <v>#VALUE!</v>
      </c>
      <c r="AZ232" s="145" t="e">
        <f>IF(VACnom&lt;Vbat, Table7[[#This Row],[Duty Cycle]]*Table7[[#This Row],[I_L RMS]]^2*TI_MOSFET_S_RDSON_H_BU*10^-3, (1-Table7[[#This Row],[Duty Cycle]])*Table7[[#This Row],[I_L RMS]]^2*TI_MOSFET_S_RDSON_H_BO*10^-3)/10^-3</f>
        <v>#VALUE!</v>
      </c>
      <c r="BA232" s="145" t="e">
        <f ca="1">IF(VACnom&gt;Vbat, Table7[[#This Row],[PIV (mW)]]+Table7[[#This Row],[Pqoss (mW)]]+Table7[[#This Row],[Pgate_top (mW)]], Table7[[#This Row],[PRR (mW)]]+Table7[[#This Row],[Pdead (mW)]]+Table7[[#This Row],[Pgate_top (mW)]])</f>
        <v>#VALUE!</v>
      </c>
      <c r="BB232" s="145" t="e">
        <f ca="1">Table7[[#This Row],[Pcon_top (mW)]]+Table7[[#This Row],[Psw_top (mW)]]</f>
        <v>#VALUE!</v>
      </c>
      <c r="BC232" s="145" t="e">
        <f>IF(VACnom&gt;Vbat, (1-Table7[[#This Row],[Duty Cycle]])*Table7[[#This Row],[I_L RMS]]^2*TI_MOSFET_S_RDSON_L_BU*10^-3, Table7[[#This Row],[Duty Cycle]]*Table7[[#This Row],[I_L RMS]]^2*TI_MOSFET_S_RDSON_L_BO*10^-3)/10^-3</f>
        <v>#VALUE!</v>
      </c>
      <c r="BD232" s="145" t="e">
        <f ca="1">IF(VACnom&gt;Vbat, Table7[[#This Row],[PRR (mW)]]+Table7[[#This Row],[Pdead (mW)]]+Table7[[#This Row],[Pgate_bottom (mW)]], Table7[[#This Row],[PIV (mW)]]+Table7[[#This Row],[Pqoss (mW)]]+Table7[[#This Row],[Pgate_bottom (mW)]])</f>
        <v>#VALUE!</v>
      </c>
      <c r="BE232" s="147" t="e">
        <f ca="1">Table7[[#This Row],[Pcon_bottom (mW)]]+Table7[[#This Row],[Psw_bottom (mW)]]</f>
        <v>#VALUE!</v>
      </c>
      <c r="BF232" s="145" t="e">
        <f ca="1">Table7[[#This Row],[Pbottom (mW)]]+Table7[[#This Row],[Ptop (mW)]]</f>
        <v>#VALUE!</v>
      </c>
      <c r="BG232" s="142"/>
      <c r="BH232" s="145">
        <f>MAX(0,Table7[[#This Row],[I_L]]-0.5*Table7[[#This Row],[I_L pkpk]])</f>
        <v>26.569565217391307</v>
      </c>
      <c r="BI232" s="145">
        <f>Table7[[#This Row],[I_L]]+0.5*Table7[[#This Row],[I_L pkpk]]</f>
        <v>26.960869565217394</v>
      </c>
      <c r="BJ232" s="145">
        <f>IF(VACnom&gt;Vbat, (VGS_S-(C_MOSFET_S_VTH_H_BU+Table7[[#This Row],[I_L]]/C_MOSFET_S_gFS_H_BU))/3.4, (VGS_S-(C_MOSFET_S_VTH_L_BO+Table7[[#This Row],[I_L]]/C_MOSFET_S_gFS_L_BO))/3.4 )</f>
        <v>2.9027251080342182</v>
      </c>
      <c r="BK232" s="145">
        <f>IF(VACnom&gt;Vbat, ((C_MOSFET_S_VTH_H_BU+Table7[[#This Row],[I_L]]/C_MOSFET_S_gFS_H_BU))/1, ((C_MOSFET_S_VTH_L_BO+Table7[[#This Row],[I_L]]/C_MOSFET_S_gFS_L_BO))/1 )</f>
        <v>2.1307346326836583</v>
      </c>
      <c r="BL232" s="145">
        <f>IF(VACnom&gt;Vbat, (C_MOSFET_S_QGD_H_BU+C_MOSFET_S_QGS_H_BU)*10^-9/Table7[[#This Row],[Ion (A) C]], (C_MOSFET_S_QGD_L_BO+C_MOSFET_S_QGS_L_BO)*10^-9/Table7[[#This Row],[Ion (A) C]])/10^-9</f>
        <v>5.3398098073767999</v>
      </c>
      <c r="BM232" s="145">
        <f>IF(VACnom&gt;Vbat, (C_MOSFET_S_QGD_H_BU+C_MOSFET_S_QGS_H_BU)*10^-9/Table7[[#This Row],[Ioff (A) C]], (C_MOSFET_S_QGD_L_BO+C_MOSFET_S_QGS_L_BO)*10^-9/Table7[[#This Row],[Ioff (A) C]])/10^-9</f>
        <v>7.2744863495637482</v>
      </c>
      <c r="BN232" s="145">
        <f xml:space="preserve"> 0.5*VACnom*Table7[[#This Row],[Ivalley (A) C]]*Table7[[#This Row],[ton (ns) C]]*10^-9*Fsw*10^3+0.5*VACnom*Table7[[#This Row],[Ipeak (A) C]]*Table7[[#This Row],[toff (ns) C]]*10^-9*Fsw*10^3/10^-3</f>
        <v>722.26754290204315</v>
      </c>
      <c r="BO232" s="145">
        <f t="shared" si="49"/>
        <v>305.44000000000011</v>
      </c>
      <c r="BP232" s="145">
        <f t="shared" si="50"/>
        <v>357.69600000000014</v>
      </c>
      <c r="BQ232" s="145">
        <f t="shared" si="51"/>
        <v>1067.2000000000003</v>
      </c>
      <c r="BR232" s="145">
        <f>IF(VACnom&gt;Vbat, C_MOSFET_S_VSD_L_BU*Table7[[#This Row],[Ivalley (A) C]]*Fsw*10^3*40*10^-9+C_MOSFET_S_VSD_L_BU*Table7[[#This Row],[Ipeak (A) C]]*Fsw*10^3*30*10^-9, C_MOSFET_S_VSD_H_BO*Table7[[#This Row],[Ivalley (A) C]]*Fsw*10^3*40*10^-9+C_MOSFET_S_VSD_H_BO*Table7[[#This Row],[Ipeak (A) C]]*Fsw*10^3*30*10^-9)/10^-3</f>
        <v>299.45739130434799</v>
      </c>
      <c r="BS232" s="145">
        <f t="shared" si="52"/>
        <v>357.69600000000014</v>
      </c>
      <c r="BT232" s="145">
        <f>IF(VACnom&lt;Vbat, Table7[[#This Row],[Duty Cycle]]*Table7[[#This Row],[I_L RMS]]^2*C_MOSFET_S_RDSON_H_BU*10^-3, (1-Table7[[#This Row],[Duty Cycle]])*Table7[[#This Row],[I_L RMS]]^2*C_MOSFET_S_RDSON_H_BO*10^-3)/10^-3</f>
        <v>40.491587326374386</v>
      </c>
      <c r="BU232" s="145">
        <f>IF(VACnom&gt;Vbat, Table7[[#This Row],[PIV (mW) C]]+Table7[[#This Row],[PQoss (mW) C]]+Table7[[#This Row],[Pgate_top (mW) C]], Table7[[#This Row],[PRR (mW) C]]+Table7[[#This Row],[Pdead (mW) C]]+Table7[[#This Row],[Pgate_top (mW) C]])</f>
        <v>1385.4035429020435</v>
      </c>
      <c r="BV232" s="145">
        <f>Table7[[#This Row],[Pcon_top (mW) C]]+Table7[[#This Row],[Psw_top (mW) C]]</f>
        <v>1425.8951302284179</v>
      </c>
      <c r="BW232" s="145">
        <f>IF(VACnom&gt;Vbat, (1-Table7[[#This Row],[Duty Cycle]])*Table7[[#This Row],[I_L RMS]]^2*C_MOSFET_S_RDSON_L_BU*10^-3, Table7[[#This Row],[Duty Cycle]]*Table7[[#This Row],[I_L RMS]]^2*C_MOSFET_S_RDSON_L_BO*10^-3)/10^-3</f>
        <v>26.475268636475558</v>
      </c>
      <c r="BX232" s="145">
        <f>IF(VACnom&gt;Vbat, Table7[[#This Row],[PRR (mW) C]]+Table7[[#This Row],[Pdead (mW) C]]+Table7[[#This Row],[Pgate_bottom (mW) C]], Table7[[#This Row],[PIV (mW) C]]+Table7[[#This Row],[PQoss (mW) C]]+Table7[[#This Row],[Pgate_bottom (mW) C]])</f>
        <v>1724.3533913043484</v>
      </c>
      <c r="BY232" s="145">
        <f>Table7[[#This Row],[Pcon_bottom (mW) C]]+Table7[[#This Row],[Psw_bottom (mV) C]]</f>
        <v>1750.8286599408239</v>
      </c>
      <c r="BZ232" s="145">
        <f>Table7[[#This Row],[Pbottom (mW) C]]+Table7[[#This Row],[Ptop (mW) C]]</f>
        <v>3176.7237901692415</v>
      </c>
      <c r="CA232" s="148"/>
      <c r="CB232" s="144">
        <f>(RAC_SNS*10^-3*(Table7[[#This Row],[IOUT (A)]]*Vbat/VACnom)^2/10^-3)</f>
        <v>1432.7537240075617</v>
      </c>
      <c r="CC232" s="144">
        <f>(RBAT_SNS*10^-3*Table7[[#This Row],[IOUT (A)]]^2)/10^-3</f>
        <v>3742.8479999999995</v>
      </c>
      <c r="CD232" s="144">
        <f>IF(VACnom&gt;Vbat,(L_DRC*10^-3*(Table7[[#This Row],[IOUT (A)]])^2/10^-3),(L_DRC*10^-3*(Table7[[#This Row],[IOUT (A)]]*Vbat/VACnom)^2/10^-3))</f>
        <v>3742.8479999999995</v>
      </c>
      <c r="CE232" s="152"/>
      <c r="CF232" s="145">
        <f>(Table7[[#This Row],[R_AC (mW)]]+Table7[[#This Row],[R_SR (mW)]]+Table7[[#This Row],[Inductor Loss (mW)]])/10^3</f>
        <v>8.9184497240075622</v>
      </c>
      <c r="CG232" s="145" t="e">
        <f ca="1">Table7[[#This Row],[Total TI (mW)]]/10^3</f>
        <v>#VALUE!</v>
      </c>
      <c r="CH232" s="145" t="e">
        <f ca="1">Table7[[#This Row],[Total Sense Loss]]+Table7[[#This Row],[Total MOSFET Loss]]</f>
        <v>#VALUE!</v>
      </c>
      <c r="CI232" s="149" t="e">
        <f ca="1">IF(Table7[[#This Row],[POUT (W)]]=0,0,(Table7[[#This Row],[POUT (W)]])/(Table7[[#This Row],[POUT (W)]]+Table7[[#This Row],[Total Power Loss (W)]]))*100</f>
        <v>#VALUE!</v>
      </c>
      <c r="CJ232" s="153"/>
      <c r="CK232" s="145">
        <f>(Table7[[#This Row],[R_AC (mW)]]+Table7[[#This Row],[R_SR (mW)]]+Table7[[#This Row],[Inductor Loss (mW)]])/10^3</f>
        <v>8.9184497240075622</v>
      </c>
      <c r="CL232" s="145">
        <f>Table7[[#This Row],[Total (mW) C]]/10^3</f>
        <v>3.1767237901692416</v>
      </c>
      <c r="CM232" s="145">
        <f>Table7[[#This Row],[Total Sense Loss C]]+Table7[[#This Row],[Total MOSFET Loss C]]</f>
        <v>12.095173514176803</v>
      </c>
      <c r="CN232" s="149">
        <f>IF(Table7[[#This Row],[POUT (W)]]=0,0,(Table7[[#This Row],[POUT (W)]])/(Table7[[#This Row],[POUT (W)]]+Table7[[#This Row],[Total Power Loss (W) C]]))*100</f>
        <v>98.812968786820321</v>
      </c>
      <c r="CO232" s="153"/>
      <c r="CP232" s="149">
        <f>IF(MOSFET_S=Custom_MOSFET,Table7[[#This Row],[Total Sense Loss C]],Table7[[#This Row],[Total Sense Loss]])</f>
        <v>8.9184497240075622</v>
      </c>
      <c r="CQ232" s="149">
        <f>IF(MOSFET_S=Custom_MOSFET,Table7[[#This Row],[Total MOSFET Loss C]],Table7[[#This Row],[Total MOSFET Loss]])</f>
        <v>3.1767237901692416</v>
      </c>
      <c r="CR232" s="149">
        <f>IF(MOSFET_S=Custom_MOSFET,Table7[[#This Row],[Efficiency C]],Table7[[#This Row],[Efficiency]])</f>
        <v>98.812968786820321</v>
      </c>
      <c r="CS232" s="153"/>
      <c r="CT232" s="149">
        <f>IF(MOSFET_S=Compare_MOSFET, Table7[[#This Row],[Total Sense Loss C]], -100)</f>
        <v>-100</v>
      </c>
      <c r="CU232" s="149">
        <f>IF(MOSFET_S=Compare_MOSFET, Table7[[#This Row],[Total MOSFET Loss C]], -100)</f>
        <v>-100</v>
      </c>
      <c r="CV232" s="149">
        <f>IF(MOSFET_S=Compare_MOSFET, Table7[[#This Row],[Efficiency C]], -100)</f>
        <v>-100</v>
      </c>
      <c r="CW232" s="153"/>
      <c r="CX232" s="149">
        <f ca="1">IF(Save_Sel=CLR_Save,  Table7[[#This Row],[Total Sense Loss P1]], Table7[[#This Row],[Total Sense Loss P1 Saved]])</f>
        <v>8.9184497240075622</v>
      </c>
      <c r="CY232" s="149">
        <f ca="1">IF(Save_Sel=CLR_Save,  Table7[[#This Row],[Total MOSFET Loss P1]], Table7[[#This Row],[Total MOSFET Loss P1 Saved]] )</f>
        <v>3.1767237901692416</v>
      </c>
      <c r="CZ232" s="149">
        <f ca="1">IF(Save_Sel=CLR_Save, Table7[[#This Row],[Efficiency P1]], Table7[[#This Row],[Efficiency P1 Saved]])</f>
        <v>98.812968786820321</v>
      </c>
      <c r="DA232" s="153"/>
      <c r="DB232" s="149">
        <f ca="1">IF(Save_Sel=CLR_Save,  Table7[[#This Row],[Total Sense Loss P2]], Table7[[#This Row],[Total Sense Loss P2 Saved]])</f>
        <v>-100</v>
      </c>
      <c r="DC232" s="149">
        <f ca="1">IF(Save_Sel=CLR_Save,  Table7[[#This Row],[Total MOSFET Loss P2]], Table7[[#This Row],[Total MOSFET Loss P2 Saved]] )</f>
        <v>-100</v>
      </c>
      <c r="DD232" s="149">
        <f ca="1">IF(Save_Sel=CLR_Save, Table7[[#This Row],[Efficiency P2]], Table7[[#This Row],[Efficiency P2 Saved]])</f>
        <v>-100</v>
      </c>
      <c r="DE232" s="153"/>
      <c r="DF232" s="19"/>
      <c r="DG232" s="19"/>
      <c r="DH232" s="19"/>
      <c r="DI232" s="19"/>
      <c r="DJ232" s="19"/>
      <c r="DK232" s="19"/>
      <c r="DL232" s="19"/>
      <c r="DM232" s="19"/>
      <c r="DN232" s="19"/>
      <c r="DO232" s="19"/>
      <c r="DP232" s="19"/>
      <c r="DQ232" s="19"/>
      <c r="DR232" s="19"/>
      <c r="DS232" s="19"/>
      <c r="DT232" s="19"/>
      <c r="DU232" s="19"/>
      <c r="DV232" s="19"/>
      <c r="DW232" s="19"/>
      <c r="DX232" s="19"/>
      <c r="DY232" s="19"/>
      <c r="DZ232" s="19"/>
      <c r="EA232" s="19"/>
      <c r="EB232" s="19"/>
      <c r="EC232" s="19"/>
      <c r="ED232" s="19"/>
      <c r="EE232" s="19"/>
      <c r="EF232" s="19"/>
      <c r="EG232" s="19"/>
      <c r="EH232" s="19"/>
      <c r="EI232" s="19"/>
      <c r="EJ232" s="19"/>
      <c r="EK232" s="19"/>
      <c r="EL232" s="19"/>
      <c r="EM232" s="19"/>
      <c r="EN232" s="19"/>
      <c r="EO232" s="19"/>
      <c r="EP232" s="19"/>
      <c r="EQ232" s="19"/>
      <c r="ER232" s="19"/>
      <c r="ES232" s="19"/>
      <c r="ET232" s="19"/>
      <c r="EU232" s="19"/>
      <c r="EV232" s="19"/>
      <c r="EW232" s="19"/>
      <c r="EX232" s="19"/>
      <c r="EY232" s="19"/>
      <c r="EZ232" s="19"/>
      <c r="FA232" s="19"/>
      <c r="FB232" s="19"/>
      <c r="FC232" s="19"/>
      <c r="FD232" s="19"/>
      <c r="FE232" s="19"/>
      <c r="FF232" s="19"/>
      <c r="FG232" s="19"/>
      <c r="FH232" s="19"/>
      <c r="FI232" s="19"/>
    </row>
    <row r="233" spans="1:165" x14ac:dyDescent="0.25">
      <c r="A233" s="67"/>
      <c r="B233" s="67"/>
      <c r="C233" s="67"/>
      <c r="D233" s="67"/>
      <c r="E233" s="67"/>
      <c r="F233" s="67"/>
      <c r="G233" s="67"/>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43">
        <f t="shared" si="54"/>
        <v>77</v>
      </c>
      <c r="AG233" s="143">
        <f t="shared" si="53"/>
        <v>27.72</v>
      </c>
      <c r="AH233" s="144">
        <f t="shared" si="42"/>
        <v>1020.0959999999999</v>
      </c>
      <c r="AI233" s="145">
        <f t="shared" si="43"/>
        <v>0.97826086956521752</v>
      </c>
      <c r="AJ233" s="145">
        <f t="shared" si="44"/>
        <v>27.11739130434783</v>
      </c>
      <c r="AK233" s="145">
        <f t="shared" si="40"/>
        <v>0.39130434782608459</v>
      </c>
      <c r="AL233" s="145">
        <f t="shared" si="41"/>
        <v>27.117626575301625</v>
      </c>
      <c r="AM233" s="146"/>
      <c r="AN233" s="145">
        <f>MAX(0,Table7[[#This Row],[I_L]]-0.5*Table7[[#This Row],[I_L pkpk]])</f>
        <v>26.921739130434787</v>
      </c>
      <c r="AO233" s="145">
        <f>Table7[[#This Row],[I_L]]+0.5*Table7[[#This Row],[I_L pkpk]]</f>
        <v>27.313043478260873</v>
      </c>
      <c r="AP233" s="145">
        <f ca="1">IF(VACnom&gt;Vbat, (VGS_S-(TI_MOSFET_S_VTH_H_BU+Table7[[#This Row],[I_L]]/TI_MOSFET_S_gFS_H_BU))/3.4, (VGS_S-(TI_MOSFET_S_VTH_L_BO+Table7[[#This Row],[I_L]]/TI_MOSFET_S_gFS_L_BO))/3.4 )</f>
        <v>2.9533543183159554</v>
      </c>
      <c r="AQ233" s="145">
        <f ca="1">IF(VACnom&gt;Vbat, ((TI_MOSFET_S_VTH_H_BU+Table7[[#This Row],[I_L]]/TI_MOSFET_S_gFS_H_BU))/1, ((TI_MOSFET_S_VTH_L_BO+Table7[[#This Row],[I_L]]/TI_MOSFET_S_gFS_L_BO))/1 )</f>
        <v>1.9585953177257525</v>
      </c>
      <c r="AR233" s="145">
        <f ca="1">IF(VACnom&gt;Vbat, (TI_MOSFET_S_QGD_H_BU+TI_MOSFET_S_QGS_H_BU)*10^-9/Table7[[#This Row],[Ion (A)]], (TI_MOSFET_S_QGD_L_BO+TI_MOSFET_S_QGS_L_BO)*10^-9/Table7[[#This Row],[Ion (A)]])/10^-9</f>
        <v>9.7516237118552613</v>
      </c>
      <c r="AS233" s="145">
        <f ca="1">IF(VACnom&gt;Vbat, (TI_MOSFET_S_QGD_H_BU+TI_MOSFET_S_QGS_H_BU)*10^-9/Table7[[#This Row],[Ioff (A)]], (TI_MOSFET_S_QGD_L_BO+TI_MOSFET_S_QGS_L_BO)*10^-9/Table7[[#This Row],[Ioff (A)]])/10^-9</f>
        <v>14.704415832792597</v>
      </c>
      <c r="AT233" s="145">
        <f ca="1" xml:space="preserve"> 0.5*VACnom*Table7[[#This Row],[Ivalley (A)]]*Table7[[#This Row],[ton (ns)]]*10^-9*Fsw*10^3+0.5*VACnom*Table7[[#This Row],[Ipeak (A)]]*Table7[[#This Row],[toff (ns)]]*10^-9*Fsw*10^3/10^-3</f>
        <v>1478.9363570500309</v>
      </c>
      <c r="AU233" s="145">
        <f t="shared" ca="1" si="45"/>
        <v>268.64000000000004</v>
      </c>
      <c r="AV233" s="145" t="e">
        <f t="shared" si="46"/>
        <v>#VALUE!</v>
      </c>
      <c r="AW233" s="145">
        <f t="shared" ca="1" si="47"/>
        <v>566.72000000000025</v>
      </c>
      <c r="AX233" s="145">
        <f ca="1">IF(VACnom&gt;Vbat, TI_MOSFET_S_VSD_L_BU*Table7[[#This Row],[Ivalley (A)]]*Fsw*10^3*40*10^-9+TI_MOSFET_S_VSD_L_BU*Table7[[#This Row],[Ipeak (A)]]*Fsw*10^3*30*10^-9, TI_MOSFET_S_VSD_H_BO*Table7[[#This Row],[Ivalley (A)]]*Fsw*10^3*40*10^-9+TI_MOSFET_S_VSD_H_BO*Table7[[#This Row],[Ipeak (A)]]*Fsw*10^3*30*10^-9)/10^-3</f>
        <v>273.06156521739143</v>
      </c>
      <c r="AY233" s="145" t="e">
        <f t="shared" si="48"/>
        <v>#VALUE!</v>
      </c>
      <c r="AZ233" s="145" t="e">
        <f>IF(VACnom&lt;Vbat, Table7[[#This Row],[Duty Cycle]]*Table7[[#This Row],[I_L RMS]]^2*TI_MOSFET_S_RDSON_H_BU*10^-3, (1-Table7[[#This Row],[Duty Cycle]])*Table7[[#This Row],[I_L RMS]]^2*TI_MOSFET_S_RDSON_H_BO*10^-3)/10^-3</f>
        <v>#VALUE!</v>
      </c>
      <c r="BA233" s="145" t="e">
        <f ca="1">IF(VACnom&gt;Vbat, Table7[[#This Row],[PIV (mW)]]+Table7[[#This Row],[Pqoss (mW)]]+Table7[[#This Row],[Pgate_top (mW)]], Table7[[#This Row],[PRR (mW)]]+Table7[[#This Row],[Pdead (mW)]]+Table7[[#This Row],[Pgate_top (mW)]])</f>
        <v>#VALUE!</v>
      </c>
      <c r="BB233" s="145" t="e">
        <f ca="1">Table7[[#This Row],[Pcon_top (mW)]]+Table7[[#This Row],[Psw_top (mW)]]</f>
        <v>#VALUE!</v>
      </c>
      <c r="BC233" s="145" t="e">
        <f>IF(VACnom&gt;Vbat, (1-Table7[[#This Row],[Duty Cycle]])*Table7[[#This Row],[I_L RMS]]^2*TI_MOSFET_S_RDSON_L_BU*10^-3, Table7[[#This Row],[Duty Cycle]]*Table7[[#This Row],[I_L RMS]]^2*TI_MOSFET_S_RDSON_L_BO*10^-3)/10^-3</f>
        <v>#VALUE!</v>
      </c>
      <c r="BD233" s="145" t="e">
        <f ca="1">IF(VACnom&gt;Vbat, Table7[[#This Row],[PRR (mW)]]+Table7[[#This Row],[Pdead (mW)]]+Table7[[#This Row],[Pgate_bottom (mW)]], Table7[[#This Row],[PIV (mW)]]+Table7[[#This Row],[Pqoss (mW)]]+Table7[[#This Row],[Pgate_bottom (mW)]])</f>
        <v>#VALUE!</v>
      </c>
      <c r="BE233" s="147" t="e">
        <f ca="1">Table7[[#This Row],[Pcon_bottom (mW)]]+Table7[[#This Row],[Psw_bottom (mW)]]</f>
        <v>#VALUE!</v>
      </c>
      <c r="BF233" s="145" t="e">
        <f ca="1">Table7[[#This Row],[Pbottom (mW)]]+Table7[[#This Row],[Ptop (mW)]]</f>
        <v>#VALUE!</v>
      </c>
      <c r="BG233" s="142"/>
      <c r="BH233" s="145">
        <f>MAX(0,Table7[[#This Row],[I_L]]-0.5*Table7[[#This Row],[I_L pkpk]])</f>
        <v>26.921739130434787</v>
      </c>
      <c r="BI233" s="145">
        <f>Table7[[#This Row],[I_L]]+0.5*Table7[[#This Row],[I_L pkpk]]</f>
        <v>27.313043478260873</v>
      </c>
      <c r="BJ233" s="145">
        <f>IF(VACnom&gt;Vbat, (VGS_S-(C_MOSFET_S_VTH_H_BU+Table7[[#This Row],[I_L]]/C_MOSFET_S_gFS_H_BU))/3.4, (VGS_S-(C_MOSFET_S_VTH_L_BO+Table7[[#This Row],[I_L]]/C_MOSFET_S_gFS_L_BO))/3.4 )</f>
        <v>2.9018321721492195</v>
      </c>
      <c r="BK233" s="145">
        <f>IF(VACnom&gt;Vbat, ((C_MOSFET_S_VTH_H_BU+Table7[[#This Row],[I_L]]/C_MOSFET_S_gFS_H_BU))/1, ((C_MOSFET_S_VTH_L_BO+Table7[[#This Row],[I_L]]/C_MOSFET_S_gFS_L_BO))/1 )</f>
        <v>2.1337706146926534</v>
      </c>
      <c r="BL233" s="145">
        <f>IF(VACnom&gt;Vbat, (C_MOSFET_S_QGD_H_BU+C_MOSFET_S_QGS_H_BU)*10^-9/Table7[[#This Row],[Ion (A) C]], (C_MOSFET_S_QGD_L_BO+C_MOSFET_S_QGS_L_BO)*10^-9/Table7[[#This Row],[Ion (A) C]])/10^-9</f>
        <v>5.3414529443720529</v>
      </c>
      <c r="BM233" s="145">
        <f>IF(VACnom&gt;Vbat, (C_MOSFET_S_QGD_H_BU+C_MOSFET_S_QGS_H_BU)*10^-9/Table7[[#This Row],[Ioff (A) C]], (C_MOSFET_S_QGD_L_BO+C_MOSFET_S_QGS_L_BO)*10^-9/Table7[[#This Row],[Ioff (A) C]])/10^-9</f>
        <v>7.2641360290888652</v>
      </c>
      <c r="BN233" s="145">
        <f xml:space="preserve"> 0.5*VACnom*Table7[[#This Row],[Ivalley (A) C]]*Table7[[#This Row],[ton (ns) C]]*10^-9*Fsw*10^3+0.5*VACnom*Table7[[#This Row],[Ipeak (A) C]]*Table7[[#This Row],[toff (ns) C]]*10^-9*Fsw*10^3/10^-3</f>
        <v>730.6620289818851</v>
      </c>
      <c r="BO233" s="145">
        <f t="shared" si="49"/>
        <v>305.44000000000011</v>
      </c>
      <c r="BP233" s="145">
        <f t="shared" si="50"/>
        <v>357.69600000000014</v>
      </c>
      <c r="BQ233" s="145">
        <f t="shared" si="51"/>
        <v>1067.2000000000003</v>
      </c>
      <c r="BR233" s="145">
        <f>IF(VACnom&gt;Vbat, C_MOSFET_S_VSD_L_BU*Table7[[#This Row],[Ivalley (A) C]]*Fsw*10^3*40*10^-9+C_MOSFET_S_VSD_L_BU*Table7[[#This Row],[Ipeak (A) C]]*Fsw*10^3*30*10^-9, C_MOSFET_S_VSD_H_BO*Table7[[#This Row],[Ivalley (A) C]]*Fsw*10^3*40*10^-9+C_MOSFET_S_VSD_H_BO*Table7[[#This Row],[Ipeak (A) C]]*Fsw*10^3*30*10^-9)/10^-3</f>
        <v>303.40173913043498</v>
      </c>
      <c r="BS233" s="145">
        <f t="shared" si="52"/>
        <v>357.69600000000014</v>
      </c>
      <c r="BT233" s="145">
        <f>IF(VACnom&lt;Vbat, Table7[[#This Row],[Duty Cycle]]*Table7[[#This Row],[I_L RMS]]^2*C_MOSFET_S_RDSON_H_BU*10^-3, (1-Table7[[#This Row],[Duty Cycle]])*Table7[[#This Row],[I_L RMS]]^2*C_MOSFET_S_RDSON_H_BO*10^-3)/10^-3</f>
        <v>41.564146626119602</v>
      </c>
      <c r="BU233" s="145">
        <f>IF(VACnom&gt;Vbat, Table7[[#This Row],[PIV (mW) C]]+Table7[[#This Row],[PQoss (mW) C]]+Table7[[#This Row],[Pgate_top (mW) C]], Table7[[#This Row],[PRR (mW) C]]+Table7[[#This Row],[Pdead (mW) C]]+Table7[[#This Row],[Pgate_top (mW) C]])</f>
        <v>1393.7980289818854</v>
      </c>
      <c r="BV233" s="145">
        <f>Table7[[#This Row],[Pcon_top (mW) C]]+Table7[[#This Row],[Psw_top (mW) C]]</f>
        <v>1435.3621756080049</v>
      </c>
      <c r="BW233" s="145">
        <f>IF(VACnom&gt;Vbat, (1-Table7[[#This Row],[Duty Cycle]])*Table7[[#This Row],[I_L RMS]]^2*C_MOSFET_S_RDSON_L_BU*10^-3, Table7[[#This Row],[Duty Cycle]]*Table7[[#This Row],[I_L RMS]]^2*C_MOSFET_S_RDSON_L_BO*10^-3)/10^-3</f>
        <v>27.176557409385893</v>
      </c>
      <c r="BX233" s="145">
        <f>IF(VACnom&gt;Vbat, Table7[[#This Row],[PRR (mW) C]]+Table7[[#This Row],[Pdead (mW) C]]+Table7[[#This Row],[Pgate_bottom (mW) C]], Table7[[#This Row],[PIV (mW) C]]+Table7[[#This Row],[PQoss (mW) C]]+Table7[[#This Row],[Pgate_bottom (mW) C]])</f>
        <v>1728.2977391304355</v>
      </c>
      <c r="BY233" s="145">
        <f>Table7[[#This Row],[Pcon_bottom (mW) C]]+Table7[[#This Row],[Psw_bottom (mV) C]]</f>
        <v>1755.4742965398214</v>
      </c>
      <c r="BZ233" s="145">
        <f>Table7[[#This Row],[Pbottom (mW) C]]+Table7[[#This Row],[Ptop (mW) C]]</f>
        <v>3190.8364721478265</v>
      </c>
      <c r="CA233" s="148"/>
      <c r="CB233" s="144">
        <f>(RAC_SNS*10^-3*(Table7[[#This Row],[IOUT (A)]]*Vbat/VACnom)^2/10^-3)</f>
        <v>1470.7058223062381</v>
      </c>
      <c r="CC233" s="144">
        <f>(RBAT_SNS*10^-3*Table7[[#This Row],[IOUT (A)]]^2)/10^-3</f>
        <v>3841.9919999999997</v>
      </c>
      <c r="CD233" s="144">
        <f>IF(VACnom&gt;Vbat,(L_DRC*10^-3*(Table7[[#This Row],[IOUT (A)]])^2/10^-3),(L_DRC*10^-3*(Table7[[#This Row],[IOUT (A)]]*Vbat/VACnom)^2/10^-3))</f>
        <v>3841.9919999999997</v>
      </c>
      <c r="CE233" s="152"/>
      <c r="CF233" s="145">
        <f>(Table7[[#This Row],[R_AC (mW)]]+Table7[[#This Row],[R_SR (mW)]]+Table7[[#This Row],[Inductor Loss (mW)]])/10^3</f>
        <v>9.1546898223062385</v>
      </c>
      <c r="CG233" s="145" t="e">
        <f ca="1">Table7[[#This Row],[Total TI (mW)]]/10^3</f>
        <v>#VALUE!</v>
      </c>
      <c r="CH233" s="145" t="e">
        <f ca="1">Table7[[#This Row],[Total Sense Loss]]+Table7[[#This Row],[Total MOSFET Loss]]</f>
        <v>#VALUE!</v>
      </c>
      <c r="CI233" s="149" t="e">
        <f ca="1">IF(Table7[[#This Row],[POUT (W)]]=0,0,(Table7[[#This Row],[POUT (W)]])/(Table7[[#This Row],[POUT (W)]]+Table7[[#This Row],[Total Power Loss (W)]]))*100</f>
        <v>#VALUE!</v>
      </c>
      <c r="CJ233" s="153"/>
      <c r="CK233" s="145">
        <f>(Table7[[#This Row],[R_AC (mW)]]+Table7[[#This Row],[R_SR (mW)]]+Table7[[#This Row],[Inductor Loss (mW)]])/10^3</f>
        <v>9.1546898223062385</v>
      </c>
      <c r="CL233" s="145">
        <f>Table7[[#This Row],[Total (mW) C]]/10^3</f>
        <v>3.1908364721478266</v>
      </c>
      <c r="CM233" s="145">
        <f>Table7[[#This Row],[Total Sense Loss C]]+Table7[[#This Row],[Total MOSFET Loss C]]</f>
        <v>12.345526294454064</v>
      </c>
      <c r="CN233" s="149">
        <f>IF(Table7[[#This Row],[POUT (W)]]=0,0,(Table7[[#This Row],[POUT (W)]])/(Table7[[#This Row],[POUT (W)]]+Table7[[#This Row],[Total Power Loss (W) C]]))*100</f>
        <v>98.804239661033051</v>
      </c>
      <c r="CO233" s="153"/>
      <c r="CP233" s="149">
        <f>IF(MOSFET_S=Custom_MOSFET,Table7[[#This Row],[Total Sense Loss C]],Table7[[#This Row],[Total Sense Loss]])</f>
        <v>9.1546898223062385</v>
      </c>
      <c r="CQ233" s="149">
        <f>IF(MOSFET_S=Custom_MOSFET,Table7[[#This Row],[Total MOSFET Loss C]],Table7[[#This Row],[Total MOSFET Loss]])</f>
        <v>3.1908364721478266</v>
      </c>
      <c r="CR233" s="149">
        <f>IF(MOSFET_S=Custom_MOSFET,Table7[[#This Row],[Efficiency C]],Table7[[#This Row],[Efficiency]])</f>
        <v>98.804239661033051</v>
      </c>
      <c r="CS233" s="153"/>
      <c r="CT233" s="149">
        <f>IF(MOSFET_S=Compare_MOSFET, Table7[[#This Row],[Total Sense Loss C]], -100)</f>
        <v>-100</v>
      </c>
      <c r="CU233" s="149">
        <f>IF(MOSFET_S=Compare_MOSFET, Table7[[#This Row],[Total MOSFET Loss C]], -100)</f>
        <v>-100</v>
      </c>
      <c r="CV233" s="149">
        <f>IF(MOSFET_S=Compare_MOSFET, Table7[[#This Row],[Efficiency C]], -100)</f>
        <v>-100</v>
      </c>
      <c r="CW233" s="153"/>
      <c r="CX233" s="149">
        <f ca="1">IF(Save_Sel=CLR_Save,  Table7[[#This Row],[Total Sense Loss P1]], Table7[[#This Row],[Total Sense Loss P1 Saved]])</f>
        <v>9.1546898223062385</v>
      </c>
      <c r="CY233" s="149">
        <f ca="1">IF(Save_Sel=CLR_Save,  Table7[[#This Row],[Total MOSFET Loss P1]], Table7[[#This Row],[Total MOSFET Loss P1 Saved]] )</f>
        <v>3.1908364721478266</v>
      </c>
      <c r="CZ233" s="149">
        <f ca="1">IF(Save_Sel=CLR_Save, Table7[[#This Row],[Efficiency P1]], Table7[[#This Row],[Efficiency P1 Saved]])</f>
        <v>98.804239661033051</v>
      </c>
      <c r="DA233" s="153"/>
      <c r="DB233" s="149">
        <f ca="1">IF(Save_Sel=CLR_Save,  Table7[[#This Row],[Total Sense Loss P2]], Table7[[#This Row],[Total Sense Loss P2 Saved]])</f>
        <v>-100</v>
      </c>
      <c r="DC233" s="149">
        <f ca="1">IF(Save_Sel=CLR_Save,  Table7[[#This Row],[Total MOSFET Loss P2]], Table7[[#This Row],[Total MOSFET Loss P2 Saved]] )</f>
        <v>-100</v>
      </c>
      <c r="DD233" s="149">
        <f ca="1">IF(Save_Sel=CLR_Save, Table7[[#This Row],[Efficiency P2]], Table7[[#This Row],[Efficiency P2 Saved]])</f>
        <v>-100</v>
      </c>
      <c r="DE233" s="153"/>
      <c r="DF233" s="19"/>
      <c r="DG233" s="19"/>
      <c r="DH233" s="19"/>
      <c r="DI233" s="19"/>
      <c r="DJ233" s="19"/>
      <c r="DK233" s="19"/>
      <c r="DL233" s="19"/>
      <c r="DM233" s="19"/>
      <c r="DN233" s="19"/>
      <c r="DO233" s="19"/>
      <c r="DP233" s="19"/>
      <c r="DQ233" s="19"/>
      <c r="DR233" s="19"/>
      <c r="DS233" s="19"/>
      <c r="DT233" s="19"/>
      <c r="DU233" s="19"/>
      <c r="DV233" s="19"/>
      <c r="DW233" s="19"/>
      <c r="DX233" s="19"/>
      <c r="DY233" s="19"/>
      <c r="DZ233" s="19"/>
      <c r="EA233" s="19"/>
      <c r="EB233" s="19"/>
      <c r="EC233" s="19"/>
      <c r="ED233" s="19"/>
      <c r="EE233" s="19"/>
      <c r="EF233" s="19"/>
      <c r="EG233" s="19"/>
      <c r="EH233" s="19"/>
      <c r="EI233" s="19"/>
      <c r="EJ233" s="19"/>
      <c r="EK233" s="19"/>
      <c r="EL233" s="19"/>
      <c r="EM233" s="19"/>
      <c r="EN233" s="19"/>
      <c r="EO233" s="19"/>
      <c r="EP233" s="19"/>
      <c r="EQ233" s="19"/>
      <c r="ER233" s="19"/>
      <c r="ES233" s="19"/>
      <c r="ET233" s="19"/>
      <c r="EU233" s="19"/>
      <c r="EV233" s="19"/>
      <c r="EW233" s="19"/>
      <c r="EX233" s="19"/>
      <c r="EY233" s="19"/>
      <c r="EZ233" s="19"/>
      <c r="FA233" s="19"/>
      <c r="FB233" s="19"/>
      <c r="FC233" s="19"/>
      <c r="FD233" s="19"/>
      <c r="FE233" s="19"/>
      <c r="FF233" s="19"/>
      <c r="FG233" s="19"/>
      <c r="FH233" s="19"/>
      <c r="FI233" s="19"/>
    </row>
    <row r="234" spans="1:165" x14ac:dyDescent="0.25">
      <c r="A234" s="67"/>
      <c r="B234" s="67"/>
      <c r="C234" s="67"/>
      <c r="D234" s="67"/>
      <c r="E234" s="67"/>
      <c r="F234" s="67"/>
      <c r="G234" s="67"/>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43">
        <f t="shared" si="54"/>
        <v>78</v>
      </c>
      <c r="AG234" s="143">
        <f t="shared" si="53"/>
        <v>28.08</v>
      </c>
      <c r="AH234" s="144">
        <f t="shared" si="42"/>
        <v>1033.3439999999998</v>
      </c>
      <c r="AI234" s="145">
        <f t="shared" si="43"/>
        <v>0.97826086956521752</v>
      </c>
      <c r="AJ234" s="145">
        <f t="shared" si="44"/>
        <v>27.469565217391306</v>
      </c>
      <c r="AK234" s="145">
        <f t="shared" si="40"/>
        <v>0.39130434782608459</v>
      </c>
      <c r="AL234" s="145">
        <f t="shared" si="41"/>
        <v>27.46979747207649</v>
      </c>
      <c r="AM234" s="146"/>
      <c r="AN234" s="145">
        <f>MAX(0,Table7[[#This Row],[I_L]]-0.5*Table7[[#This Row],[I_L pkpk]])</f>
        <v>27.273913043478263</v>
      </c>
      <c r="AO234" s="145">
        <f>Table7[[#This Row],[I_L]]+0.5*Table7[[#This Row],[I_L pkpk]]</f>
        <v>27.665217391304349</v>
      </c>
      <c r="AP234" s="145">
        <f ca="1">IF(VACnom&gt;Vbat, (VGS_S-(TI_MOSFET_S_VTH_H_BU+Table7[[#This Row],[I_L]]/TI_MOSFET_S_gFS_H_BU))/3.4, (VGS_S-(TI_MOSFET_S_VTH_L_BO+Table7[[#This Row],[I_L]]/TI_MOSFET_S_gFS_L_BO))/3.4 )</f>
        <v>2.9525575447570334</v>
      </c>
      <c r="AQ234" s="145">
        <f ca="1">IF(VACnom&gt;Vbat, ((TI_MOSFET_S_VTH_H_BU+Table7[[#This Row],[I_L]]/TI_MOSFET_S_gFS_H_BU))/1, ((TI_MOSFET_S_VTH_L_BO+Table7[[#This Row],[I_L]]/TI_MOSFET_S_gFS_L_BO))/1 )</f>
        <v>1.961304347826087</v>
      </c>
      <c r="AR234" s="145">
        <f ca="1">IF(VACnom&gt;Vbat, (TI_MOSFET_S_QGD_H_BU+TI_MOSFET_S_QGS_H_BU)*10^-9/Table7[[#This Row],[Ion (A)]], (TI_MOSFET_S_QGD_L_BO+TI_MOSFET_S_QGS_L_BO)*10^-9/Table7[[#This Row],[Ion (A)]])/10^-9</f>
        <v>9.7542552730737579</v>
      </c>
      <c r="AS234" s="145">
        <f ca="1">IF(VACnom&gt;Vbat, (TI_MOSFET_S_QGD_H_BU+TI_MOSFET_S_QGS_H_BU)*10^-9/Table7[[#This Row],[Ioff (A)]], (TI_MOSFET_S_QGD_L_BO+TI_MOSFET_S_QGS_L_BO)*10^-9/Table7[[#This Row],[Ioff (A)]])/10^-9</f>
        <v>14.68410551984039</v>
      </c>
      <c r="AT234" s="145">
        <f ca="1" xml:space="preserve"> 0.5*VACnom*Table7[[#This Row],[Ivalley (A)]]*Table7[[#This Row],[ton (ns)]]*10^-9*Fsw*10^3+0.5*VACnom*Table7[[#This Row],[Ipeak (A)]]*Table7[[#This Row],[toff (ns)]]*10^-9*Fsw*10^3/10^-3</f>
        <v>1495.9384298571588</v>
      </c>
      <c r="AU234" s="145">
        <f t="shared" ca="1" si="45"/>
        <v>268.64000000000004</v>
      </c>
      <c r="AV234" s="145" t="e">
        <f t="shared" si="46"/>
        <v>#VALUE!</v>
      </c>
      <c r="AW234" s="145">
        <f t="shared" ca="1" si="47"/>
        <v>566.72000000000025</v>
      </c>
      <c r="AX234" s="145">
        <f ca="1">IF(VACnom&gt;Vbat, TI_MOSFET_S_VSD_L_BU*Table7[[#This Row],[Ivalley (A)]]*Fsw*10^3*40*10^-9+TI_MOSFET_S_VSD_L_BU*Table7[[#This Row],[Ipeak (A)]]*Fsw*10^3*30*10^-9, TI_MOSFET_S_VSD_H_BO*Table7[[#This Row],[Ivalley (A)]]*Fsw*10^3*40*10^-9+TI_MOSFET_S_VSD_H_BO*Table7[[#This Row],[Ipeak (A)]]*Fsw*10^3*30*10^-9)/10^-3</f>
        <v>276.61147826086966</v>
      </c>
      <c r="AY234" s="145" t="e">
        <f t="shared" si="48"/>
        <v>#VALUE!</v>
      </c>
      <c r="AZ234" s="145" t="e">
        <f>IF(VACnom&lt;Vbat, Table7[[#This Row],[Duty Cycle]]*Table7[[#This Row],[I_L RMS]]^2*TI_MOSFET_S_RDSON_H_BU*10^-3, (1-Table7[[#This Row],[Duty Cycle]])*Table7[[#This Row],[I_L RMS]]^2*TI_MOSFET_S_RDSON_H_BO*10^-3)/10^-3</f>
        <v>#VALUE!</v>
      </c>
      <c r="BA234" s="145" t="e">
        <f ca="1">IF(VACnom&gt;Vbat, Table7[[#This Row],[PIV (mW)]]+Table7[[#This Row],[Pqoss (mW)]]+Table7[[#This Row],[Pgate_top (mW)]], Table7[[#This Row],[PRR (mW)]]+Table7[[#This Row],[Pdead (mW)]]+Table7[[#This Row],[Pgate_top (mW)]])</f>
        <v>#VALUE!</v>
      </c>
      <c r="BB234" s="145" t="e">
        <f ca="1">Table7[[#This Row],[Pcon_top (mW)]]+Table7[[#This Row],[Psw_top (mW)]]</f>
        <v>#VALUE!</v>
      </c>
      <c r="BC234" s="145" t="e">
        <f>IF(VACnom&gt;Vbat, (1-Table7[[#This Row],[Duty Cycle]])*Table7[[#This Row],[I_L RMS]]^2*TI_MOSFET_S_RDSON_L_BU*10^-3, Table7[[#This Row],[Duty Cycle]]*Table7[[#This Row],[I_L RMS]]^2*TI_MOSFET_S_RDSON_L_BO*10^-3)/10^-3</f>
        <v>#VALUE!</v>
      </c>
      <c r="BD234" s="145" t="e">
        <f ca="1">IF(VACnom&gt;Vbat, Table7[[#This Row],[PRR (mW)]]+Table7[[#This Row],[Pdead (mW)]]+Table7[[#This Row],[Pgate_bottom (mW)]], Table7[[#This Row],[PIV (mW)]]+Table7[[#This Row],[Pqoss (mW)]]+Table7[[#This Row],[Pgate_bottom (mW)]])</f>
        <v>#VALUE!</v>
      </c>
      <c r="BE234" s="147" t="e">
        <f ca="1">Table7[[#This Row],[Pcon_bottom (mW)]]+Table7[[#This Row],[Psw_bottom (mW)]]</f>
        <v>#VALUE!</v>
      </c>
      <c r="BF234" s="145" t="e">
        <f ca="1">Table7[[#This Row],[Pbottom (mW)]]+Table7[[#This Row],[Ptop (mW)]]</f>
        <v>#VALUE!</v>
      </c>
      <c r="BG234" s="142"/>
      <c r="BH234" s="145">
        <f>MAX(0,Table7[[#This Row],[I_L]]-0.5*Table7[[#This Row],[I_L pkpk]])</f>
        <v>27.273913043478263</v>
      </c>
      <c r="BI234" s="145">
        <f>Table7[[#This Row],[I_L]]+0.5*Table7[[#This Row],[I_L pkpk]]</f>
        <v>27.665217391304349</v>
      </c>
      <c r="BJ234" s="145">
        <f>IF(VACnom&gt;Vbat, (VGS_S-(C_MOSFET_S_VTH_H_BU+Table7[[#This Row],[I_L]]/C_MOSFET_S_gFS_H_BU))/3.4, (VGS_S-(C_MOSFET_S_VTH_L_BO+Table7[[#This Row],[I_L]]/C_MOSFET_S_gFS_L_BO))/3.4 )</f>
        <v>2.9009392362642208</v>
      </c>
      <c r="BK234" s="145">
        <f>IF(VACnom&gt;Vbat, ((C_MOSFET_S_VTH_H_BU+Table7[[#This Row],[I_L]]/C_MOSFET_S_gFS_H_BU))/1, ((C_MOSFET_S_VTH_L_BO+Table7[[#This Row],[I_L]]/C_MOSFET_S_gFS_L_BO))/1 )</f>
        <v>2.136806596701649</v>
      </c>
      <c r="BL234" s="145">
        <f>IF(VACnom&gt;Vbat, (C_MOSFET_S_QGD_H_BU+C_MOSFET_S_QGS_H_BU)*10^-9/Table7[[#This Row],[Ion (A) C]], (C_MOSFET_S_QGD_L_BO+C_MOSFET_S_QGS_L_BO)*10^-9/Table7[[#This Row],[Ion (A) C]])/10^-9</f>
        <v>5.343097092912787</v>
      </c>
      <c r="BM234" s="145">
        <f>IF(VACnom&gt;Vbat, (C_MOSFET_S_QGD_H_BU+C_MOSFET_S_QGS_H_BU)*10^-9/Table7[[#This Row],[Ioff (A) C]], (C_MOSFET_S_QGD_L_BO+C_MOSFET_S_QGS_L_BO)*10^-9/Table7[[#This Row],[Ioff (A) C]])/10^-9</f>
        <v>7.2538151201543588</v>
      </c>
      <c r="BN234" s="145">
        <f xml:space="preserve"> 0.5*VACnom*Table7[[#This Row],[Ivalley (A) C]]*Table7[[#This Row],[ton (ns) C]]*10^-9*Fsw*10^3+0.5*VACnom*Table7[[#This Row],[Ipeak (A) C]]*Table7[[#This Row],[toff (ns) C]]*10^-9*Fsw*10^3/10^-3</f>
        <v>739.03268572169668</v>
      </c>
      <c r="BO234" s="145">
        <f t="shared" si="49"/>
        <v>305.44000000000011</v>
      </c>
      <c r="BP234" s="145">
        <f t="shared" si="50"/>
        <v>357.69600000000014</v>
      </c>
      <c r="BQ234" s="145">
        <f t="shared" si="51"/>
        <v>1067.2000000000003</v>
      </c>
      <c r="BR234" s="145">
        <f>IF(VACnom&gt;Vbat, C_MOSFET_S_VSD_L_BU*Table7[[#This Row],[Ivalley (A) C]]*Fsw*10^3*40*10^-9+C_MOSFET_S_VSD_L_BU*Table7[[#This Row],[Ipeak (A) C]]*Fsw*10^3*30*10^-9, C_MOSFET_S_VSD_H_BO*Table7[[#This Row],[Ivalley (A) C]]*Fsw*10^3*40*10^-9+C_MOSFET_S_VSD_H_BO*Table7[[#This Row],[Ipeak (A) C]]*Fsw*10^3*30*10^-9)/10^-3</f>
        <v>307.3460869565219</v>
      </c>
      <c r="BS234" s="145">
        <f t="shared" si="52"/>
        <v>357.69600000000014</v>
      </c>
      <c r="BT234" s="145">
        <f>IF(VACnom&lt;Vbat, Table7[[#This Row],[Duty Cycle]]*Table7[[#This Row],[I_L RMS]]^2*C_MOSFET_S_RDSON_H_BU*10^-3, (1-Table7[[#This Row],[Duty Cycle]])*Table7[[#This Row],[I_L RMS]]^2*C_MOSFET_S_RDSON_H_BO*10^-3)/10^-3</f>
        <v>42.650726308868016</v>
      </c>
      <c r="BU234" s="145">
        <f>IF(VACnom&gt;Vbat, Table7[[#This Row],[PIV (mW) C]]+Table7[[#This Row],[PQoss (mW) C]]+Table7[[#This Row],[Pgate_top (mW) C]], Table7[[#This Row],[PRR (mW) C]]+Table7[[#This Row],[Pdead (mW) C]]+Table7[[#This Row],[Pgate_top (mW) C]])</f>
        <v>1402.1686857216969</v>
      </c>
      <c r="BV234" s="145">
        <f>Table7[[#This Row],[Pcon_top (mW) C]]+Table7[[#This Row],[Psw_top (mW) C]]</f>
        <v>1444.819412030565</v>
      </c>
      <c r="BW234" s="145">
        <f>IF(VACnom&gt;Vbat, (1-Table7[[#This Row],[Duty Cycle]])*Table7[[#This Row],[I_L RMS]]^2*C_MOSFET_S_RDSON_L_BU*10^-3, Table7[[#This Row],[Duty Cycle]]*Table7[[#This Row],[I_L RMS]]^2*C_MOSFET_S_RDSON_L_BO*10^-3)/10^-3</f>
        <v>27.887013355798317</v>
      </c>
      <c r="BX234" s="145">
        <f>IF(VACnom&gt;Vbat, Table7[[#This Row],[PRR (mW) C]]+Table7[[#This Row],[Pdead (mW) C]]+Table7[[#This Row],[Pgate_bottom (mW) C]], Table7[[#This Row],[PIV (mW) C]]+Table7[[#This Row],[PQoss (mW) C]]+Table7[[#This Row],[Pgate_bottom (mW) C]])</f>
        <v>1732.2420869565224</v>
      </c>
      <c r="BY234" s="145">
        <f>Table7[[#This Row],[Pcon_bottom (mW) C]]+Table7[[#This Row],[Psw_bottom (mV) C]]</f>
        <v>1760.1291003123206</v>
      </c>
      <c r="BZ234" s="145">
        <f>Table7[[#This Row],[Pbottom (mW) C]]+Table7[[#This Row],[Ptop (mW) C]]</f>
        <v>3204.9485123428858</v>
      </c>
      <c r="CA234" s="148"/>
      <c r="CB234" s="144">
        <f>(RAC_SNS*10^-3*(Table7[[#This Row],[IOUT (A)]]*Vbat/VACnom)^2/10^-3)</f>
        <v>1509.1540264650282</v>
      </c>
      <c r="CC234" s="144">
        <f>(RBAT_SNS*10^-3*Table7[[#This Row],[IOUT (A)]]^2)/10^-3</f>
        <v>3942.4319999999998</v>
      </c>
      <c r="CD234" s="144">
        <f>IF(VACnom&gt;Vbat,(L_DRC*10^-3*(Table7[[#This Row],[IOUT (A)]])^2/10^-3),(L_DRC*10^-3*(Table7[[#This Row],[IOUT (A)]]*Vbat/VACnom)^2/10^-3))</f>
        <v>3942.4319999999998</v>
      </c>
      <c r="CE234" s="152"/>
      <c r="CF234" s="145">
        <f>(Table7[[#This Row],[R_AC (mW)]]+Table7[[#This Row],[R_SR (mW)]]+Table7[[#This Row],[Inductor Loss (mW)]])/10^3</f>
        <v>9.3940180264650284</v>
      </c>
      <c r="CG234" s="145" t="e">
        <f ca="1">Table7[[#This Row],[Total TI (mW)]]/10^3</f>
        <v>#VALUE!</v>
      </c>
      <c r="CH234" s="145" t="e">
        <f ca="1">Table7[[#This Row],[Total Sense Loss]]+Table7[[#This Row],[Total MOSFET Loss]]</f>
        <v>#VALUE!</v>
      </c>
      <c r="CI234" s="149" t="e">
        <f ca="1">IF(Table7[[#This Row],[POUT (W)]]=0,0,(Table7[[#This Row],[POUT (W)]])/(Table7[[#This Row],[POUT (W)]]+Table7[[#This Row],[Total Power Loss (W)]]))*100</f>
        <v>#VALUE!</v>
      </c>
      <c r="CJ234" s="153"/>
      <c r="CK234" s="145">
        <f>(Table7[[#This Row],[R_AC (mW)]]+Table7[[#This Row],[R_SR (mW)]]+Table7[[#This Row],[Inductor Loss (mW)]])/10^3</f>
        <v>9.3940180264650284</v>
      </c>
      <c r="CL234" s="145">
        <f>Table7[[#This Row],[Total (mW) C]]/10^3</f>
        <v>3.2049485123428858</v>
      </c>
      <c r="CM234" s="145">
        <f>Table7[[#This Row],[Total Sense Loss C]]+Table7[[#This Row],[Total MOSFET Loss C]]</f>
        <v>12.598966538807915</v>
      </c>
      <c r="CN234" s="149">
        <f>IF(Table7[[#This Row],[POUT (W)]]=0,0,(Table7[[#This Row],[POUT (W)]])/(Table7[[#This Row],[POUT (W)]]+Table7[[#This Row],[Total Power Loss (W) C]]))*100</f>
        <v>98.795444212364671</v>
      </c>
      <c r="CO234" s="153"/>
      <c r="CP234" s="149">
        <f>IF(MOSFET_S=Custom_MOSFET,Table7[[#This Row],[Total Sense Loss C]],Table7[[#This Row],[Total Sense Loss]])</f>
        <v>9.3940180264650284</v>
      </c>
      <c r="CQ234" s="149">
        <f>IF(MOSFET_S=Custom_MOSFET,Table7[[#This Row],[Total MOSFET Loss C]],Table7[[#This Row],[Total MOSFET Loss]])</f>
        <v>3.2049485123428858</v>
      </c>
      <c r="CR234" s="149">
        <f>IF(MOSFET_S=Custom_MOSFET,Table7[[#This Row],[Efficiency C]],Table7[[#This Row],[Efficiency]])</f>
        <v>98.795444212364671</v>
      </c>
      <c r="CS234" s="153"/>
      <c r="CT234" s="149">
        <f>IF(MOSFET_S=Compare_MOSFET, Table7[[#This Row],[Total Sense Loss C]], -100)</f>
        <v>-100</v>
      </c>
      <c r="CU234" s="149">
        <f>IF(MOSFET_S=Compare_MOSFET, Table7[[#This Row],[Total MOSFET Loss C]], -100)</f>
        <v>-100</v>
      </c>
      <c r="CV234" s="149">
        <f>IF(MOSFET_S=Compare_MOSFET, Table7[[#This Row],[Efficiency C]], -100)</f>
        <v>-100</v>
      </c>
      <c r="CW234" s="153"/>
      <c r="CX234" s="149">
        <f ca="1">IF(Save_Sel=CLR_Save,  Table7[[#This Row],[Total Sense Loss P1]], Table7[[#This Row],[Total Sense Loss P1 Saved]])</f>
        <v>9.3940180264650284</v>
      </c>
      <c r="CY234" s="149">
        <f ca="1">IF(Save_Sel=CLR_Save,  Table7[[#This Row],[Total MOSFET Loss P1]], Table7[[#This Row],[Total MOSFET Loss P1 Saved]] )</f>
        <v>3.2049485123428858</v>
      </c>
      <c r="CZ234" s="149">
        <f ca="1">IF(Save_Sel=CLR_Save, Table7[[#This Row],[Efficiency P1]], Table7[[#This Row],[Efficiency P1 Saved]])</f>
        <v>98.795444212364671</v>
      </c>
      <c r="DA234" s="153"/>
      <c r="DB234" s="149">
        <f ca="1">IF(Save_Sel=CLR_Save,  Table7[[#This Row],[Total Sense Loss P2]], Table7[[#This Row],[Total Sense Loss P2 Saved]])</f>
        <v>-100</v>
      </c>
      <c r="DC234" s="149">
        <f ca="1">IF(Save_Sel=CLR_Save,  Table7[[#This Row],[Total MOSFET Loss P2]], Table7[[#This Row],[Total MOSFET Loss P2 Saved]] )</f>
        <v>-100</v>
      </c>
      <c r="DD234" s="149">
        <f ca="1">IF(Save_Sel=CLR_Save, Table7[[#This Row],[Efficiency P2]], Table7[[#This Row],[Efficiency P2 Saved]])</f>
        <v>-100</v>
      </c>
      <c r="DE234" s="153"/>
      <c r="DF234" s="19"/>
      <c r="DG234" s="19"/>
      <c r="DH234" s="19"/>
      <c r="DI234" s="19"/>
      <c r="DJ234" s="19"/>
      <c r="DK234" s="19"/>
      <c r="DL234" s="19"/>
      <c r="DM234" s="19"/>
      <c r="DN234" s="19"/>
      <c r="DO234" s="19"/>
      <c r="DP234" s="19"/>
      <c r="DQ234" s="19"/>
      <c r="DR234" s="19"/>
      <c r="DS234" s="19"/>
      <c r="DT234" s="19"/>
      <c r="DU234" s="19"/>
      <c r="DV234" s="19"/>
      <c r="DW234" s="19"/>
      <c r="DX234" s="19"/>
      <c r="DY234" s="19"/>
      <c r="DZ234" s="19"/>
      <c r="EA234" s="19"/>
      <c r="EB234" s="19"/>
      <c r="EC234" s="19"/>
      <c r="ED234" s="19"/>
      <c r="EE234" s="19"/>
      <c r="EF234" s="19"/>
      <c r="EG234" s="19"/>
      <c r="EH234" s="19"/>
      <c r="EI234" s="19"/>
      <c r="EJ234" s="19"/>
      <c r="EK234" s="19"/>
      <c r="EL234" s="19"/>
      <c r="EM234" s="19"/>
      <c r="EN234" s="19"/>
      <c r="EO234" s="19"/>
      <c r="EP234" s="19"/>
      <c r="EQ234" s="19"/>
      <c r="ER234" s="19"/>
      <c r="ES234" s="19"/>
      <c r="ET234" s="19"/>
      <c r="EU234" s="19"/>
      <c r="EV234" s="19"/>
      <c r="EW234" s="19"/>
      <c r="EX234" s="19"/>
      <c r="EY234" s="19"/>
      <c r="EZ234" s="19"/>
      <c r="FA234" s="19"/>
      <c r="FB234" s="19"/>
      <c r="FC234" s="19"/>
      <c r="FD234" s="19"/>
      <c r="FE234" s="19"/>
      <c r="FF234" s="19"/>
      <c r="FG234" s="19"/>
      <c r="FH234" s="19"/>
      <c r="FI234" s="19"/>
    </row>
    <row r="235" spans="1:165" x14ac:dyDescent="0.25">
      <c r="A235" s="67"/>
      <c r="B235" s="67"/>
      <c r="C235" s="67"/>
      <c r="D235" s="67"/>
      <c r="E235" s="67"/>
      <c r="F235" s="67"/>
      <c r="G235" s="67"/>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43">
        <f t="shared" si="54"/>
        <v>79</v>
      </c>
      <c r="AG235" s="143">
        <f t="shared" si="53"/>
        <v>28.44</v>
      </c>
      <c r="AH235" s="144">
        <f t="shared" si="42"/>
        <v>1046.5919999999999</v>
      </c>
      <c r="AI235" s="145">
        <f t="shared" si="43"/>
        <v>0.97826086956521752</v>
      </c>
      <c r="AJ235" s="145">
        <f t="shared" si="44"/>
        <v>27.821739130434789</v>
      </c>
      <c r="AK235" s="145">
        <f t="shared" si="40"/>
        <v>0.39130434782608459</v>
      </c>
      <c r="AL235" s="145">
        <f t="shared" si="41"/>
        <v>27.821968445211635</v>
      </c>
      <c r="AM235" s="146"/>
      <c r="AN235" s="145">
        <f>MAX(0,Table7[[#This Row],[I_L]]-0.5*Table7[[#This Row],[I_L pkpk]])</f>
        <v>27.626086956521746</v>
      </c>
      <c r="AO235" s="145">
        <f>Table7[[#This Row],[I_L]]+0.5*Table7[[#This Row],[I_L pkpk]]</f>
        <v>28.017391304347832</v>
      </c>
      <c r="AP235" s="145">
        <f ca="1">IF(VACnom&gt;Vbat, (VGS_S-(TI_MOSFET_S_VTH_H_BU+Table7[[#This Row],[I_L]]/TI_MOSFET_S_gFS_H_BU))/3.4, (VGS_S-(TI_MOSFET_S_VTH_L_BO+Table7[[#This Row],[I_L]]/TI_MOSFET_S_gFS_L_BO))/3.4 )</f>
        <v>2.9517607711981113</v>
      </c>
      <c r="AQ235" s="145">
        <f ca="1">IF(VACnom&gt;Vbat, ((TI_MOSFET_S_VTH_H_BU+Table7[[#This Row],[I_L]]/TI_MOSFET_S_gFS_H_BU))/1, ((TI_MOSFET_S_VTH_L_BO+Table7[[#This Row],[I_L]]/TI_MOSFET_S_gFS_L_BO))/1 )</f>
        <v>1.9640133779264215</v>
      </c>
      <c r="AR235" s="145">
        <f ca="1">IF(VACnom&gt;Vbat, (TI_MOSFET_S_QGD_H_BU+TI_MOSFET_S_QGS_H_BU)*10^-9/Table7[[#This Row],[Ion (A)]], (TI_MOSFET_S_QGD_L_BO+TI_MOSFET_S_QGS_L_BO)*10^-9/Table7[[#This Row],[Ion (A)]])/10^-9</f>
        <v>9.7568882549754079</v>
      </c>
      <c r="AS235" s="145">
        <f ca="1">IF(VACnom&gt;Vbat, (TI_MOSFET_S_QGD_H_BU+TI_MOSFET_S_QGS_H_BU)*10^-9/Table7[[#This Row],[Ioff (A)]], (TI_MOSFET_S_QGD_L_BO+TI_MOSFET_S_QGS_L_BO)*10^-9/Table7[[#This Row],[Ioff (A)]])/10^-9</f>
        <v>14.663851236291807</v>
      </c>
      <c r="AT235" s="145">
        <f ca="1" xml:space="preserve"> 0.5*VACnom*Table7[[#This Row],[Ivalley (A)]]*Table7[[#This Row],[ton (ns)]]*10^-9*Fsw*10^3+0.5*VACnom*Table7[[#This Row],[Ipeak (A)]]*Table7[[#This Row],[toff (ns)]]*10^-9*Fsw*10^3/10^-3</f>
        <v>1512.893642154185</v>
      </c>
      <c r="AU235" s="145">
        <f t="shared" ca="1" si="45"/>
        <v>268.64000000000004</v>
      </c>
      <c r="AV235" s="145" t="e">
        <f t="shared" si="46"/>
        <v>#VALUE!</v>
      </c>
      <c r="AW235" s="145">
        <f t="shared" ca="1" si="47"/>
        <v>566.72000000000025</v>
      </c>
      <c r="AX235" s="145">
        <f ca="1">IF(VACnom&gt;Vbat, TI_MOSFET_S_VSD_L_BU*Table7[[#This Row],[Ivalley (A)]]*Fsw*10^3*40*10^-9+TI_MOSFET_S_VSD_L_BU*Table7[[#This Row],[Ipeak (A)]]*Fsw*10^3*30*10^-9, TI_MOSFET_S_VSD_H_BO*Table7[[#This Row],[Ivalley (A)]]*Fsw*10^3*40*10^-9+TI_MOSFET_S_VSD_H_BO*Table7[[#This Row],[Ipeak (A)]]*Fsw*10^3*30*10^-9)/10^-3</f>
        <v>280.16139130434794</v>
      </c>
      <c r="AY235" s="145" t="e">
        <f t="shared" si="48"/>
        <v>#VALUE!</v>
      </c>
      <c r="AZ235" s="145" t="e">
        <f>IF(VACnom&lt;Vbat, Table7[[#This Row],[Duty Cycle]]*Table7[[#This Row],[I_L RMS]]^2*TI_MOSFET_S_RDSON_H_BU*10^-3, (1-Table7[[#This Row],[Duty Cycle]])*Table7[[#This Row],[I_L RMS]]^2*TI_MOSFET_S_RDSON_H_BO*10^-3)/10^-3</f>
        <v>#VALUE!</v>
      </c>
      <c r="BA235" s="145" t="e">
        <f ca="1">IF(VACnom&gt;Vbat, Table7[[#This Row],[PIV (mW)]]+Table7[[#This Row],[Pqoss (mW)]]+Table7[[#This Row],[Pgate_top (mW)]], Table7[[#This Row],[PRR (mW)]]+Table7[[#This Row],[Pdead (mW)]]+Table7[[#This Row],[Pgate_top (mW)]])</f>
        <v>#VALUE!</v>
      </c>
      <c r="BB235" s="145" t="e">
        <f ca="1">Table7[[#This Row],[Pcon_top (mW)]]+Table7[[#This Row],[Psw_top (mW)]]</f>
        <v>#VALUE!</v>
      </c>
      <c r="BC235" s="145" t="e">
        <f>IF(VACnom&gt;Vbat, (1-Table7[[#This Row],[Duty Cycle]])*Table7[[#This Row],[I_L RMS]]^2*TI_MOSFET_S_RDSON_L_BU*10^-3, Table7[[#This Row],[Duty Cycle]]*Table7[[#This Row],[I_L RMS]]^2*TI_MOSFET_S_RDSON_L_BO*10^-3)/10^-3</f>
        <v>#VALUE!</v>
      </c>
      <c r="BD235" s="145" t="e">
        <f ca="1">IF(VACnom&gt;Vbat, Table7[[#This Row],[PRR (mW)]]+Table7[[#This Row],[Pdead (mW)]]+Table7[[#This Row],[Pgate_bottom (mW)]], Table7[[#This Row],[PIV (mW)]]+Table7[[#This Row],[Pqoss (mW)]]+Table7[[#This Row],[Pgate_bottom (mW)]])</f>
        <v>#VALUE!</v>
      </c>
      <c r="BE235" s="147" t="e">
        <f ca="1">Table7[[#This Row],[Pcon_bottom (mW)]]+Table7[[#This Row],[Psw_bottom (mW)]]</f>
        <v>#VALUE!</v>
      </c>
      <c r="BF235" s="145" t="e">
        <f ca="1">Table7[[#This Row],[Pbottom (mW)]]+Table7[[#This Row],[Ptop (mW)]]</f>
        <v>#VALUE!</v>
      </c>
      <c r="BG235" s="142"/>
      <c r="BH235" s="145">
        <f>MAX(0,Table7[[#This Row],[I_L]]-0.5*Table7[[#This Row],[I_L pkpk]])</f>
        <v>27.626086956521746</v>
      </c>
      <c r="BI235" s="145">
        <f>Table7[[#This Row],[I_L]]+0.5*Table7[[#This Row],[I_L pkpk]]</f>
        <v>28.017391304347832</v>
      </c>
      <c r="BJ235" s="145">
        <f>IF(VACnom&gt;Vbat, (VGS_S-(C_MOSFET_S_VTH_H_BU+Table7[[#This Row],[I_L]]/C_MOSFET_S_gFS_H_BU))/3.4, (VGS_S-(C_MOSFET_S_VTH_L_BO+Table7[[#This Row],[I_L]]/C_MOSFET_S_gFS_L_BO))/3.4 )</f>
        <v>2.9000463003792221</v>
      </c>
      <c r="BK235" s="145">
        <f>IF(VACnom&gt;Vbat, ((C_MOSFET_S_VTH_H_BU+Table7[[#This Row],[I_L]]/C_MOSFET_S_gFS_H_BU))/1, ((C_MOSFET_S_VTH_L_BO+Table7[[#This Row],[I_L]]/C_MOSFET_S_gFS_L_BO))/1 )</f>
        <v>2.1398425787106445</v>
      </c>
      <c r="BL235" s="145">
        <f>IF(VACnom&gt;Vbat, (C_MOSFET_S_QGD_H_BU+C_MOSFET_S_QGS_H_BU)*10^-9/Table7[[#This Row],[Ion (A) C]], (C_MOSFET_S_QGD_L_BO+C_MOSFET_S_QGS_L_BO)*10^-9/Table7[[#This Row],[Ion (A) C]])/10^-9</f>
        <v>5.3447422539333784</v>
      </c>
      <c r="BM235" s="145">
        <f>IF(VACnom&gt;Vbat, (C_MOSFET_S_QGD_H_BU+C_MOSFET_S_QGS_H_BU)*10^-9/Table7[[#This Row],[Ioff (A) C]], (C_MOSFET_S_QGD_L_BO+C_MOSFET_S_QGS_L_BO)*10^-9/Table7[[#This Row],[Ioff (A) C]])/10^-9</f>
        <v>7.2435234975740483</v>
      </c>
      <c r="BN235" s="145">
        <f xml:space="preserve"> 0.5*VACnom*Table7[[#This Row],[Ivalley (A) C]]*Table7[[#This Row],[ton (ns) C]]*10^-9*Fsw*10^3+0.5*VACnom*Table7[[#This Row],[Ipeak (A) C]]*Table7[[#This Row],[toff (ns) C]]*10^-9*Fsw*10^3/10^-3</f>
        <v>747.37961457037898</v>
      </c>
      <c r="BO235" s="145">
        <f t="shared" si="49"/>
        <v>305.44000000000011</v>
      </c>
      <c r="BP235" s="145">
        <f t="shared" si="50"/>
        <v>357.69600000000014</v>
      </c>
      <c r="BQ235" s="145">
        <f t="shared" si="51"/>
        <v>1067.2000000000003</v>
      </c>
      <c r="BR235" s="145">
        <f>IF(VACnom&gt;Vbat, C_MOSFET_S_VSD_L_BU*Table7[[#This Row],[Ivalley (A) C]]*Fsw*10^3*40*10^-9+C_MOSFET_S_VSD_L_BU*Table7[[#This Row],[Ipeak (A) C]]*Fsw*10^3*30*10^-9, C_MOSFET_S_VSD_H_BO*Table7[[#This Row],[Ivalley (A) C]]*Fsw*10^3*40*10^-9+C_MOSFET_S_VSD_H_BO*Table7[[#This Row],[Ipeak (A) C]]*Fsw*10^3*30*10^-9)/10^-3</f>
        <v>311.29043478260888</v>
      </c>
      <c r="BS235" s="145">
        <f t="shared" si="52"/>
        <v>357.69600000000014</v>
      </c>
      <c r="BT235" s="145">
        <f>IF(VACnom&lt;Vbat, Table7[[#This Row],[Duty Cycle]]*Table7[[#This Row],[I_L RMS]]^2*C_MOSFET_S_RDSON_H_BU*10^-3, (1-Table7[[#This Row],[Duty Cycle]])*Table7[[#This Row],[I_L RMS]]^2*C_MOSFET_S_RDSON_H_BO*10^-3)/10^-3</f>
        <v>43.751326374619637</v>
      </c>
      <c r="BU235" s="145">
        <f>IF(VACnom&gt;Vbat, Table7[[#This Row],[PIV (mW) C]]+Table7[[#This Row],[PQoss (mW) C]]+Table7[[#This Row],[Pgate_top (mW) C]], Table7[[#This Row],[PRR (mW) C]]+Table7[[#This Row],[Pdead (mW) C]]+Table7[[#This Row],[Pgate_top (mW) C]])</f>
        <v>1410.5156145703793</v>
      </c>
      <c r="BV235" s="145">
        <f>Table7[[#This Row],[Pcon_top (mW) C]]+Table7[[#This Row],[Psw_top (mW) C]]</f>
        <v>1454.2669409449989</v>
      </c>
      <c r="BW235" s="145">
        <f>IF(VACnom&gt;Vbat, (1-Table7[[#This Row],[Duty Cycle]])*Table7[[#This Row],[I_L RMS]]^2*C_MOSFET_S_RDSON_L_BU*10^-3, Table7[[#This Row],[Duty Cycle]]*Table7[[#This Row],[I_L RMS]]^2*C_MOSFET_S_RDSON_L_BO*10^-3)/10^-3</f>
        <v>28.60663647571284</v>
      </c>
      <c r="BX235" s="145">
        <f>IF(VACnom&gt;Vbat, Table7[[#This Row],[PRR (mW) C]]+Table7[[#This Row],[Pdead (mW) C]]+Table7[[#This Row],[Pgate_bottom (mW) C]], Table7[[#This Row],[PIV (mW) C]]+Table7[[#This Row],[PQoss (mW) C]]+Table7[[#This Row],[Pgate_bottom (mW) C]])</f>
        <v>1736.1864347826092</v>
      </c>
      <c r="BY235" s="145">
        <f>Table7[[#This Row],[Pcon_bottom (mW) C]]+Table7[[#This Row],[Psw_bottom (mV) C]]</f>
        <v>1764.793071258322</v>
      </c>
      <c r="BZ235" s="145">
        <f>Table7[[#This Row],[Pbottom (mW) C]]+Table7[[#This Row],[Ptop (mW) C]]</f>
        <v>3219.0600122033211</v>
      </c>
      <c r="CA235" s="148"/>
      <c r="CB235" s="144">
        <f>(RAC_SNS*10^-3*(Table7[[#This Row],[IOUT (A)]]*Vbat/VACnom)^2/10^-3)</f>
        <v>1548.0983364839324</v>
      </c>
      <c r="CC235" s="144">
        <f>(RBAT_SNS*10^-3*Table7[[#This Row],[IOUT (A)]]^2)/10^-3</f>
        <v>4044.1680000000001</v>
      </c>
      <c r="CD235" s="144">
        <f>IF(VACnom&gt;Vbat,(L_DRC*10^-3*(Table7[[#This Row],[IOUT (A)]])^2/10^-3),(L_DRC*10^-3*(Table7[[#This Row],[IOUT (A)]]*Vbat/VACnom)^2/10^-3))</f>
        <v>4044.1680000000001</v>
      </c>
      <c r="CE235" s="152"/>
      <c r="CF235" s="145">
        <f>(Table7[[#This Row],[R_AC (mW)]]+Table7[[#This Row],[R_SR (mW)]]+Table7[[#This Row],[Inductor Loss (mW)]])/10^3</f>
        <v>9.6364343364839335</v>
      </c>
      <c r="CG235" s="145" t="e">
        <f ca="1">Table7[[#This Row],[Total TI (mW)]]/10^3</f>
        <v>#VALUE!</v>
      </c>
      <c r="CH235" s="145" t="e">
        <f ca="1">Table7[[#This Row],[Total Sense Loss]]+Table7[[#This Row],[Total MOSFET Loss]]</f>
        <v>#VALUE!</v>
      </c>
      <c r="CI235" s="149" t="e">
        <f ca="1">IF(Table7[[#This Row],[POUT (W)]]=0,0,(Table7[[#This Row],[POUT (W)]])/(Table7[[#This Row],[POUT (W)]]+Table7[[#This Row],[Total Power Loss (W)]]))*100</f>
        <v>#VALUE!</v>
      </c>
      <c r="CJ235" s="153"/>
      <c r="CK235" s="145">
        <f>(Table7[[#This Row],[R_AC (mW)]]+Table7[[#This Row],[R_SR (mW)]]+Table7[[#This Row],[Inductor Loss (mW)]])/10^3</f>
        <v>9.6364343364839335</v>
      </c>
      <c r="CL235" s="145">
        <f>Table7[[#This Row],[Total (mW) C]]/10^3</f>
        <v>3.2190600122033213</v>
      </c>
      <c r="CM235" s="145">
        <f>Table7[[#This Row],[Total Sense Loss C]]+Table7[[#This Row],[Total MOSFET Loss C]]</f>
        <v>12.855494348687255</v>
      </c>
      <c r="CN235" s="149">
        <f>IF(Table7[[#This Row],[POUT (W)]]=0,0,(Table7[[#This Row],[POUT (W)]])/(Table7[[#This Row],[POUT (W)]]+Table7[[#This Row],[Total Power Loss (W) C]]))*100</f>
        <v>98.786585043877963</v>
      </c>
      <c r="CO235" s="153"/>
      <c r="CP235" s="149">
        <f>IF(MOSFET_S=Custom_MOSFET,Table7[[#This Row],[Total Sense Loss C]],Table7[[#This Row],[Total Sense Loss]])</f>
        <v>9.6364343364839335</v>
      </c>
      <c r="CQ235" s="149">
        <f>IF(MOSFET_S=Custom_MOSFET,Table7[[#This Row],[Total MOSFET Loss C]],Table7[[#This Row],[Total MOSFET Loss]])</f>
        <v>3.2190600122033213</v>
      </c>
      <c r="CR235" s="149">
        <f>IF(MOSFET_S=Custom_MOSFET,Table7[[#This Row],[Efficiency C]],Table7[[#This Row],[Efficiency]])</f>
        <v>98.786585043877963</v>
      </c>
      <c r="CS235" s="153"/>
      <c r="CT235" s="149">
        <f>IF(MOSFET_S=Compare_MOSFET, Table7[[#This Row],[Total Sense Loss C]], -100)</f>
        <v>-100</v>
      </c>
      <c r="CU235" s="149">
        <f>IF(MOSFET_S=Compare_MOSFET, Table7[[#This Row],[Total MOSFET Loss C]], -100)</f>
        <v>-100</v>
      </c>
      <c r="CV235" s="149">
        <f>IF(MOSFET_S=Compare_MOSFET, Table7[[#This Row],[Efficiency C]], -100)</f>
        <v>-100</v>
      </c>
      <c r="CW235" s="153"/>
      <c r="CX235" s="149">
        <f ca="1">IF(Save_Sel=CLR_Save,  Table7[[#This Row],[Total Sense Loss P1]], Table7[[#This Row],[Total Sense Loss P1 Saved]])</f>
        <v>9.6364343364839335</v>
      </c>
      <c r="CY235" s="149">
        <f ca="1">IF(Save_Sel=CLR_Save,  Table7[[#This Row],[Total MOSFET Loss P1]], Table7[[#This Row],[Total MOSFET Loss P1 Saved]] )</f>
        <v>3.2190600122033213</v>
      </c>
      <c r="CZ235" s="149">
        <f ca="1">IF(Save_Sel=CLR_Save, Table7[[#This Row],[Efficiency P1]], Table7[[#This Row],[Efficiency P1 Saved]])</f>
        <v>98.786585043877963</v>
      </c>
      <c r="DA235" s="153"/>
      <c r="DB235" s="149">
        <f ca="1">IF(Save_Sel=CLR_Save,  Table7[[#This Row],[Total Sense Loss P2]], Table7[[#This Row],[Total Sense Loss P2 Saved]])</f>
        <v>-100</v>
      </c>
      <c r="DC235" s="149">
        <f ca="1">IF(Save_Sel=CLR_Save,  Table7[[#This Row],[Total MOSFET Loss P2]], Table7[[#This Row],[Total MOSFET Loss P2 Saved]] )</f>
        <v>-100</v>
      </c>
      <c r="DD235" s="149">
        <f ca="1">IF(Save_Sel=CLR_Save, Table7[[#This Row],[Efficiency P2]], Table7[[#This Row],[Efficiency P2 Saved]])</f>
        <v>-100</v>
      </c>
      <c r="DE235" s="153"/>
      <c r="DF235" s="19"/>
      <c r="DG235" s="19"/>
      <c r="DH235" s="19"/>
      <c r="DI235" s="19"/>
      <c r="DJ235" s="19"/>
      <c r="DK235" s="19"/>
      <c r="DL235" s="19"/>
      <c r="DM235" s="19"/>
      <c r="DN235" s="19"/>
      <c r="DO235" s="19"/>
      <c r="DP235" s="19"/>
      <c r="DQ235" s="19"/>
      <c r="DR235" s="19"/>
      <c r="DS235" s="19"/>
      <c r="DT235" s="19"/>
      <c r="DU235" s="19"/>
      <c r="DV235" s="19"/>
      <c r="DW235" s="19"/>
      <c r="DX235" s="19"/>
      <c r="DY235" s="19"/>
      <c r="DZ235" s="19"/>
      <c r="EA235" s="19"/>
      <c r="EB235" s="19"/>
      <c r="EC235" s="19"/>
      <c r="ED235" s="19"/>
      <c r="EE235" s="19"/>
      <c r="EF235" s="19"/>
      <c r="EG235" s="19"/>
      <c r="EH235" s="19"/>
      <c r="EI235" s="19"/>
      <c r="EJ235" s="19"/>
      <c r="EK235" s="19"/>
      <c r="EL235" s="19"/>
      <c r="EM235" s="19"/>
      <c r="EN235" s="19"/>
      <c r="EO235" s="19"/>
      <c r="EP235" s="19"/>
      <c r="EQ235" s="19"/>
      <c r="ER235" s="19"/>
      <c r="ES235" s="19"/>
      <c r="ET235" s="19"/>
      <c r="EU235" s="19"/>
      <c r="EV235" s="19"/>
      <c r="EW235" s="19"/>
      <c r="EX235" s="19"/>
      <c r="EY235" s="19"/>
      <c r="EZ235" s="19"/>
      <c r="FA235" s="19"/>
      <c r="FB235" s="19"/>
      <c r="FC235" s="19"/>
      <c r="FD235" s="19"/>
      <c r="FE235" s="19"/>
      <c r="FF235" s="19"/>
      <c r="FG235" s="19"/>
      <c r="FH235" s="19"/>
      <c r="FI235" s="19"/>
    </row>
    <row r="236" spans="1:165" x14ac:dyDescent="0.25">
      <c r="A236" s="67"/>
      <c r="B236" s="67"/>
      <c r="C236" s="67"/>
      <c r="D236" s="67"/>
      <c r="E236" s="67"/>
      <c r="F236" s="67"/>
      <c r="G236" s="67"/>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43">
        <f t="shared" si="54"/>
        <v>80</v>
      </c>
      <c r="AG236" s="143">
        <f t="shared" si="53"/>
        <v>28.8</v>
      </c>
      <c r="AH236" s="144">
        <f t="shared" si="42"/>
        <v>1059.8399999999999</v>
      </c>
      <c r="AI236" s="145">
        <f t="shared" si="43"/>
        <v>0.97826086956521752</v>
      </c>
      <c r="AJ236" s="145">
        <f t="shared" si="44"/>
        <v>28.173913043478265</v>
      </c>
      <c r="AK236" s="145">
        <f t="shared" si="40"/>
        <v>0.39130434782608459</v>
      </c>
      <c r="AL236" s="145">
        <f t="shared" si="41"/>
        <v>28.174139491843587</v>
      </c>
      <c r="AM236" s="146"/>
      <c r="AN236" s="145">
        <f>MAX(0,Table7[[#This Row],[I_L]]-0.5*Table7[[#This Row],[I_L pkpk]])</f>
        <v>27.978260869565222</v>
      </c>
      <c r="AO236" s="145">
        <f>Table7[[#This Row],[I_L]]+0.5*Table7[[#This Row],[I_L pkpk]]</f>
        <v>28.369565217391308</v>
      </c>
      <c r="AP236" s="145">
        <f ca="1">IF(VACnom&gt;Vbat, (VGS_S-(TI_MOSFET_S_VTH_H_BU+Table7[[#This Row],[I_L]]/TI_MOSFET_S_gFS_H_BU))/3.4, (VGS_S-(TI_MOSFET_S_VTH_L_BO+Table7[[#This Row],[I_L]]/TI_MOSFET_S_gFS_L_BO))/3.4 )</f>
        <v>2.9509639976391893</v>
      </c>
      <c r="AQ236" s="145">
        <f ca="1">IF(VACnom&gt;Vbat, ((TI_MOSFET_S_VTH_H_BU+Table7[[#This Row],[I_L]]/TI_MOSFET_S_gFS_H_BU))/1, ((TI_MOSFET_S_VTH_L_BO+Table7[[#This Row],[I_L]]/TI_MOSFET_S_gFS_L_BO))/1 )</f>
        <v>1.9667224080267558</v>
      </c>
      <c r="AR236" s="145">
        <f ca="1">IF(VACnom&gt;Vbat, (TI_MOSFET_S_QGD_H_BU+TI_MOSFET_S_QGS_H_BU)*10^-9/Table7[[#This Row],[Ion (A)]], (TI_MOSFET_S_QGD_L_BO+TI_MOSFET_S_QGS_L_BO)*10^-9/Table7[[#This Row],[Ion (A)]])/10^-9</f>
        <v>9.7595226587109796</v>
      </c>
      <c r="AS236" s="145">
        <f ca="1">IF(VACnom&gt;Vbat, (TI_MOSFET_S_QGD_H_BU+TI_MOSFET_S_QGS_H_BU)*10^-9/Table7[[#This Row],[Ioff (A)]], (TI_MOSFET_S_QGD_L_BO+TI_MOSFET_S_QGS_L_BO)*10^-9/Table7[[#This Row],[Ioff (A)]])/10^-9</f>
        <v>14.643652750616445</v>
      </c>
      <c r="AT236" s="145">
        <f ca="1" xml:space="preserve"> 0.5*VACnom*Table7[[#This Row],[Ivalley (A)]]*Table7[[#This Row],[ton (ns)]]*10^-9*Fsw*10^3+0.5*VACnom*Table7[[#This Row],[Ipeak (A)]]*Table7[[#This Row],[toff (ns)]]*10^-9*Fsw*10^3/10^-3</f>
        <v>1529.8021876172984</v>
      </c>
      <c r="AU236" s="145">
        <f t="shared" ca="1" si="45"/>
        <v>268.64000000000004</v>
      </c>
      <c r="AV236" s="145" t="e">
        <f t="shared" si="46"/>
        <v>#VALUE!</v>
      </c>
      <c r="AW236" s="145">
        <f t="shared" ca="1" si="47"/>
        <v>566.72000000000025</v>
      </c>
      <c r="AX236" s="145">
        <f ca="1">IF(VACnom&gt;Vbat, TI_MOSFET_S_VSD_L_BU*Table7[[#This Row],[Ivalley (A)]]*Fsw*10^3*40*10^-9+TI_MOSFET_S_VSD_L_BU*Table7[[#This Row],[Ipeak (A)]]*Fsw*10^3*30*10^-9, TI_MOSFET_S_VSD_H_BO*Table7[[#This Row],[Ivalley (A)]]*Fsw*10^3*40*10^-9+TI_MOSFET_S_VSD_H_BO*Table7[[#This Row],[Ipeak (A)]]*Fsw*10^3*30*10^-9)/10^-3</f>
        <v>283.71130434782623</v>
      </c>
      <c r="AY236" s="145" t="e">
        <f t="shared" si="48"/>
        <v>#VALUE!</v>
      </c>
      <c r="AZ236" s="145" t="e">
        <f>IF(VACnom&lt;Vbat, Table7[[#This Row],[Duty Cycle]]*Table7[[#This Row],[I_L RMS]]^2*TI_MOSFET_S_RDSON_H_BU*10^-3, (1-Table7[[#This Row],[Duty Cycle]])*Table7[[#This Row],[I_L RMS]]^2*TI_MOSFET_S_RDSON_H_BO*10^-3)/10^-3</f>
        <v>#VALUE!</v>
      </c>
      <c r="BA236" s="145" t="e">
        <f ca="1">IF(VACnom&gt;Vbat, Table7[[#This Row],[PIV (mW)]]+Table7[[#This Row],[Pqoss (mW)]]+Table7[[#This Row],[Pgate_top (mW)]], Table7[[#This Row],[PRR (mW)]]+Table7[[#This Row],[Pdead (mW)]]+Table7[[#This Row],[Pgate_top (mW)]])</f>
        <v>#VALUE!</v>
      </c>
      <c r="BB236" s="145" t="e">
        <f ca="1">Table7[[#This Row],[Pcon_top (mW)]]+Table7[[#This Row],[Psw_top (mW)]]</f>
        <v>#VALUE!</v>
      </c>
      <c r="BC236" s="145" t="e">
        <f>IF(VACnom&gt;Vbat, (1-Table7[[#This Row],[Duty Cycle]])*Table7[[#This Row],[I_L RMS]]^2*TI_MOSFET_S_RDSON_L_BU*10^-3, Table7[[#This Row],[Duty Cycle]]*Table7[[#This Row],[I_L RMS]]^2*TI_MOSFET_S_RDSON_L_BO*10^-3)/10^-3</f>
        <v>#VALUE!</v>
      </c>
      <c r="BD236" s="145" t="e">
        <f ca="1">IF(VACnom&gt;Vbat, Table7[[#This Row],[PRR (mW)]]+Table7[[#This Row],[Pdead (mW)]]+Table7[[#This Row],[Pgate_bottom (mW)]], Table7[[#This Row],[PIV (mW)]]+Table7[[#This Row],[Pqoss (mW)]]+Table7[[#This Row],[Pgate_bottom (mW)]])</f>
        <v>#VALUE!</v>
      </c>
      <c r="BE236" s="147" t="e">
        <f ca="1">Table7[[#This Row],[Pcon_bottom (mW)]]+Table7[[#This Row],[Psw_bottom (mW)]]</f>
        <v>#VALUE!</v>
      </c>
      <c r="BF236" s="145" t="e">
        <f ca="1">Table7[[#This Row],[Pbottom (mW)]]+Table7[[#This Row],[Ptop (mW)]]</f>
        <v>#VALUE!</v>
      </c>
      <c r="BG236" s="142"/>
      <c r="BH236" s="145">
        <f>MAX(0,Table7[[#This Row],[I_L]]-0.5*Table7[[#This Row],[I_L pkpk]])</f>
        <v>27.978260869565222</v>
      </c>
      <c r="BI236" s="145">
        <f>Table7[[#This Row],[I_L]]+0.5*Table7[[#This Row],[I_L pkpk]]</f>
        <v>28.369565217391308</v>
      </c>
      <c r="BJ236" s="145">
        <f>IF(VACnom&gt;Vbat, (VGS_S-(C_MOSFET_S_VTH_H_BU+Table7[[#This Row],[I_L]]/C_MOSFET_S_gFS_H_BU))/3.4, (VGS_S-(C_MOSFET_S_VTH_L_BO+Table7[[#This Row],[I_L]]/C_MOSFET_S_gFS_L_BO))/3.4 )</f>
        <v>2.8991533644942233</v>
      </c>
      <c r="BK236" s="145">
        <f>IF(VACnom&gt;Vbat, ((C_MOSFET_S_VTH_H_BU+Table7[[#This Row],[I_L]]/C_MOSFET_S_gFS_H_BU))/1, ((C_MOSFET_S_VTH_L_BO+Table7[[#This Row],[I_L]]/C_MOSFET_S_gFS_L_BO))/1 )</f>
        <v>2.1428785607196401</v>
      </c>
      <c r="BL236" s="145">
        <f>IF(VACnom&gt;Vbat, (C_MOSFET_S_QGD_H_BU+C_MOSFET_S_QGS_H_BU)*10^-9/Table7[[#This Row],[Ion (A) C]], (C_MOSFET_S_QGD_L_BO+C_MOSFET_S_QGS_L_BO)*10^-9/Table7[[#This Row],[Ion (A) C]])/10^-9</f>
        <v>5.3463884283693552</v>
      </c>
      <c r="BM236" s="145">
        <f>IF(VACnom&gt;Vbat, (C_MOSFET_S_QGD_H_BU+C_MOSFET_S_QGS_H_BU)*10^-9/Table7[[#This Row],[Ioff (A) C]], (C_MOSFET_S_QGD_L_BO+C_MOSFET_S_QGS_L_BO)*10^-9/Table7[[#This Row],[Ioff (A) C]])/10^-9</f>
        <v>7.2332610368711956</v>
      </c>
      <c r="BN236" s="145">
        <f xml:space="preserve"> 0.5*VACnom*Table7[[#This Row],[Ivalley (A) C]]*Table7[[#This Row],[ton (ns) C]]*10^-9*Fsw*10^3+0.5*VACnom*Table7[[#This Row],[Ipeak (A) C]]*Table7[[#This Row],[toff (ns) C]]*10^-9*Fsw*10^3/10^-3</f>
        <v>755.70291640193796</v>
      </c>
      <c r="BO236" s="145">
        <f t="shared" si="49"/>
        <v>305.44000000000011</v>
      </c>
      <c r="BP236" s="145">
        <f t="shared" si="50"/>
        <v>357.69600000000014</v>
      </c>
      <c r="BQ236" s="145">
        <f t="shared" si="51"/>
        <v>1067.2000000000003</v>
      </c>
      <c r="BR236" s="145">
        <f>IF(VACnom&gt;Vbat, C_MOSFET_S_VSD_L_BU*Table7[[#This Row],[Ivalley (A) C]]*Fsw*10^3*40*10^-9+C_MOSFET_S_VSD_L_BU*Table7[[#This Row],[Ipeak (A) C]]*Fsw*10^3*30*10^-9, C_MOSFET_S_VSD_H_BO*Table7[[#This Row],[Ivalley (A) C]]*Fsw*10^3*40*10^-9+C_MOSFET_S_VSD_H_BO*Table7[[#This Row],[Ipeak (A) C]]*Fsw*10^3*30*10^-9)/10^-3</f>
        <v>315.23478260869587</v>
      </c>
      <c r="BS236" s="145">
        <f t="shared" si="52"/>
        <v>357.69600000000014</v>
      </c>
      <c r="BT236" s="145">
        <f>IF(VACnom&lt;Vbat, Table7[[#This Row],[Duty Cycle]]*Table7[[#This Row],[I_L RMS]]^2*C_MOSFET_S_RDSON_H_BU*10^-3, (1-Table7[[#This Row],[Duty Cycle]])*Table7[[#This Row],[I_L RMS]]^2*C_MOSFET_S_RDSON_H_BO*10^-3)/10^-3</f>
        <v>44.865946823374465</v>
      </c>
      <c r="BU236" s="145">
        <f>IF(VACnom&gt;Vbat, Table7[[#This Row],[PIV (mW) C]]+Table7[[#This Row],[PQoss (mW) C]]+Table7[[#This Row],[Pgate_top (mW) C]], Table7[[#This Row],[PRR (mW) C]]+Table7[[#This Row],[Pdead (mW) C]]+Table7[[#This Row],[Pgate_top (mW) C]])</f>
        <v>1418.8389164019381</v>
      </c>
      <c r="BV236" s="145">
        <f>Table7[[#This Row],[Pcon_top (mW) C]]+Table7[[#This Row],[Psw_top (mW) C]]</f>
        <v>1463.7048632253127</v>
      </c>
      <c r="BW236" s="145">
        <f>IF(VACnom&gt;Vbat, (1-Table7[[#This Row],[Duty Cycle]])*Table7[[#This Row],[I_L RMS]]^2*C_MOSFET_S_RDSON_L_BU*10^-3, Table7[[#This Row],[Duty Cycle]]*Table7[[#This Row],[I_L RMS]]^2*C_MOSFET_S_RDSON_L_BO*10^-3)/10^-3</f>
        <v>29.335426769129455</v>
      </c>
      <c r="BX236" s="145">
        <f>IF(VACnom&gt;Vbat, Table7[[#This Row],[PRR (mW) C]]+Table7[[#This Row],[Pdead (mW) C]]+Table7[[#This Row],[Pgate_bottom (mW) C]], Table7[[#This Row],[PIV (mW) C]]+Table7[[#This Row],[PQoss (mW) C]]+Table7[[#This Row],[Pgate_bottom (mW) C]])</f>
        <v>1740.1307826086963</v>
      </c>
      <c r="BY236" s="145">
        <f>Table7[[#This Row],[Pcon_bottom (mW) C]]+Table7[[#This Row],[Psw_bottom (mV) C]]</f>
        <v>1769.4662093778259</v>
      </c>
      <c r="BZ236" s="145">
        <f>Table7[[#This Row],[Pbottom (mW) C]]+Table7[[#This Row],[Ptop (mW) C]]</f>
        <v>3233.1710726031388</v>
      </c>
      <c r="CA236" s="148"/>
      <c r="CB236" s="144">
        <f>(RAC_SNS*10^-3*(Table7[[#This Row],[IOUT (A)]]*Vbat/VACnom)^2/10^-3)</f>
        <v>1587.538752362949</v>
      </c>
      <c r="CC236" s="144">
        <f>(RBAT_SNS*10^-3*Table7[[#This Row],[IOUT (A)]]^2)/10^-3</f>
        <v>4147.2000000000007</v>
      </c>
      <c r="CD236" s="144">
        <f>IF(VACnom&gt;Vbat,(L_DRC*10^-3*(Table7[[#This Row],[IOUT (A)]])^2/10^-3),(L_DRC*10^-3*(Table7[[#This Row],[IOUT (A)]]*Vbat/VACnom)^2/10^-3))</f>
        <v>4147.2000000000007</v>
      </c>
      <c r="CE236" s="152"/>
      <c r="CF236" s="145">
        <f>(Table7[[#This Row],[R_AC (mW)]]+Table7[[#This Row],[R_SR (mW)]]+Table7[[#This Row],[Inductor Loss (mW)]])/10^3</f>
        <v>9.8819387523629505</v>
      </c>
      <c r="CG236" s="145" t="e">
        <f ca="1">Table7[[#This Row],[Total TI (mW)]]/10^3</f>
        <v>#VALUE!</v>
      </c>
      <c r="CH236" s="145" t="e">
        <f ca="1">Table7[[#This Row],[Total Sense Loss]]+Table7[[#This Row],[Total MOSFET Loss]]</f>
        <v>#VALUE!</v>
      </c>
      <c r="CI236" s="149" t="e">
        <f ca="1">IF(Table7[[#This Row],[POUT (W)]]=0,0,(Table7[[#This Row],[POUT (W)]])/(Table7[[#This Row],[POUT (W)]]+Table7[[#This Row],[Total Power Loss (W)]]))*100</f>
        <v>#VALUE!</v>
      </c>
      <c r="CJ236" s="153"/>
      <c r="CK236" s="145">
        <f>(Table7[[#This Row],[R_AC (mW)]]+Table7[[#This Row],[R_SR (mW)]]+Table7[[#This Row],[Inductor Loss (mW)]])/10^3</f>
        <v>9.8819387523629505</v>
      </c>
      <c r="CL236" s="145">
        <f>Table7[[#This Row],[Total (mW) C]]/10^3</f>
        <v>3.2331710726031386</v>
      </c>
      <c r="CM236" s="145">
        <f>Table7[[#This Row],[Total Sense Loss C]]+Table7[[#This Row],[Total MOSFET Loss C]]</f>
        <v>13.115109824966089</v>
      </c>
      <c r="CN236" s="149">
        <f>IF(Table7[[#This Row],[POUT (W)]]=0,0,(Table7[[#This Row],[POUT (W)]])/(Table7[[#This Row],[POUT (W)]]+Table7[[#This Row],[Total Power Loss (W) C]]))*100</f>
        <v>98.777664628755474</v>
      </c>
      <c r="CO236" s="153"/>
      <c r="CP236" s="149">
        <f>IF(MOSFET_S=Custom_MOSFET,Table7[[#This Row],[Total Sense Loss C]],Table7[[#This Row],[Total Sense Loss]])</f>
        <v>9.8819387523629505</v>
      </c>
      <c r="CQ236" s="149">
        <f>IF(MOSFET_S=Custom_MOSFET,Table7[[#This Row],[Total MOSFET Loss C]],Table7[[#This Row],[Total MOSFET Loss]])</f>
        <v>3.2331710726031386</v>
      </c>
      <c r="CR236" s="149">
        <f>IF(MOSFET_S=Custom_MOSFET,Table7[[#This Row],[Efficiency C]],Table7[[#This Row],[Efficiency]])</f>
        <v>98.777664628755474</v>
      </c>
      <c r="CS236" s="153"/>
      <c r="CT236" s="149">
        <f>IF(MOSFET_S=Compare_MOSFET, Table7[[#This Row],[Total Sense Loss C]], -100)</f>
        <v>-100</v>
      </c>
      <c r="CU236" s="149">
        <f>IF(MOSFET_S=Compare_MOSFET, Table7[[#This Row],[Total MOSFET Loss C]], -100)</f>
        <v>-100</v>
      </c>
      <c r="CV236" s="149">
        <f>IF(MOSFET_S=Compare_MOSFET, Table7[[#This Row],[Efficiency C]], -100)</f>
        <v>-100</v>
      </c>
      <c r="CW236" s="153"/>
      <c r="CX236" s="149">
        <f ca="1">IF(Save_Sel=CLR_Save,  Table7[[#This Row],[Total Sense Loss P1]], Table7[[#This Row],[Total Sense Loss P1 Saved]])</f>
        <v>9.8819387523629505</v>
      </c>
      <c r="CY236" s="149">
        <f ca="1">IF(Save_Sel=CLR_Save,  Table7[[#This Row],[Total MOSFET Loss P1]], Table7[[#This Row],[Total MOSFET Loss P1 Saved]] )</f>
        <v>3.2331710726031386</v>
      </c>
      <c r="CZ236" s="149">
        <f ca="1">IF(Save_Sel=CLR_Save, Table7[[#This Row],[Efficiency P1]], Table7[[#This Row],[Efficiency P1 Saved]])</f>
        <v>98.777664628755474</v>
      </c>
      <c r="DA236" s="153"/>
      <c r="DB236" s="149">
        <f ca="1">IF(Save_Sel=CLR_Save,  Table7[[#This Row],[Total Sense Loss P2]], Table7[[#This Row],[Total Sense Loss P2 Saved]])</f>
        <v>-100</v>
      </c>
      <c r="DC236" s="149">
        <f ca="1">IF(Save_Sel=CLR_Save,  Table7[[#This Row],[Total MOSFET Loss P2]], Table7[[#This Row],[Total MOSFET Loss P2 Saved]] )</f>
        <v>-100</v>
      </c>
      <c r="DD236" s="149">
        <f ca="1">IF(Save_Sel=CLR_Save, Table7[[#This Row],[Efficiency P2]], Table7[[#This Row],[Efficiency P2 Saved]])</f>
        <v>-100</v>
      </c>
      <c r="DE236" s="153"/>
      <c r="DF236" s="19"/>
      <c r="DG236" s="19"/>
      <c r="DH236" s="19"/>
      <c r="DI236" s="19"/>
      <c r="DJ236" s="19"/>
      <c r="DK236" s="19"/>
      <c r="DL236" s="19"/>
      <c r="DM236" s="19"/>
      <c r="DN236" s="19"/>
      <c r="DO236" s="19"/>
      <c r="DP236" s="19"/>
      <c r="DQ236" s="19"/>
      <c r="DR236" s="19"/>
      <c r="DS236" s="19"/>
      <c r="DT236" s="19"/>
      <c r="DU236" s="19"/>
      <c r="DV236" s="19"/>
      <c r="DW236" s="19"/>
      <c r="DX236" s="19"/>
      <c r="DY236" s="19"/>
      <c r="DZ236" s="19"/>
      <c r="EA236" s="19"/>
      <c r="EB236" s="19"/>
      <c r="EC236" s="19"/>
      <c r="ED236" s="19"/>
      <c r="EE236" s="19"/>
      <c r="EF236" s="19"/>
      <c r="EG236" s="19"/>
      <c r="EH236" s="19"/>
      <c r="EI236" s="19"/>
      <c r="EJ236" s="19"/>
      <c r="EK236" s="19"/>
      <c r="EL236" s="19"/>
      <c r="EM236" s="19"/>
      <c r="EN236" s="19"/>
      <c r="EO236" s="19"/>
      <c r="EP236" s="19"/>
      <c r="EQ236" s="19"/>
      <c r="ER236" s="19"/>
      <c r="ES236" s="19"/>
      <c r="ET236" s="19"/>
      <c r="EU236" s="19"/>
      <c r="EV236" s="19"/>
      <c r="EW236" s="19"/>
      <c r="EX236" s="19"/>
      <c r="EY236" s="19"/>
      <c r="EZ236" s="19"/>
      <c r="FA236" s="19"/>
      <c r="FB236" s="19"/>
      <c r="FC236" s="19"/>
      <c r="FD236" s="19"/>
      <c r="FE236" s="19"/>
      <c r="FF236" s="19"/>
      <c r="FG236" s="19"/>
      <c r="FH236" s="19"/>
      <c r="FI236" s="19"/>
    </row>
    <row r="237" spans="1:165" x14ac:dyDescent="0.25">
      <c r="A237" s="67"/>
      <c r="B237" s="67"/>
      <c r="C237" s="67"/>
      <c r="D237" s="67"/>
      <c r="E237" s="67"/>
      <c r="F237" s="67"/>
      <c r="G237" s="67"/>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43">
        <f t="shared" si="54"/>
        <v>81</v>
      </c>
      <c r="AG237" s="143">
        <f t="shared" si="53"/>
        <v>29.16</v>
      </c>
      <c r="AH237" s="144">
        <f t="shared" si="42"/>
        <v>1073.088</v>
      </c>
      <c r="AI237" s="145">
        <f t="shared" si="43"/>
        <v>0.97826086956521752</v>
      </c>
      <c r="AJ237" s="145">
        <f t="shared" si="44"/>
        <v>28.526086956521741</v>
      </c>
      <c r="AK237" s="145">
        <f t="shared" si="40"/>
        <v>0.39130434782608459</v>
      </c>
      <c r="AL237" s="145">
        <f t="shared" si="41"/>
        <v>28.526310609250285</v>
      </c>
      <c r="AM237" s="146"/>
      <c r="AN237" s="145">
        <f>MAX(0,Table7[[#This Row],[I_L]]-0.5*Table7[[#This Row],[I_L pkpk]])</f>
        <v>28.330434782608698</v>
      </c>
      <c r="AO237" s="145">
        <f>Table7[[#This Row],[I_L]]+0.5*Table7[[#This Row],[I_L pkpk]]</f>
        <v>28.721739130434784</v>
      </c>
      <c r="AP237" s="145">
        <f ca="1">IF(VACnom&gt;Vbat, (VGS_S-(TI_MOSFET_S_VTH_H_BU+Table7[[#This Row],[I_L]]/TI_MOSFET_S_gFS_H_BU))/3.4, (VGS_S-(TI_MOSFET_S_VTH_L_BO+Table7[[#This Row],[I_L]]/TI_MOSFET_S_gFS_L_BO))/3.4 )</f>
        <v>2.9501672240802677</v>
      </c>
      <c r="AQ237" s="145">
        <f ca="1">IF(VACnom&gt;Vbat, ((TI_MOSFET_S_VTH_H_BU+Table7[[#This Row],[I_L]]/TI_MOSFET_S_gFS_H_BU))/1, ((TI_MOSFET_S_VTH_L_BO+Table7[[#This Row],[I_L]]/TI_MOSFET_S_gFS_L_BO))/1 )</f>
        <v>1.9694314381270903</v>
      </c>
      <c r="AR237" s="145">
        <f ca="1">IF(VACnom&gt;Vbat, (TI_MOSFET_S_QGD_H_BU+TI_MOSFET_S_QGS_H_BU)*10^-9/Table7[[#This Row],[Ion (A)]], (TI_MOSFET_S_QGD_L_BO+TI_MOSFET_S_QGS_L_BO)*10^-9/Table7[[#This Row],[Ion (A)]])/10^-9</f>
        <v>9.7621584854324919</v>
      </c>
      <c r="AS237" s="145">
        <f ca="1">IF(VACnom&gt;Vbat, (TI_MOSFET_S_QGD_H_BU+TI_MOSFET_S_QGS_H_BU)*10^-9/Table7[[#This Row],[Ioff (A)]], (TI_MOSFET_S_QGD_L_BO+TI_MOSFET_S_QGS_L_BO)*10^-9/Table7[[#This Row],[Ioff (A)]])/10^-9</f>
        <v>14.623509832557824</v>
      </c>
      <c r="AT237" s="145">
        <f ca="1" xml:space="preserve"> 0.5*VACnom*Table7[[#This Row],[Ivalley (A)]]*Table7[[#This Row],[ton (ns)]]*10^-9*Fsw*10^3+0.5*VACnom*Table7[[#This Row],[Ipeak (A)]]*Table7[[#This Row],[toff (ns)]]*10^-9*Fsw*10^3/10^-3</f>
        <v>1546.6642588570894</v>
      </c>
      <c r="AU237" s="145">
        <f t="shared" ca="1" si="45"/>
        <v>268.64000000000004</v>
      </c>
      <c r="AV237" s="145" t="e">
        <f t="shared" si="46"/>
        <v>#VALUE!</v>
      </c>
      <c r="AW237" s="145">
        <f t="shared" ca="1" si="47"/>
        <v>566.72000000000025</v>
      </c>
      <c r="AX237" s="145">
        <f ca="1">IF(VACnom&gt;Vbat, TI_MOSFET_S_VSD_L_BU*Table7[[#This Row],[Ivalley (A)]]*Fsw*10^3*40*10^-9+TI_MOSFET_S_VSD_L_BU*Table7[[#This Row],[Ipeak (A)]]*Fsw*10^3*30*10^-9, TI_MOSFET_S_VSD_H_BO*Table7[[#This Row],[Ivalley (A)]]*Fsw*10^3*40*10^-9+TI_MOSFET_S_VSD_H_BO*Table7[[#This Row],[Ipeak (A)]]*Fsw*10^3*30*10^-9)/10^-3</f>
        <v>287.26121739130451</v>
      </c>
      <c r="AY237" s="145" t="e">
        <f t="shared" si="48"/>
        <v>#VALUE!</v>
      </c>
      <c r="AZ237" s="145" t="e">
        <f>IF(VACnom&lt;Vbat, Table7[[#This Row],[Duty Cycle]]*Table7[[#This Row],[I_L RMS]]^2*TI_MOSFET_S_RDSON_H_BU*10^-3, (1-Table7[[#This Row],[Duty Cycle]])*Table7[[#This Row],[I_L RMS]]^2*TI_MOSFET_S_RDSON_H_BO*10^-3)/10^-3</f>
        <v>#VALUE!</v>
      </c>
      <c r="BA237" s="145" t="e">
        <f ca="1">IF(VACnom&gt;Vbat, Table7[[#This Row],[PIV (mW)]]+Table7[[#This Row],[Pqoss (mW)]]+Table7[[#This Row],[Pgate_top (mW)]], Table7[[#This Row],[PRR (mW)]]+Table7[[#This Row],[Pdead (mW)]]+Table7[[#This Row],[Pgate_top (mW)]])</f>
        <v>#VALUE!</v>
      </c>
      <c r="BB237" s="145" t="e">
        <f ca="1">Table7[[#This Row],[Pcon_top (mW)]]+Table7[[#This Row],[Psw_top (mW)]]</f>
        <v>#VALUE!</v>
      </c>
      <c r="BC237" s="145" t="e">
        <f>IF(VACnom&gt;Vbat, (1-Table7[[#This Row],[Duty Cycle]])*Table7[[#This Row],[I_L RMS]]^2*TI_MOSFET_S_RDSON_L_BU*10^-3, Table7[[#This Row],[Duty Cycle]]*Table7[[#This Row],[I_L RMS]]^2*TI_MOSFET_S_RDSON_L_BO*10^-3)/10^-3</f>
        <v>#VALUE!</v>
      </c>
      <c r="BD237" s="145" t="e">
        <f ca="1">IF(VACnom&gt;Vbat, Table7[[#This Row],[PRR (mW)]]+Table7[[#This Row],[Pdead (mW)]]+Table7[[#This Row],[Pgate_bottom (mW)]], Table7[[#This Row],[PIV (mW)]]+Table7[[#This Row],[Pqoss (mW)]]+Table7[[#This Row],[Pgate_bottom (mW)]])</f>
        <v>#VALUE!</v>
      </c>
      <c r="BE237" s="147" t="e">
        <f ca="1">Table7[[#This Row],[Pcon_bottom (mW)]]+Table7[[#This Row],[Psw_bottom (mW)]]</f>
        <v>#VALUE!</v>
      </c>
      <c r="BF237" s="145" t="e">
        <f ca="1">Table7[[#This Row],[Pbottom (mW)]]+Table7[[#This Row],[Ptop (mW)]]</f>
        <v>#VALUE!</v>
      </c>
      <c r="BG237" s="142"/>
      <c r="BH237" s="145">
        <f>MAX(0,Table7[[#This Row],[I_L]]-0.5*Table7[[#This Row],[I_L pkpk]])</f>
        <v>28.330434782608698</v>
      </c>
      <c r="BI237" s="145">
        <f>Table7[[#This Row],[I_L]]+0.5*Table7[[#This Row],[I_L pkpk]]</f>
        <v>28.721739130434784</v>
      </c>
      <c r="BJ237" s="145">
        <f>IF(VACnom&gt;Vbat, (VGS_S-(C_MOSFET_S_VTH_H_BU+Table7[[#This Row],[I_L]]/C_MOSFET_S_gFS_H_BU))/3.4, (VGS_S-(C_MOSFET_S_VTH_L_BO+Table7[[#This Row],[I_L]]/C_MOSFET_S_gFS_L_BO))/3.4 )</f>
        <v>2.8982604286092246</v>
      </c>
      <c r="BK237" s="145">
        <f>IF(VACnom&gt;Vbat, ((C_MOSFET_S_VTH_H_BU+Table7[[#This Row],[I_L]]/C_MOSFET_S_gFS_H_BU))/1, ((C_MOSFET_S_VTH_L_BO+Table7[[#This Row],[I_L]]/C_MOSFET_S_gFS_L_BO))/1 )</f>
        <v>2.1459145427286357</v>
      </c>
      <c r="BL237" s="145">
        <f>IF(VACnom&gt;Vbat, (C_MOSFET_S_QGD_H_BU+C_MOSFET_S_QGS_H_BU)*10^-9/Table7[[#This Row],[Ion (A) C]], (C_MOSFET_S_QGD_L_BO+C_MOSFET_S_QGS_L_BO)*10^-9/Table7[[#This Row],[Ion (A) C]])/10^-9</f>
        <v>5.3480356171573984</v>
      </c>
      <c r="BM237" s="145">
        <f>IF(VACnom&gt;Vbat, (C_MOSFET_S_QGD_H_BU+C_MOSFET_S_QGS_H_BU)*10^-9/Table7[[#This Row],[Ioff (A) C]], (C_MOSFET_S_QGD_L_BO+C_MOSFET_S_QGS_L_BO)*10^-9/Table7[[#This Row],[Ioff (A) C]])/10^-9</f>
        <v>7.2230276142734873</v>
      </c>
      <c r="BN237" s="145">
        <f xml:space="preserve"> 0.5*VACnom*Table7[[#This Row],[Ivalley (A) C]]*Table7[[#This Row],[ton (ns) C]]*10^-9*Fsw*10^3+0.5*VACnom*Table7[[#This Row],[Ipeak (A) C]]*Table7[[#This Row],[toff (ns) C]]*10^-9*Fsw*10^3/10^-3</f>
        <v>764.00269151955308</v>
      </c>
      <c r="BO237" s="145">
        <f t="shared" si="49"/>
        <v>305.44000000000011</v>
      </c>
      <c r="BP237" s="145">
        <f t="shared" si="50"/>
        <v>357.69600000000014</v>
      </c>
      <c r="BQ237" s="145">
        <f t="shared" si="51"/>
        <v>1067.2000000000003</v>
      </c>
      <c r="BR237" s="145">
        <f>IF(VACnom&gt;Vbat, C_MOSFET_S_VSD_L_BU*Table7[[#This Row],[Ivalley (A) C]]*Fsw*10^3*40*10^-9+C_MOSFET_S_VSD_L_BU*Table7[[#This Row],[Ipeak (A) C]]*Fsw*10^3*30*10^-9, C_MOSFET_S_VSD_H_BO*Table7[[#This Row],[Ivalley (A) C]]*Fsw*10^3*40*10^-9+C_MOSFET_S_VSD_H_BO*Table7[[#This Row],[Ipeak (A) C]]*Fsw*10^3*30*10^-9)/10^-3</f>
        <v>319.17913043478273</v>
      </c>
      <c r="BS237" s="145">
        <f t="shared" si="52"/>
        <v>357.69600000000014</v>
      </c>
      <c r="BT237" s="145">
        <f>IF(VACnom&lt;Vbat, Table7[[#This Row],[Duty Cycle]]*Table7[[#This Row],[I_L RMS]]^2*C_MOSFET_S_RDSON_H_BU*10^-3, (1-Table7[[#This Row],[Duty Cycle]])*Table7[[#This Row],[I_L RMS]]^2*C_MOSFET_S_RDSON_H_BO*10^-3)/10^-3</f>
        <v>45.994587655132477</v>
      </c>
      <c r="BU237" s="145">
        <f>IF(VACnom&gt;Vbat, Table7[[#This Row],[PIV (mW) C]]+Table7[[#This Row],[PQoss (mW) C]]+Table7[[#This Row],[Pgate_top (mW) C]], Table7[[#This Row],[PRR (mW) C]]+Table7[[#This Row],[Pdead (mW) C]]+Table7[[#This Row],[Pgate_top (mW) C]])</f>
        <v>1427.1386915195533</v>
      </c>
      <c r="BV237" s="145">
        <f>Table7[[#This Row],[Pcon_top (mW) C]]+Table7[[#This Row],[Psw_top (mW) C]]</f>
        <v>1473.1332791746859</v>
      </c>
      <c r="BW237" s="145">
        <f>IF(VACnom&gt;Vbat, (1-Table7[[#This Row],[Duty Cycle]])*Table7[[#This Row],[I_L RMS]]^2*C_MOSFET_S_RDSON_L_BU*10^-3, Table7[[#This Row],[Duty Cycle]]*Table7[[#This Row],[I_L RMS]]^2*C_MOSFET_S_RDSON_L_BO*10^-3)/10^-3</f>
        <v>30.073384236048152</v>
      </c>
      <c r="BX237" s="145">
        <f>IF(VACnom&gt;Vbat, Table7[[#This Row],[PRR (mW) C]]+Table7[[#This Row],[Pdead (mW) C]]+Table7[[#This Row],[Pgate_bottom (mW) C]], Table7[[#This Row],[PIV (mW) C]]+Table7[[#This Row],[PQoss (mW) C]]+Table7[[#This Row],[Pgate_bottom (mW) C]])</f>
        <v>1744.0751304347832</v>
      </c>
      <c r="BY237" s="145">
        <f>Table7[[#This Row],[Pcon_bottom (mW) C]]+Table7[[#This Row],[Psw_bottom (mV) C]]</f>
        <v>1774.1485146708314</v>
      </c>
      <c r="BZ237" s="145">
        <f>Table7[[#This Row],[Pbottom (mW) C]]+Table7[[#This Row],[Ptop (mW) C]]</f>
        <v>3247.2817938455173</v>
      </c>
      <c r="CA237" s="148"/>
      <c r="CB237" s="144">
        <f>(RAC_SNS*10^-3*(Table7[[#This Row],[IOUT (A)]]*Vbat/VACnom)^2/10^-3)</f>
        <v>1627.4752741020795</v>
      </c>
      <c r="CC237" s="144">
        <f>(RBAT_SNS*10^-3*Table7[[#This Row],[IOUT (A)]]^2)/10^-3</f>
        <v>4251.5280000000002</v>
      </c>
      <c r="CD237" s="144">
        <f>IF(VACnom&gt;Vbat,(L_DRC*10^-3*(Table7[[#This Row],[IOUT (A)]])^2/10^-3),(L_DRC*10^-3*(Table7[[#This Row],[IOUT (A)]]*Vbat/VACnom)^2/10^-3))</f>
        <v>4251.5280000000002</v>
      </c>
      <c r="CE237" s="152"/>
      <c r="CF237" s="145">
        <f>(Table7[[#This Row],[R_AC (mW)]]+Table7[[#This Row],[R_SR (mW)]]+Table7[[#This Row],[Inductor Loss (mW)]])/10^3</f>
        <v>10.130531274102079</v>
      </c>
      <c r="CG237" s="145" t="e">
        <f ca="1">Table7[[#This Row],[Total TI (mW)]]/10^3</f>
        <v>#VALUE!</v>
      </c>
      <c r="CH237" s="145" t="e">
        <f ca="1">Table7[[#This Row],[Total Sense Loss]]+Table7[[#This Row],[Total MOSFET Loss]]</f>
        <v>#VALUE!</v>
      </c>
      <c r="CI237" s="149" t="e">
        <f ca="1">IF(Table7[[#This Row],[POUT (W)]]=0,0,(Table7[[#This Row],[POUT (W)]])/(Table7[[#This Row],[POUT (W)]]+Table7[[#This Row],[Total Power Loss (W)]]))*100</f>
        <v>#VALUE!</v>
      </c>
      <c r="CJ237" s="153"/>
      <c r="CK237" s="145">
        <f>(Table7[[#This Row],[R_AC (mW)]]+Table7[[#This Row],[R_SR (mW)]]+Table7[[#This Row],[Inductor Loss (mW)]])/10^3</f>
        <v>10.130531274102079</v>
      </c>
      <c r="CL237" s="145">
        <f>Table7[[#This Row],[Total (mW) C]]/10^3</f>
        <v>3.2472817938455174</v>
      </c>
      <c r="CM237" s="145">
        <f>Table7[[#This Row],[Total Sense Loss C]]+Table7[[#This Row],[Total MOSFET Loss C]]</f>
        <v>13.377813067947596</v>
      </c>
      <c r="CN237" s="149">
        <f>IF(Table7[[#This Row],[POUT (W)]]=0,0,(Table7[[#This Row],[POUT (W)]])/(Table7[[#This Row],[POUT (W)]]+Table7[[#This Row],[Total Power Loss (W) C]]))*100</f>
        <v>98.768685318300868</v>
      </c>
      <c r="CO237" s="153"/>
      <c r="CP237" s="149">
        <f>IF(MOSFET_S=Custom_MOSFET,Table7[[#This Row],[Total Sense Loss C]],Table7[[#This Row],[Total Sense Loss]])</f>
        <v>10.130531274102079</v>
      </c>
      <c r="CQ237" s="149">
        <f>IF(MOSFET_S=Custom_MOSFET,Table7[[#This Row],[Total MOSFET Loss C]],Table7[[#This Row],[Total MOSFET Loss]])</f>
        <v>3.2472817938455174</v>
      </c>
      <c r="CR237" s="149">
        <f>IF(MOSFET_S=Custom_MOSFET,Table7[[#This Row],[Efficiency C]],Table7[[#This Row],[Efficiency]])</f>
        <v>98.768685318300868</v>
      </c>
      <c r="CS237" s="153"/>
      <c r="CT237" s="149">
        <f>IF(MOSFET_S=Compare_MOSFET, Table7[[#This Row],[Total Sense Loss C]], -100)</f>
        <v>-100</v>
      </c>
      <c r="CU237" s="149">
        <f>IF(MOSFET_S=Compare_MOSFET, Table7[[#This Row],[Total MOSFET Loss C]], -100)</f>
        <v>-100</v>
      </c>
      <c r="CV237" s="149">
        <f>IF(MOSFET_S=Compare_MOSFET, Table7[[#This Row],[Efficiency C]], -100)</f>
        <v>-100</v>
      </c>
      <c r="CW237" s="153"/>
      <c r="CX237" s="149">
        <f ca="1">IF(Save_Sel=CLR_Save,  Table7[[#This Row],[Total Sense Loss P1]], Table7[[#This Row],[Total Sense Loss P1 Saved]])</f>
        <v>10.130531274102079</v>
      </c>
      <c r="CY237" s="149">
        <f ca="1">IF(Save_Sel=CLR_Save,  Table7[[#This Row],[Total MOSFET Loss P1]], Table7[[#This Row],[Total MOSFET Loss P1 Saved]] )</f>
        <v>3.2472817938455174</v>
      </c>
      <c r="CZ237" s="149">
        <f ca="1">IF(Save_Sel=CLR_Save, Table7[[#This Row],[Efficiency P1]], Table7[[#This Row],[Efficiency P1 Saved]])</f>
        <v>98.768685318300868</v>
      </c>
      <c r="DA237" s="153"/>
      <c r="DB237" s="149">
        <f ca="1">IF(Save_Sel=CLR_Save,  Table7[[#This Row],[Total Sense Loss P2]], Table7[[#This Row],[Total Sense Loss P2 Saved]])</f>
        <v>-100</v>
      </c>
      <c r="DC237" s="149">
        <f ca="1">IF(Save_Sel=CLR_Save,  Table7[[#This Row],[Total MOSFET Loss P2]], Table7[[#This Row],[Total MOSFET Loss P2 Saved]] )</f>
        <v>-100</v>
      </c>
      <c r="DD237" s="149">
        <f ca="1">IF(Save_Sel=CLR_Save, Table7[[#This Row],[Efficiency P2]], Table7[[#This Row],[Efficiency P2 Saved]])</f>
        <v>-100</v>
      </c>
      <c r="DE237" s="153"/>
      <c r="DF237" s="19"/>
      <c r="DG237" s="19"/>
      <c r="DH237" s="19"/>
      <c r="DI237" s="19"/>
      <c r="DJ237" s="19"/>
      <c r="DK237" s="19"/>
      <c r="DL237" s="19"/>
      <c r="DM237" s="19"/>
      <c r="DN237" s="19"/>
      <c r="DO237" s="19"/>
      <c r="DP237" s="19"/>
      <c r="DQ237" s="19"/>
      <c r="DR237" s="19"/>
      <c r="DS237" s="19"/>
      <c r="DT237" s="19"/>
      <c r="DU237" s="19"/>
      <c r="DV237" s="19"/>
      <c r="DW237" s="19"/>
      <c r="DX237" s="19"/>
      <c r="DY237" s="19"/>
      <c r="DZ237" s="19"/>
      <c r="EA237" s="19"/>
      <c r="EB237" s="19"/>
      <c r="EC237" s="19"/>
      <c r="ED237" s="19"/>
      <c r="EE237" s="19"/>
      <c r="EF237" s="19"/>
      <c r="EG237" s="19"/>
      <c r="EH237" s="19"/>
      <c r="EI237" s="19"/>
      <c r="EJ237" s="19"/>
      <c r="EK237" s="19"/>
      <c r="EL237" s="19"/>
      <c r="EM237" s="19"/>
      <c r="EN237" s="19"/>
      <c r="EO237" s="19"/>
      <c r="EP237" s="19"/>
      <c r="EQ237" s="19"/>
      <c r="ER237" s="19"/>
      <c r="ES237" s="19"/>
      <c r="ET237" s="19"/>
      <c r="EU237" s="19"/>
      <c r="EV237" s="19"/>
      <c r="EW237" s="19"/>
      <c r="EX237" s="19"/>
      <c r="EY237" s="19"/>
      <c r="EZ237" s="19"/>
      <c r="FA237" s="19"/>
      <c r="FB237" s="19"/>
      <c r="FC237" s="19"/>
      <c r="FD237" s="19"/>
      <c r="FE237" s="19"/>
      <c r="FF237" s="19"/>
      <c r="FG237" s="19"/>
      <c r="FH237" s="19"/>
      <c r="FI237" s="19"/>
    </row>
    <row r="238" spans="1:165" x14ac:dyDescent="0.25">
      <c r="A238" s="67"/>
      <c r="B238" s="67"/>
      <c r="C238" s="67"/>
      <c r="D238" s="67"/>
      <c r="E238" s="67"/>
      <c r="F238" s="67"/>
      <c r="G238" s="67"/>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43">
        <f t="shared" si="54"/>
        <v>82</v>
      </c>
      <c r="AG238" s="143">
        <f t="shared" si="53"/>
        <v>29.52</v>
      </c>
      <c r="AH238" s="144">
        <f t="shared" si="42"/>
        <v>1086.336</v>
      </c>
      <c r="AI238" s="145">
        <f t="shared" si="43"/>
        <v>0.97826086956521752</v>
      </c>
      <c r="AJ238" s="145">
        <f t="shared" si="44"/>
        <v>28.878260869565221</v>
      </c>
      <c r="AK238" s="145">
        <f t="shared" si="40"/>
        <v>0.39130434782608459</v>
      </c>
      <c r="AL238" s="145">
        <f t="shared" si="41"/>
        <v>28.878481794842461</v>
      </c>
      <c r="AM238" s="146"/>
      <c r="AN238" s="145">
        <f>MAX(0,Table7[[#This Row],[I_L]]-0.5*Table7[[#This Row],[I_L pkpk]])</f>
        <v>28.682608695652178</v>
      </c>
      <c r="AO238" s="145">
        <f>Table7[[#This Row],[I_L]]+0.5*Table7[[#This Row],[I_L pkpk]]</f>
        <v>29.073913043478264</v>
      </c>
      <c r="AP238" s="145">
        <f ca="1">IF(VACnom&gt;Vbat, (VGS_S-(TI_MOSFET_S_VTH_H_BU+Table7[[#This Row],[I_L]]/TI_MOSFET_S_gFS_H_BU))/3.4, (VGS_S-(TI_MOSFET_S_VTH_L_BO+Table7[[#This Row],[I_L]]/TI_MOSFET_S_gFS_L_BO))/3.4 )</f>
        <v>2.9493704505213461</v>
      </c>
      <c r="AQ238" s="145">
        <f ca="1">IF(VACnom&gt;Vbat, ((TI_MOSFET_S_VTH_H_BU+Table7[[#This Row],[I_L]]/TI_MOSFET_S_gFS_H_BU))/1, ((TI_MOSFET_S_VTH_L_BO+Table7[[#This Row],[I_L]]/TI_MOSFET_S_gFS_L_BO))/1 )</f>
        <v>1.9721404682274248</v>
      </c>
      <c r="AR238" s="145">
        <f ca="1">IF(VACnom&gt;Vbat, (TI_MOSFET_S_QGD_H_BU+TI_MOSFET_S_QGS_H_BU)*10^-9/Table7[[#This Row],[Ion (A)]], (TI_MOSFET_S_QGD_L_BO+TI_MOSFET_S_QGS_L_BO)*10^-9/Table7[[#This Row],[Ion (A)]])/10^-9</f>
        <v>9.7647957362932019</v>
      </c>
      <c r="AS238" s="145">
        <f ca="1">IF(VACnom&gt;Vbat, (TI_MOSFET_S_QGD_H_BU+TI_MOSFET_S_QGS_H_BU)*10^-9/Table7[[#This Row],[Ioff (A)]], (TI_MOSFET_S_QGD_L_BO+TI_MOSFET_S_QGS_L_BO)*10^-9/Table7[[#This Row],[Ioff (A)]])/10^-9</f>
        <v>14.603422253124629</v>
      </c>
      <c r="AT238" s="145">
        <f ca="1" xml:space="preserve"> 0.5*VACnom*Table7[[#This Row],[Ivalley (A)]]*Table7[[#This Row],[ton (ns)]]*10^-9*Fsw*10^3+0.5*VACnom*Table7[[#This Row],[Ipeak (A)]]*Table7[[#This Row],[toff (ns)]]*10^-9*Fsw*10^3/10^-3</f>
        <v>1563.4800474258684</v>
      </c>
      <c r="AU238" s="145">
        <f t="shared" ca="1" si="45"/>
        <v>268.64000000000004</v>
      </c>
      <c r="AV238" s="145" t="e">
        <f t="shared" si="46"/>
        <v>#VALUE!</v>
      </c>
      <c r="AW238" s="145">
        <f t="shared" ca="1" si="47"/>
        <v>566.72000000000025</v>
      </c>
      <c r="AX238" s="145">
        <f ca="1">IF(VACnom&gt;Vbat, TI_MOSFET_S_VSD_L_BU*Table7[[#This Row],[Ivalley (A)]]*Fsw*10^3*40*10^-9+TI_MOSFET_S_VSD_L_BU*Table7[[#This Row],[Ipeak (A)]]*Fsw*10^3*30*10^-9, TI_MOSFET_S_VSD_H_BO*Table7[[#This Row],[Ivalley (A)]]*Fsw*10^3*40*10^-9+TI_MOSFET_S_VSD_H_BO*Table7[[#This Row],[Ipeak (A)]]*Fsw*10^3*30*10^-9)/10^-3</f>
        <v>290.81113043478268</v>
      </c>
      <c r="AY238" s="145" t="e">
        <f t="shared" si="48"/>
        <v>#VALUE!</v>
      </c>
      <c r="AZ238" s="145" t="e">
        <f>IF(VACnom&lt;Vbat, Table7[[#This Row],[Duty Cycle]]*Table7[[#This Row],[I_L RMS]]^2*TI_MOSFET_S_RDSON_H_BU*10^-3, (1-Table7[[#This Row],[Duty Cycle]])*Table7[[#This Row],[I_L RMS]]^2*TI_MOSFET_S_RDSON_H_BO*10^-3)/10^-3</f>
        <v>#VALUE!</v>
      </c>
      <c r="BA238" s="145" t="e">
        <f ca="1">IF(VACnom&gt;Vbat, Table7[[#This Row],[PIV (mW)]]+Table7[[#This Row],[Pqoss (mW)]]+Table7[[#This Row],[Pgate_top (mW)]], Table7[[#This Row],[PRR (mW)]]+Table7[[#This Row],[Pdead (mW)]]+Table7[[#This Row],[Pgate_top (mW)]])</f>
        <v>#VALUE!</v>
      </c>
      <c r="BB238" s="145" t="e">
        <f ca="1">Table7[[#This Row],[Pcon_top (mW)]]+Table7[[#This Row],[Psw_top (mW)]]</f>
        <v>#VALUE!</v>
      </c>
      <c r="BC238" s="145" t="e">
        <f>IF(VACnom&gt;Vbat, (1-Table7[[#This Row],[Duty Cycle]])*Table7[[#This Row],[I_L RMS]]^2*TI_MOSFET_S_RDSON_L_BU*10^-3, Table7[[#This Row],[Duty Cycle]]*Table7[[#This Row],[I_L RMS]]^2*TI_MOSFET_S_RDSON_L_BO*10^-3)/10^-3</f>
        <v>#VALUE!</v>
      </c>
      <c r="BD238" s="145" t="e">
        <f ca="1">IF(VACnom&gt;Vbat, Table7[[#This Row],[PRR (mW)]]+Table7[[#This Row],[Pdead (mW)]]+Table7[[#This Row],[Pgate_bottom (mW)]], Table7[[#This Row],[PIV (mW)]]+Table7[[#This Row],[Pqoss (mW)]]+Table7[[#This Row],[Pgate_bottom (mW)]])</f>
        <v>#VALUE!</v>
      </c>
      <c r="BE238" s="147" t="e">
        <f ca="1">Table7[[#This Row],[Pcon_bottom (mW)]]+Table7[[#This Row],[Psw_bottom (mW)]]</f>
        <v>#VALUE!</v>
      </c>
      <c r="BF238" s="145" t="e">
        <f ca="1">Table7[[#This Row],[Pbottom (mW)]]+Table7[[#This Row],[Ptop (mW)]]</f>
        <v>#VALUE!</v>
      </c>
      <c r="BG238" s="142"/>
      <c r="BH238" s="145">
        <f>MAX(0,Table7[[#This Row],[I_L]]-0.5*Table7[[#This Row],[I_L pkpk]])</f>
        <v>28.682608695652178</v>
      </c>
      <c r="BI238" s="145">
        <f>Table7[[#This Row],[I_L]]+0.5*Table7[[#This Row],[I_L pkpk]]</f>
        <v>29.073913043478264</v>
      </c>
      <c r="BJ238" s="145">
        <f>IF(VACnom&gt;Vbat, (VGS_S-(C_MOSFET_S_VTH_H_BU+Table7[[#This Row],[I_L]]/C_MOSFET_S_gFS_H_BU))/3.4, (VGS_S-(C_MOSFET_S_VTH_L_BO+Table7[[#This Row],[I_L]]/C_MOSFET_S_gFS_L_BO))/3.4 )</f>
        <v>2.8973674927242259</v>
      </c>
      <c r="BK238" s="145">
        <f>IF(VACnom&gt;Vbat, ((C_MOSFET_S_VTH_H_BU+Table7[[#This Row],[I_L]]/C_MOSFET_S_gFS_H_BU))/1, ((C_MOSFET_S_VTH_L_BO+Table7[[#This Row],[I_L]]/C_MOSFET_S_gFS_L_BO))/1 )</f>
        <v>2.1489505247376313</v>
      </c>
      <c r="BL238" s="145">
        <f>IF(VACnom&gt;Vbat, (C_MOSFET_S_QGD_H_BU+C_MOSFET_S_QGS_H_BU)*10^-9/Table7[[#This Row],[Ion (A) C]], (C_MOSFET_S_QGD_L_BO+C_MOSFET_S_QGS_L_BO)*10^-9/Table7[[#This Row],[Ion (A) C]])/10^-9</f>
        <v>5.3496838212353426</v>
      </c>
      <c r="BM238" s="145">
        <f>IF(VACnom&gt;Vbat, (C_MOSFET_S_QGD_H_BU+C_MOSFET_S_QGS_H_BU)*10^-9/Table7[[#This Row],[Ioff (A) C]], (C_MOSFET_S_QGD_L_BO+C_MOSFET_S_QGS_L_BO)*10^-9/Table7[[#This Row],[Ioff (A) C]])/10^-9</f>
        <v>7.2128231067080613</v>
      </c>
      <c r="BN238" s="145">
        <f xml:space="preserve"> 0.5*VACnom*Table7[[#This Row],[Ivalley (A) C]]*Table7[[#This Row],[ton (ns) C]]*10^-9*Fsw*10^3+0.5*VACnom*Table7[[#This Row],[Ipeak (A) C]]*Table7[[#This Row],[toff (ns) C]]*10^-9*Fsw*10^3/10^-3</f>
        <v>772.27903965960832</v>
      </c>
      <c r="BO238" s="145">
        <f t="shared" si="49"/>
        <v>305.44000000000011</v>
      </c>
      <c r="BP238" s="145">
        <f t="shared" si="50"/>
        <v>357.69600000000014</v>
      </c>
      <c r="BQ238" s="145">
        <f t="shared" si="51"/>
        <v>1067.2000000000003</v>
      </c>
      <c r="BR238" s="145">
        <f>IF(VACnom&gt;Vbat, C_MOSFET_S_VSD_L_BU*Table7[[#This Row],[Ivalley (A) C]]*Fsw*10^3*40*10^-9+C_MOSFET_S_VSD_L_BU*Table7[[#This Row],[Ipeak (A) C]]*Fsw*10^3*30*10^-9, C_MOSFET_S_VSD_H_BO*Table7[[#This Row],[Ivalley (A) C]]*Fsw*10^3*40*10^-9+C_MOSFET_S_VSD_H_BO*Table7[[#This Row],[Ipeak (A) C]]*Fsw*10^3*30*10^-9)/10^-3</f>
        <v>323.12347826086972</v>
      </c>
      <c r="BS238" s="145">
        <f t="shared" si="52"/>
        <v>357.69600000000014</v>
      </c>
      <c r="BT238" s="145">
        <f>IF(VACnom&lt;Vbat, Table7[[#This Row],[Duty Cycle]]*Table7[[#This Row],[I_L RMS]]^2*C_MOSFET_S_RDSON_H_BU*10^-3, (1-Table7[[#This Row],[Duty Cycle]])*Table7[[#This Row],[I_L RMS]]^2*C_MOSFET_S_RDSON_H_BO*10^-3)/10^-3</f>
        <v>47.137248869893718</v>
      </c>
      <c r="BU238" s="145">
        <f>IF(VACnom&gt;Vbat, Table7[[#This Row],[PIV (mW) C]]+Table7[[#This Row],[PQoss (mW) C]]+Table7[[#This Row],[Pgate_top (mW) C]], Table7[[#This Row],[PRR (mW) C]]+Table7[[#This Row],[Pdead (mW) C]]+Table7[[#This Row],[Pgate_top (mW) C]])</f>
        <v>1435.4150396596085</v>
      </c>
      <c r="BV238" s="145">
        <f>Table7[[#This Row],[Pcon_top (mW) C]]+Table7[[#This Row],[Psw_top (mW) C]]</f>
        <v>1482.5522885295022</v>
      </c>
      <c r="BW238" s="145">
        <f>IF(VACnom&gt;Vbat, (1-Table7[[#This Row],[Duty Cycle]])*Table7[[#This Row],[I_L RMS]]^2*C_MOSFET_S_RDSON_L_BU*10^-3, Table7[[#This Row],[Duty Cycle]]*Table7[[#This Row],[I_L RMS]]^2*C_MOSFET_S_RDSON_L_BO*10^-3)/10^-3</f>
        <v>30.820508876468963</v>
      </c>
      <c r="BX238" s="145">
        <f>IF(VACnom&gt;Vbat, Table7[[#This Row],[PRR (mW) C]]+Table7[[#This Row],[Pdead (mW) C]]+Table7[[#This Row],[Pgate_bottom (mW) C]], Table7[[#This Row],[PIV (mW) C]]+Table7[[#This Row],[PQoss (mW) C]]+Table7[[#This Row],[Pgate_bottom (mW) C]])</f>
        <v>1748.0194782608701</v>
      </c>
      <c r="BY238" s="145">
        <f>Table7[[#This Row],[Pcon_bottom (mW) C]]+Table7[[#This Row],[Psw_bottom (mV) C]]</f>
        <v>1778.839987137339</v>
      </c>
      <c r="BZ238" s="145">
        <f>Table7[[#This Row],[Pbottom (mW) C]]+Table7[[#This Row],[Ptop (mW) C]]</f>
        <v>3261.3922756668412</v>
      </c>
      <c r="CA238" s="148"/>
      <c r="CB238" s="144">
        <f>(RAC_SNS*10^-3*(Table7[[#This Row],[IOUT (A)]]*Vbat/VACnom)^2/10^-3)</f>
        <v>1667.9079017013237</v>
      </c>
      <c r="CC238" s="144">
        <f>(RBAT_SNS*10^-3*Table7[[#This Row],[IOUT (A)]]^2)/10^-3</f>
        <v>4357.152</v>
      </c>
      <c r="CD238" s="144">
        <f>IF(VACnom&gt;Vbat,(L_DRC*10^-3*(Table7[[#This Row],[IOUT (A)]])^2/10^-3),(L_DRC*10^-3*(Table7[[#This Row],[IOUT (A)]]*Vbat/VACnom)^2/10^-3))</f>
        <v>4357.152</v>
      </c>
      <c r="CE238" s="152"/>
      <c r="CF238" s="145">
        <f>(Table7[[#This Row],[R_AC (mW)]]+Table7[[#This Row],[R_SR (mW)]]+Table7[[#This Row],[Inductor Loss (mW)]])/10^3</f>
        <v>10.382211901701325</v>
      </c>
      <c r="CG238" s="145" t="e">
        <f ca="1">Table7[[#This Row],[Total TI (mW)]]/10^3</f>
        <v>#VALUE!</v>
      </c>
      <c r="CH238" s="145" t="e">
        <f ca="1">Table7[[#This Row],[Total Sense Loss]]+Table7[[#This Row],[Total MOSFET Loss]]</f>
        <v>#VALUE!</v>
      </c>
      <c r="CI238" s="149" t="e">
        <f ca="1">IF(Table7[[#This Row],[POUT (W)]]=0,0,(Table7[[#This Row],[POUT (W)]])/(Table7[[#This Row],[POUT (W)]]+Table7[[#This Row],[Total Power Loss (W)]]))*100</f>
        <v>#VALUE!</v>
      </c>
      <c r="CJ238" s="153"/>
      <c r="CK238" s="145">
        <f>(Table7[[#This Row],[R_AC (mW)]]+Table7[[#This Row],[R_SR (mW)]]+Table7[[#This Row],[Inductor Loss (mW)]])/10^3</f>
        <v>10.382211901701325</v>
      </c>
      <c r="CL238" s="145">
        <f>Table7[[#This Row],[Total (mW) C]]/10^3</f>
        <v>3.2613922756668412</v>
      </c>
      <c r="CM238" s="145">
        <f>Table7[[#This Row],[Total Sense Loss C]]+Table7[[#This Row],[Total MOSFET Loss C]]</f>
        <v>13.643604177368166</v>
      </c>
      <c r="CN238" s="149">
        <f>IF(Table7[[#This Row],[POUT (W)]]=0,0,(Table7[[#This Row],[POUT (W)]])/(Table7[[#This Row],[POUT (W)]]+Table7[[#This Row],[Total Power Loss (W) C]]))*100</f>
        <v>98.75964934935574</v>
      </c>
      <c r="CO238" s="153"/>
      <c r="CP238" s="149">
        <f>IF(MOSFET_S=Custom_MOSFET,Table7[[#This Row],[Total Sense Loss C]],Table7[[#This Row],[Total Sense Loss]])</f>
        <v>10.382211901701325</v>
      </c>
      <c r="CQ238" s="149">
        <f>IF(MOSFET_S=Custom_MOSFET,Table7[[#This Row],[Total MOSFET Loss C]],Table7[[#This Row],[Total MOSFET Loss]])</f>
        <v>3.2613922756668412</v>
      </c>
      <c r="CR238" s="149">
        <f>IF(MOSFET_S=Custom_MOSFET,Table7[[#This Row],[Efficiency C]],Table7[[#This Row],[Efficiency]])</f>
        <v>98.75964934935574</v>
      </c>
      <c r="CS238" s="153"/>
      <c r="CT238" s="149">
        <f>IF(MOSFET_S=Compare_MOSFET, Table7[[#This Row],[Total Sense Loss C]], -100)</f>
        <v>-100</v>
      </c>
      <c r="CU238" s="149">
        <f>IF(MOSFET_S=Compare_MOSFET, Table7[[#This Row],[Total MOSFET Loss C]], -100)</f>
        <v>-100</v>
      </c>
      <c r="CV238" s="149">
        <f>IF(MOSFET_S=Compare_MOSFET, Table7[[#This Row],[Efficiency C]], -100)</f>
        <v>-100</v>
      </c>
      <c r="CW238" s="153"/>
      <c r="CX238" s="149">
        <f ca="1">IF(Save_Sel=CLR_Save,  Table7[[#This Row],[Total Sense Loss P1]], Table7[[#This Row],[Total Sense Loss P1 Saved]])</f>
        <v>10.382211901701325</v>
      </c>
      <c r="CY238" s="149">
        <f ca="1">IF(Save_Sel=CLR_Save,  Table7[[#This Row],[Total MOSFET Loss P1]], Table7[[#This Row],[Total MOSFET Loss P1 Saved]] )</f>
        <v>3.2613922756668412</v>
      </c>
      <c r="CZ238" s="149">
        <f ca="1">IF(Save_Sel=CLR_Save, Table7[[#This Row],[Efficiency P1]], Table7[[#This Row],[Efficiency P1 Saved]])</f>
        <v>98.75964934935574</v>
      </c>
      <c r="DA238" s="153"/>
      <c r="DB238" s="149">
        <f ca="1">IF(Save_Sel=CLR_Save,  Table7[[#This Row],[Total Sense Loss P2]], Table7[[#This Row],[Total Sense Loss P2 Saved]])</f>
        <v>-100</v>
      </c>
      <c r="DC238" s="149">
        <f ca="1">IF(Save_Sel=CLR_Save,  Table7[[#This Row],[Total MOSFET Loss P2]], Table7[[#This Row],[Total MOSFET Loss P2 Saved]] )</f>
        <v>-100</v>
      </c>
      <c r="DD238" s="149">
        <f ca="1">IF(Save_Sel=CLR_Save, Table7[[#This Row],[Efficiency P2]], Table7[[#This Row],[Efficiency P2 Saved]])</f>
        <v>-100</v>
      </c>
      <c r="DE238" s="153"/>
      <c r="DF238" s="19"/>
      <c r="DG238" s="19"/>
      <c r="DH238" s="19"/>
      <c r="DI238" s="19"/>
      <c r="DJ238" s="19"/>
      <c r="DK238" s="19"/>
      <c r="DL238" s="19"/>
      <c r="DM238" s="19"/>
      <c r="DN238" s="19"/>
      <c r="DO238" s="19"/>
      <c r="DP238" s="19"/>
      <c r="DQ238" s="19"/>
      <c r="DR238" s="19"/>
      <c r="DS238" s="19"/>
      <c r="DT238" s="19"/>
      <c r="DU238" s="19"/>
      <c r="DV238" s="19"/>
      <c r="DW238" s="19"/>
      <c r="DX238" s="19"/>
      <c r="DY238" s="19"/>
      <c r="DZ238" s="19"/>
      <c r="EA238" s="19"/>
      <c r="EB238" s="19"/>
      <c r="EC238" s="19"/>
      <c r="ED238" s="19"/>
      <c r="EE238" s="19"/>
      <c r="EF238" s="19"/>
      <c r="EG238" s="19"/>
      <c r="EH238" s="19"/>
      <c r="EI238" s="19"/>
      <c r="EJ238" s="19"/>
      <c r="EK238" s="19"/>
      <c r="EL238" s="19"/>
      <c r="EM238" s="19"/>
      <c r="EN238" s="19"/>
      <c r="EO238" s="19"/>
      <c r="EP238" s="19"/>
      <c r="EQ238" s="19"/>
      <c r="ER238" s="19"/>
      <c r="ES238" s="19"/>
      <c r="ET238" s="19"/>
      <c r="EU238" s="19"/>
      <c r="EV238" s="19"/>
      <c r="EW238" s="19"/>
      <c r="EX238" s="19"/>
      <c r="EY238" s="19"/>
      <c r="EZ238" s="19"/>
      <c r="FA238" s="19"/>
      <c r="FB238" s="19"/>
      <c r="FC238" s="19"/>
      <c r="FD238" s="19"/>
      <c r="FE238" s="19"/>
      <c r="FF238" s="19"/>
      <c r="FG238" s="19"/>
      <c r="FH238" s="19"/>
      <c r="FI238" s="19"/>
    </row>
    <row r="239" spans="1:165" x14ac:dyDescent="0.25">
      <c r="A239" s="67"/>
      <c r="B239" s="67"/>
      <c r="C239" s="67"/>
      <c r="D239" s="67"/>
      <c r="E239" s="67"/>
      <c r="F239" s="67"/>
      <c r="G239" s="67"/>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43">
        <f t="shared" si="54"/>
        <v>83</v>
      </c>
      <c r="AG239" s="143">
        <f t="shared" si="53"/>
        <v>29.88</v>
      </c>
      <c r="AH239" s="144">
        <f t="shared" si="42"/>
        <v>1099.5839999999998</v>
      </c>
      <c r="AI239" s="145">
        <f t="shared" si="43"/>
        <v>0.97826086956521752</v>
      </c>
      <c r="AJ239" s="145">
        <f t="shared" si="44"/>
        <v>29.230434782608697</v>
      </c>
      <c r="AK239" s="145">
        <f t="shared" si="40"/>
        <v>0.39130434782608459</v>
      </c>
      <c r="AL239" s="145">
        <f t="shared" si="41"/>
        <v>29.230653046155606</v>
      </c>
      <c r="AM239" s="146"/>
      <c r="AN239" s="145">
        <f>MAX(0,Table7[[#This Row],[I_L]]-0.5*Table7[[#This Row],[I_L pkpk]])</f>
        <v>29.034782608695654</v>
      </c>
      <c r="AO239" s="145">
        <f>Table7[[#This Row],[I_L]]+0.5*Table7[[#This Row],[I_L pkpk]]</f>
        <v>29.42608695652174</v>
      </c>
      <c r="AP239" s="145">
        <f ca="1">IF(VACnom&gt;Vbat, (VGS_S-(TI_MOSFET_S_VTH_H_BU+Table7[[#This Row],[I_L]]/TI_MOSFET_S_gFS_H_BU))/3.4, (VGS_S-(TI_MOSFET_S_VTH_L_BO+Table7[[#This Row],[I_L]]/TI_MOSFET_S_gFS_L_BO))/3.4 )</f>
        <v>2.948573676962424</v>
      </c>
      <c r="AQ239" s="145">
        <f ca="1">IF(VACnom&gt;Vbat, ((TI_MOSFET_S_VTH_H_BU+Table7[[#This Row],[I_L]]/TI_MOSFET_S_gFS_H_BU))/1, ((TI_MOSFET_S_VTH_L_BO+Table7[[#This Row],[I_L]]/TI_MOSFET_S_gFS_L_BO))/1 )</f>
        <v>1.9748494983277591</v>
      </c>
      <c r="AR239" s="145">
        <f ca="1">IF(VACnom&gt;Vbat, (TI_MOSFET_S_QGD_H_BU+TI_MOSFET_S_QGS_H_BU)*10^-9/Table7[[#This Row],[Ion (A)]], (TI_MOSFET_S_QGD_L_BO+TI_MOSFET_S_QGS_L_BO)*10^-9/Table7[[#This Row],[Ion (A)]])/10^-9</f>
        <v>9.7674344124476242</v>
      </c>
      <c r="AS239" s="145">
        <f ca="1">IF(VACnom&gt;Vbat, (TI_MOSFET_S_QGD_H_BU+TI_MOSFET_S_QGS_H_BU)*10^-9/Table7[[#This Row],[Ioff (A)]], (TI_MOSFET_S_QGD_L_BO+TI_MOSFET_S_QGS_L_BO)*10^-9/Table7[[#This Row],[Ioff (A)]])/10^-9</f>
        <v>14.583389784582037</v>
      </c>
      <c r="AT239" s="145">
        <f ca="1" xml:space="preserve"> 0.5*VACnom*Table7[[#This Row],[Ivalley (A)]]*Table7[[#This Row],[ton (ns)]]*10^-9*Fsw*10^3+0.5*VACnom*Table7[[#This Row],[Ipeak (A)]]*Table7[[#This Row],[toff (ns)]]*10^-9*Fsw*10^3/10^-3</f>
        <v>1580.2497438249213</v>
      </c>
      <c r="AU239" s="145">
        <f t="shared" ca="1" si="45"/>
        <v>268.64000000000004</v>
      </c>
      <c r="AV239" s="145" t="e">
        <f t="shared" si="46"/>
        <v>#VALUE!</v>
      </c>
      <c r="AW239" s="145">
        <f t="shared" ca="1" si="47"/>
        <v>566.72000000000025</v>
      </c>
      <c r="AX239" s="145">
        <f ca="1">IF(VACnom&gt;Vbat, TI_MOSFET_S_VSD_L_BU*Table7[[#This Row],[Ivalley (A)]]*Fsw*10^3*40*10^-9+TI_MOSFET_S_VSD_L_BU*Table7[[#This Row],[Ipeak (A)]]*Fsw*10^3*30*10^-9, TI_MOSFET_S_VSD_H_BO*Table7[[#This Row],[Ivalley (A)]]*Fsw*10^3*40*10^-9+TI_MOSFET_S_VSD_H_BO*Table7[[#This Row],[Ipeak (A)]]*Fsw*10^3*30*10^-9)/10^-3</f>
        <v>294.36104347826097</v>
      </c>
      <c r="AY239" s="145" t="e">
        <f t="shared" si="48"/>
        <v>#VALUE!</v>
      </c>
      <c r="AZ239" s="145" t="e">
        <f>IF(VACnom&lt;Vbat, Table7[[#This Row],[Duty Cycle]]*Table7[[#This Row],[I_L RMS]]^2*TI_MOSFET_S_RDSON_H_BU*10^-3, (1-Table7[[#This Row],[Duty Cycle]])*Table7[[#This Row],[I_L RMS]]^2*TI_MOSFET_S_RDSON_H_BO*10^-3)/10^-3</f>
        <v>#VALUE!</v>
      </c>
      <c r="BA239" s="145" t="e">
        <f ca="1">IF(VACnom&gt;Vbat, Table7[[#This Row],[PIV (mW)]]+Table7[[#This Row],[Pqoss (mW)]]+Table7[[#This Row],[Pgate_top (mW)]], Table7[[#This Row],[PRR (mW)]]+Table7[[#This Row],[Pdead (mW)]]+Table7[[#This Row],[Pgate_top (mW)]])</f>
        <v>#VALUE!</v>
      </c>
      <c r="BB239" s="145" t="e">
        <f ca="1">Table7[[#This Row],[Pcon_top (mW)]]+Table7[[#This Row],[Psw_top (mW)]]</f>
        <v>#VALUE!</v>
      </c>
      <c r="BC239" s="145" t="e">
        <f>IF(VACnom&gt;Vbat, (1-Table7[[#This Row],[Duty Cycle]])*Table7[[#This Row],[I_L RMS]]^2*TI_MOSFET_S_RDSON_L_BU*10^-3, Table7[[#This Row],[Duty Cycle]]*Table7[[#This Row],[I_L RMS]]^2*TI_MOSFET_S_RDSON_L_BO*10^-3)/10^-3</f>
        <v>#VALUE!</v>
      </c>
      <c r="BD239" s="145" t="e">
        <f ca="1">IF(VACnom&gt;Vbat, Table7[[#This Row],[PRR (mW)]]+Table7[[#This Row],[Pdead (mW)]]+Table7[[#This Row],[Pgate_bottom (mW)]], Table7[[#This Row],[PIV (mW)]]+Table7[[#This Row],[Pqoss (mW)]]+Table7[[#This Row],[Pgate_bottom (mW)]])</f>
        <v>#VALUE!</v>
      </c>
      <c r="BE239" s="147" t="e">
        <f ca="1">Table7[[#This Row],[Pcon_bottom (mW)]]+Table7[[#This Row],[Psw_bottom (mW)]]</f>
        <v>#VALUE!</v>
      </c>
      <c r="BF239" s="145" t="e">
        <f ca="1">Table7[[#This Row],[Pbottom (mW)]]+Table7[[#This Row],[Ptop (mW)]]</f>
        <v>#VALUE!</v>
      </c>
      <c r="BG239" s="142"/>
      <c r="BH239" s="145">
        <f>MAX(0,Table7[[#This Row],[I_L]]-0.5*Table7[[#This Row],[I_L pkpk]])</f>
        <v>29.034782608695654</v>
      </c>
      <c r="BI239" s="145">
        <f>Table7[[#This Row],[I_L]]+0.5*Table7[[#This Row],[I_L pkpk]]</f>
        <v>29.42608695652174</v>
      </c>
      <c r="BJ239" s="145">
        <f>IF(VACnom&gt;Vbat, (VGS_S-(C_MOSFET_S_VTH_H_BU+Table7[[#This Row],[I_L]]/C_MOSFET_S_gFS_H_BU))/3.4, (VGS_S-(C_MOSFET_S_VTH_L_BO+Table7[[#This Row],[I_L]]/C_MOSFET_S_gFS_L_BO))/3.4 )</f>
        <v>2.8964745568392272</v>
      </c>
      <c r="BK239" s="145">
        <f>IF(VACnom&gt;Vbat, ((C_MOSFET_S_VTH_H_BU+Table7[[#This Row],[I_L]]/C_MOSFET_S_gFS_H_BU))/1, ((C_MOSFET_S_VTH_L_BO+Table7[[#This Row],[I_L]]/C_MOSFET_S_gFS_L_BO))/1 )</f>
        <v>2.1519865067466268</v>
      </c>
      <c r="BL239" s="145">
        <f>IF(VACnom&gt;Vbat, (C_MOSFET_S_QGD_H_BU+C_MOSFET_S_QGS_H_BU)*10^-9/Table7[[#This Row],[Ion (A) C]], (C_MOSFET_S_QGD_L_BO+C_MOSFET_S_QGS_L_BO)*10^-9/Table7[[#This Row],[Ion (A) C]])/10^-9</f>
        <v>5.3513330415421798</v>
      </c>
      <c r="BM239" s="145">
        <f>IF(VACnom&gt;Vbat, (C_MOSFET_S_QGD_H_BU+C_MOSFET_S_QGS_H_BU)*10^-9/Table7[[#This Row],[Ioff (A) C]], (C_MOSFET_S_QGD_L_BO+C_MOSFET_S_QGS_L_BO)*10^-9/Table7[[#This Row],[Ioff (A) C]])/10^-9</f>
        <v>7.2026473917965674</v>
      </c>
      <c r="BN239" s="145">
        <f xml:space="preserve"> 0.5*VACnom*Table7[[#This Row],[Ivalley (A) C]]*Table7[[#This Row],[ton (ns) C]]*10^-9*Fsw*10^3+0.5*VACnom*Table7[[#This Row],[Ipeak (A) C]]*Table7[[#This Row],[toff (ns) C]]*10^-9*Fsw*10^3/10^-3</f>
        <v>780.53205999568934</v>
      </c>
      <c r="BO239" s="145">
        <f t="shared" si="49"/>
        <v>305.44000000000011</v>
      </c>
      <c r="BP239" s="145">
        <f t="shared" si="50"/>
        <v>357.69600000000014</v>
      </c>
      <c r="BQ239" s="145">
        <f t="shared" si="51"/>
        <v>1067.2000000000003</v>
      </c>
      <c r="BR239" s="145">
        <f>IF(VACnom&gt;Vbat, C_MOSFET_S_VSD_L_BU*Table7[[#This Row],[Ivalley (A) C]]*Fsw*10^3*40*10^-9+C_MOSFET_S_VSD_L_BU*Table7[[#This Row],[Ipeak (A) C]]*Fsw*10^3*30*10^-9, C_MOSFET_S_VSD_H_BO*Table7[[#This Row],[Ivalley (A) C]]*Fsw*10^3*40*10^-9+C_MOSFET_S_VSD_H_BO*Table7[[#This Row],[Ipeak (A) C]]*Fsw*10^3*30*10^-9)/10^-3</f>
        <v>327.06782608695659</v>
      </c>
      <c r="BS239" s="145">
        <f t="shared" si="52"/>
        <v>357.69600000000014</v>
      </c>
      <c r="BT239" s="145">
        <f>IF(VACnom&lt;Vbat, Table7[[#This Row],[Duty Cycle]]*Table7[[#This Row],[I_L RMS]]^2*C_MOSFET_S_RDSON_H_BU*10^-3, (1-Table7[[#This Row],[Duty Cycle]])*Table7[[#This Row],[I_L RMS]]^2*C_MOSFET_S_RDSON_H_BO*10^-3)/10^-3</f>
        <v>48.29393046765815</v>
      </c>
      <c r="BU239" s="145">
        <f>IF(VACnom&gt;Vbat, Table7[[#This Row],[PIV (mW) C]]+Table7[[#This Row],[PQoss (mW) C]]+Table7[[#This Row],[Pgate_top (mW) C]], Table7[[#This Row],[PRR (mW) C]]+Table7[[#This Row],[Pdead (mW) C]]+Table7[[#This Row],[Pgate_top (mW) C]])</f>
        <v>1443.6680599956896</v>
      </c>
      <c r="BV239" s="145">
        <f>Table7[[#This Row],[Pcon_top (mW) C]]+Table7[[#This Row],[Psw_top (mW) C]]</f>
        <v>1491.9619904633478</v>
      </c>
      <c r="BW239" s="145">
        <f>IF(VACnom&gt;Vbat, (1-Table7[[#This Row],[Duty Cycle]])*Table7[[#This Row],[I_L RMS]]^2*C_MOSFET_S_RDSON_L_BU*10^-3, Table7[[#This Row],[Duty Cycle]]*Table7[[#This Row],[I_L RMS]]^2*C_MOSFET_S_RDSON_L_BO*10^-3)/10^-3</f>
        <v>31.576800690391863</v>
      </c>
      <c r="BX239" s="145">
        <f>IF(VACnom&gt;Vbat, Table7[[#This Row],[PRR (mW) C]]+Table7[[#This Row],[Pdead (mW) C]]+Table7[[#This Row],[Pgate_bottom (mW) C]], Table7[[#This Row],[PIV (mW) C]]+Table7[[#This Row],[PQoss (mW) C]]+Table7[[#This Row],[Pgate_bottom (mW) C]])</f>
        <v>1751.9638260869569</v>
      </c>
      <c r="BY239" s="145">
        <f>Table7[[#This Row],[Pcon_bottom (mW) C]]+Table7[[#This Row],[Psw_bottom (mV) C]]</f>
        <v>1783.5406267773487</v>
      </c>
      <c r="BZ239" s="145">
        <f>Table7[[#This Row],[Pbottom (mW) C]]+Table7[[#This Row],[Ptop (mW) C]]</f>
        <v>3275.5026172406965</v>
      </c>
      <c r="CA239" s="148"/>
      <c r="CB239" s="144">
        <f>(RAC_SNS*10^-3*(Table7[[#This Row],[IOUT (A)]]*Vbat/VACnom)^2/10^-3)</f>
        <v>1708.836635160681</v>
      </c>
      <c r="CC239" s="144">
        <f>(RBAT_SNS*10^-3*Table7[[#This Row],[IOUT (A)]]^2)/10^-3</f>
        <v>4464.0720000000001</v>
      </c>
      <c r="CD239" s="144">
        <f>IF(VACnom&gt;Vbat,(L_DRC*10^-3*(Table7[[#This Row],[IOUT (A)]])^2/10^-3),(L_DRC*10^-3*(Table7[[#This Row],[IOUT (A)]]*Vbat/VACnom)^2/10^-3))</f>
        <v>4464.0720000000001</v>
      </c>
      <c r="CE239" s="152"/>
      <c r="CF239" s="145">
        <f>(Table7[[#This Row],[R_AC (mW)]]+Table7[[#This Row],[R_SR (mW)]]+Table7[[#This Row],[Inductor Loss (mW)]])/10^3</f>
        <v>10.636980635160683</v>
      </c>
      <c r="CG239" s="145" t="e">
        <f ca="1">Table7[[#This Row],[Total TI (mW)]]/10^3</f>
        <v>#VALUE!</v>
      </c>
      <c r="CH239" s="145" t="e">
        <f ca="1">Table7[[#This Row],[Total Sense Loss]]+Table7[[#This Row],[Total MOSFET Loss]]</f>
        <v>#VALUE!</v>
      </c>
      <c r="CI239" s="149" t="e">
        <f ca="1">IF(Table7[[#This Row],[POUT (W)]]=0,0,(Table7[[#This Row],[POUT (W)]])/(Table7[[#This Row],[POUT (W)]]+Table7[[#This Row],[Total Power Loss (W)]]))*100</f>
        <v>#VALUE!</v>
      </c>
      <c r="CJ239" s="153"/>
      <c r="CK239" s="145">
        <f>(Table7[[#This Row],[R_AC (mW)]]+Table7[[#This Row],[R_SR (mW)]]+Table7[[#This Row],[Inductor Loss (mW)]])/10^3</f>
        <v>10.636980635160683</v>
      </c>
      <c r="CL239" s="145">
        <f>Table7[[#This Row],[Total (mW) C]]/10^3</f>
        <v>3.2755026172406967</v>
      </c>
      <c r="CM239" s="145">
        <f>Table7[[#This Row],[Total Sense Loss C]]+Table7[[#This Row],[Total MOSFET Loss C]]</f>
        <v>13.91248325240138</v>
      </c>
      <c r="CN239" s="149">
        <f>IF(Table7[[#This Row],[POUT (W)]]=0,0,(Table7[[#This Row],[POUT (W)]])/(Table7[[#This Row],[POUT (W)]]+Table7[[#This Row],[Total Power Loss (W) C]]))*100</f>
        <v>98.750558851181594</v>
      </c>
      <c r="CO239" s="153"/>
      <c r="CP239" s="149">
        <f>IF(MOSFET_S=Custom_MOSFET,Table7[[#This Row],[Total Sense Loss C]],Table7[[#This Row],[Total Sense Loss]])</f>
        <v>10.636980635160683</v>
      </c>
      <c r="CQ239" s="149">
        <f>IF(MOSFET_S=Custom_MOSFET,Table7[[#This Row],[Total MOSFET Loss C]],Table7[[#This Row],[Total MOSFET Loss]])</f>
        <v>3.2755026172406967</v>
      </c>
      <c r="CR239" s="149">
        <f>IF(MOSFET_S=Custom_MOSFET,Table7[[#This Row],[Efficiency C]],Table7[[#This Row],[Efficiency]])</f>
        <v>98.750558851181594</v>
      </c>
      <c r="CS239" s="153"/>
      <c r="CT239" s="149">
        <f>IF(MOSFET_S=Compare_MOSFET, Table7[[#This Row],[Total Sense Loss C]], -100)</f>
        <v>-100</v>
      </c>
      <c r="CU239" s="149">
        <f>IF(MOSFET_S=Compare_MOSFET, Table7[[#This Row],[Total MOSFET Loss C]], -100)</f>
        <v>-100</v>
      </c>
      <c r="CV239" s="149">
        <f>IF(MOSFET_S=Compare_MOSFET, Table7[[#This Row],[Efficiency C]], -100)</f>
        <v>-100</v>
      </c>
      <c r="CW239" s="153"/>
      <c r="CX239" s="149">
        <f ca="1">IF(Save_Sel=CLR_Save,  Table7[[#This Row],[Total Sense Loss P1]], Table7[[#This Row],[Total Sense Loss P1 Saved]])</f>
        <v>10.636980635160683</v>
      </c>
      <c r="CY239" s="149">
        <f ca="1">IF(Save_Sel=CLR_Save,  Table7[[#This Row],[Total MOSFET Loss P1]], Table7[[#This Row],[Total MOSFET Loss P1 Saved]] )</f>
        <v>3.2755026172406967</v>
      </c>
      <c r="CZ239" s="149">
        <f ca="1">IF(Save_Sel=CLR_Save, Table7[[#This Row],[Efficiency P1]], Table7[[#This Row],[Efficiency P1 Saved]])</f>
        <v>98.750558851181594</v>
      </c>
      <c r="DA239" s="153"/>
      <c r="DB239" s="149">
        <f ca="1">IF(Save_Sel=CLR_Save,  Table7[[#This Row],[Total Sense Loss P2]], Table7[[#This Row],[Total Sense Loss P2 Saved]])</f>
        <v>-100</v>
      </c>
      <c r="DC239" s="149">
        <f ca="1">IF(Save_Sel=CLR_Save,  Table7[[#This Row],[Total MOSFET Loss P2]], Table7[[#This Row],[Total MOSFET Loss P2 Saved]] )</f>
        <v>-100</v>
      </c>
      <c r="DD239" s="149">
        <f ca="1">IF(Save_Sel=CLR_Save, Table7[[#This Row],[Efficiency P2]], Table7[[#This Row],[Efficiency P2 Saved]])</f>
        <v>-100</v>
      </c>
      <c r="DE239" s="153"/>
      <c r="DF239" s="19"/>
      <c r="DG239" s="19"/>
      <c r="DH239" s="19"/>
      <c r="DI239" s="19"/>
      <c r="DJ239" s="19"/>
      <c r="DK239" s="19"/>
      <c r="DL239" s="19"/>
      <c r="DM239" s="19"/>
      <c r="DN239" s="19"/>
      <c r="DO239" s="19"/>
      <c r="DP239" s="19"/>
      <c r="DQ239" s="19"/>
      <c r="DR239" s="19"/>
      <c r="DS239" s="19"/>
      <c r="DT239" s="19"/>
      <c r="DU239" s="19"/>
      <c r="DV239" s="19"/>
      <c r="DW239" s="19"/>
      <c r="DX239" s="19"/>
      <c r="DY239" s="19"/>
      <c r="DZ239" s="19"/>
      <c r="EA239" s="19"/>
      <c r="EB239" s="19"/>
      <c r="EC239" s="19"/>
      <c r="ED239" s="19"/>
      <c r="EE239" s="19"/>
      <c r="EF239" s="19"/>
      <c r="EG239" s="19"/>
      <c r="EH239" s="19"/>
      <c r="EI239" s="19"/>
      <c r="EJ239" s="19"/>
      <c r="EK239" s="19"/>
      <c r="EL239" s="19"/>
      <c r="EM239" s="19"/>
      <c r="EN239" s="19"/>
      <c r="EO239" s="19"/>
      <c r="EP239" s="19"/>
      <c r="EQ239" s="19"/>
      <c r="ER239" s="19"/>
      <c r="ES239" s="19"/>
      <c r="ET239" s="19"/>
      <c r="EU239" s="19"/>
      <c r="EV239" s="19"/>
      <c r="EW239" s="19"/>
      <c r="EX239" s="19"/>
      <c r="EY239" s="19"/>
      <c r="EZ239" s="19"/>
      <c r="FA239" s="19"/>
      <c r="FB239" s="19"/>
      <c r="FC239" s="19"/>
      <c r="FD239" s="19"/>
      <c r="FE239" s="19"/>
      <c r="FF239" s="19"/>
      <c r="FG239" s="19"/>
      <c r="FH239" s="19"/>
      <c r="FI239" s="19"/>
    </row>
    <row r="240" spans="1:165" x14ac:dyDescent="0.25">
      <c r="A240" s="67"/>
      <c r="B240" s="67"/>
      <c r="C240" s="67"/>
      <c r="D240" s="67"/>
      <c r="E240" s="67"/>
      <c r="F240" s="67"/>
      <c r="G240" s="67"/>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43">
        <f t="shared" si="54"/>
        <v>84</v>
      </c>
      <c r="AG240" s="143">
        <f t="shared" si="53"/>
        <v>30.24</v>
      </c>
      <c r="AH240" s="144">
        <f t="shared" si="42"/>
        <v>1112.8319999999999</v>
      </c>
      <c r="AI240" s="145">
        <f t="shared" si="43"/>
        <v>0.97826086956521752</v>
      </c>
      <c r="AJ240" s="145">
        <f t="shared" si="44"/>
        <v>29.582608695652176</v>
      </c>
      <c r="AK240" s="145">
        <f t="shared" si="40"/>
        <v>0.39130434782608459</v>
      </c>
      <c r="AL240" s="145">
        <f t="shared" si="41"/>
        <v>29.582824360842583</v>
      </c>
      <c r="AM240" s="146"/>
      <c r="AN240" s="145">
        <f>MAX(0,Table7[[#This Row],[I_L]]-0.5*Table7[[#This Row],[I_L pkpk]])</f>
        <v>29.386956521739133</v>
      </c>
      <c r="AO240" s="145">
        <f>Table7[[#This Row],[I_L]]+0.5*Table7[[#This Row],[I_L pkpk]]</f>
        <v>29.778260869565219</v>
      </c>
      <c r="AP240" s="145">
        <f ca="1">IF(VACnom&gt;Vbat, (VGS_S-(TI_MOSFET_S_VTH_H_BU+Table7[[#This Row],[I_L]]/TI_MOSFET_S_gFS_H_BU))/3.4, (VGS_S-(TI_MOSFET_S_VTH_L_BO+Table7[[#This Row],[I_L]]/TI_MOSFET_S_gFS_L_BO))/3.4 )</f>
        <v>2.947776903403502</v>
      </c>
      <c r="AQ240" s="145">
        <f ca="1">IF(VACnom&gt;Vbat, ((TI_MOSFET_S_VTH_H_BU+Table7[[#This Row],[I_L]]/TI_MOSFET_S_gFS_H_BU))/1, ((TI_MOSFET_S_VTH_L_BO+Table7[[#This Row],[I_L]]/TI_MOSFET_S_gFS_L_BO))/1 )</f>
        <v>1.9775585284280937</v>
      </c>
      <c r="AR240" s="145">
        <f ca="1">IF(VACnom&gt;Vbat, (TI_MOSFET_S_QGD_H_BU+TI_MOSFET_S_QGS_H_BU)*10^-9/Table7[[#This Row],[Ion (A)]], (TI_MOSFET_S_QGD_L_BO+TI_MOSFET_S_QGS_L_BO)*10^-9/Table7[[#This Row],[Ion (A)]])/10^-9</f>
        <v>9.7700745150515065</v>
      </c>
      <c r="AS240" s="145">
        <f ca="1">IF(VACnom&gt;Vbat, (TI_MOSFET_S_QGD_H_BU+TI_MOSFET_S_QGS_H_BU)*10^-9/Table7[[#This Row],[Ioff (A)]], (TI_MOSFET_S_QGD_L_BO+TI_MOSFET_S_QGS_L_BO)*10^-9/Table7[[#This Row],[Ioff (A)]])/10^-9</f>
        <v>14.5634122004431</v>
      </c>
      <c r="AT240" s="145">
        <f ca="1" xml:space="preserve"> 0.5*VACnom*Table7[[#This Row],[Ivalley (A)]]*Table7[[#This Row],[ton (ns)]]*10^-9*Fsw*10^3+0.5*VACnom*Table7[[#This Row],[Ipeak (A)]]*Table7[[#This Row],[toff (ns)]]*10^-9*Fsw*10^3/10^-3</f>
        <v>1596.9735375117129</v>
      </c>
      <c r="AU240" s="145">
        <f t="shared" ca="1" si="45"/>
        <v>268.64000000000004</v>
      </c>
      <c r="AV240" s="145" t="e">
        <f t="shared" si="46"/>
        <v>#VALUE!</v>
      </c>
      <c r="AW240" s="145">
        <f t="shared" ca="1" si="47"/>
        <v>566.72000000000025</v>
      </c>
      <c r="AX240" s="145">
        <f ca="1">IF(VACnom&gt;Vbat, TI_MOSFET_S_VSD_L_BU*Table7[[#This Row],[Ivalley (A)]]*Fsw*10^3*40*10^-9+TI_MOSFET_S_VSD_L_BU*Table7[[#This Row],[Ipeak (A)]]*Fsw*10^3*30*10^-9, TI_MOSFET_S_VSD_H_BO*Table7[[#This Row],[Ivalley (A)]]*Fsw*10^3*40*10^-9+TI_MOSFET_S_VSD_H_BO*Table7[[#This Row],[Ipeak (A)]]*Fsw*10^3*30*10^-9)/10^-3</f>
        <v>297.91095652173925</v>
      </c>
      <c r="AY240" s="145" t="e">
        <f t="shared" si="48"/>
        <v>#VALUE!</v>
      </c>
      <c r="AZ240" s="145" t="e">
        <f>IF(VACnom&lt;Vbat, Table7[[#This Row],[Duty Cycle]]*Table7[[#This Row],[I_L RMS]]^2*TI_MOSFET_S_RDSON_H_BU*10^-3, (1-Table7[[#This Row],[Duty Cycle]])*Table7[[#This Row],[I_L RMS]]^2*TI_MOSFET_S_RDSON_H_BO*10^-3)/10^-3</f>
        <v>#VALUE!</v>
      </c>
      <c r="BA240" s="145" t="e">
        <f ca="1">IF(VACnom&gt;Vbat, Table7[[#This Row],[PIV (mW)]]+Table7[[#This Row],[Pqoss (mW)]]+Table7[[#This Row],[Pgate_top (mW)]], Table7[[#This Row],[PRR (mW)]]+Table7[[#This Row],[Pdead (mW)]]+Table7[[#This Row],[Pgate_top (mW)]])</f>
        <v>#VALUE!</v>
      </c>
      <c r="BB240" s="145" t="e">
        <f ca="1">Table7[[#This Row],[Pcon_top (mW)]]+Table7[[#This Row],[Psw_top (mW)]]</f>
        <v>#VALUE!</v>
      </c>
      <c r="BC240" s="145" t="e">
        <f>IF(VACnom&gt;Vbat, (1-Table7[[#This Row],[Duty Cycle]])*Table7[[#This Row],[I_L RMS]]^2*TI_MOSFET_S_RDSON_L_BU*10^-3, Table7[[#This Row],[Duty Cycle]]*Table7[[#This Row],[I_L RMS]]^2*TI_MOSFET_S_RDSON_L_BO*10^-3)/10^-3</f>
        <v>#VALUE!</v>
      </c>
      <c r="BD240" s="145" t="e">
        <f ca="1">IF(VACnom&gt;Vbat, Table7[[#This Row],[PRR (mW)]]+Table7[[#This Row],[Pdead (mW)]]+Table7[[#This Row],[Pgate_bottom (mW)]], Table7[[#This Row],[PIV (mW)]]+Table7[[#This Row],[Pqoss (mW)]]+Table7[[#This Row],[Pgate_bottom (mW)]])</f>
        <v>#VALUE!</v>
      </c>
      <c r="BE240" s="147" t="e">
        <f ca="1">Table7[[#This Row],[Pcon_bottom (mW)]]+Table7[[#This Row],[Psw_bottom (mW)]]</f>
        <v>#VALUE!</v>
      </c>
      <c r="BF240" s="145" t="e">
        <f ca="1">Table7[[#This Row],[Pbottom (mW)]]+Table7[[#This Row],[Ptop (mW)]]</f>
        <v>#VALUE!</v>
      </c>
      <c r="BG240" s="142"/>
      <c r="BH240" s="145">
        <f>MAX(0,Table7[[#This Row],[I_L]]-0.5*Table7[[#This Row],[I_L pkpk]])</f>
        <v>29.386956521739133</v>
      </c>
      <c r="BI240" s="145">
        <f>Table7[[#This Row],[I_L]]+0.5*Table7[[#This Row],[I_L pkpk]]</f>
        <v>29.778260869565219</v>
      </c>
      <c r="BJ240" s="145">
        <f>IF(VACnom&gt;Vbat, (VGS_S-(C_MOSFET_S_VTH_H_BU+Table7[[#This Row],[I_L]]/C_MOSFET_S_gFS_H_BU))/3.4, (VGS_S-(C_MOSFET_S_VTH_L_BO+Table7[[#This Row],[I_L]]/C_MOSFET_S_gFS_L_BO))/3.4 )</f>
        <v>2.8955816209542289</v>
      </c>
      <c r="BK240" s="145">
        <f>IF(VACnom&gt;Vbat, ((C_MOSFET_S_VTH_H_BU+Table7[[#This Row],[I_L]]/C_MOSFET_S_gFS_H_BU))/1, ((C_MOSFET_S_VTH_L_BO+Table7[[#This Row],[I_L]]/C_MOSFET_S_gFS_L_BO))/1 )</f>
        <v>2.155022488755622</v>
      </c>
      <c r="BL240" s="145">
        <f>IF(VACnom&gt;Vbat, (C_MOSFET_S_QGD_H_BU+C_MOSFET_S_QGS_H_BU)*10^-9/Table7[[#This Row],[Ion (A) C]], (C_MOSFET_S_QGD_L_BO+C_MOSFET_S_QGS_L_BO)*10^-9/Table7[[#This Row],[Ion (A) C]])/10^-9</f>
        <v>5.3529832790180603</v>
      </c>
      <c r="BM240" s="145">
        <f>IF(VACnom&gt;Vbat, (C_MOSFET_S_QGD_H_BU+C_MOSFET_S_QGS_H_BU)*10^-9/Table7[[#This Row],[Ioff (A) C]], (C_MOSFET_S_QGD_L_BO+C_MOSFET_S_QGS_L_BO)*10^-9/Table7[[#This Row],[Ioff (A) C]])/10^-9</f>
        <v>7.1925003478502854</v>
      </c>
      <c r="BN240" s="145">
        <f xml:space="preserve"> 0.5*VACnom*Table7[[#This Row],[Ivalley (A) C]]*Table7[[#This Row],[ton (ns) C]]*10^-9*Fsw*10^3+0.5*VACnom*Table7[[#This Row],[Ipeak (A) C]]*Table7[[#This Row],[toff (ns) C]]*10^-9*Fsw*10^3/10^-3</f>
        <v>788.76185114255202</v>
      </c>
      <c r="BO240" s="145">
        <f t="shared" si="49"/>
        <v>305.44000000000011</v>
      </c>
      <c r="BP240" s="145">
        <f t="shared" si="50"/>
        <v>357.69600000000014</v>
      </c>
      <c r="BQ240" s="145">
        <f t="shared" si="51"/>
        <v>1067.2000000000003</v>
      </c>
      <c r="BR240" s="145">
        <f>IF(VACnom&gt;Vbat, C_MOSFET_S_VSD_L_BU*Table7[[#This Row],[Ivalley (A) C]]*Fsw*10^3*40*10^-9+C_MOSFET_S_VSD_L_BU*Table7[[#This Row],[Ipeak (A) C]]*Fsw*10^3*30*10^-9, C_MOSFET_S_VSD_H_BO*Table7[[#This Row],[Ivalley (A) C]]*Fsw*10^3*40*10^-9+C_MOSFET_S_VSD_H_BO*Table7[[#This Row],[Ipeak (A) C]]*Fsw*10^3*30*10^-9)/10^-3</f>
        <v>331.01217391304363</v>
      </c>
      <c r="BS240" s="145">
        <f t="shared" si="52"/>
        <v>357.69600000000014</v>
      </c>
      <c r="BT240" s="145">
        <f>IF(VACnom&lt;Vbat, Table7[[#This Row],[Duty Cycle]]*Table7[[#This Row],[I_L RMS]]^2*C_MOSFET_S_RDSON_H_BU*10^-3, (1-Table7[[#This Row],[Duty Cycle]])*Table7[[#This Row],[I_L RMS]]^2*C_MOSFET_S_RDSON_H_BO*10^-3)/10^-3</f>
        <v>49.464632448425796</v>
      </c>
      <c r="BU240" s="145">
        <f>IF(VACnom&gt;Vbat, Table7[[#This Row],[PIV (mW) C]]+Table7[[#This Row],[PQoss (mW) C]]+Table7[[#This Row],[Pgate_top (mW) C]], Table7[[#This Row],[PRR (mW) C]]+Table7[[#This Row],[Pdead (mW) C]]+Table7[[#This Row],[Pgate_top (mW) C]])</f>
        <v>1451.8978511425523</v>
      </c>
      <c r="BV240" s="145">
        <f>Table7[[#This Row],[Pcon_top (mW) C]]+Table7[[#This Row],[Psw_top (mW) C]]</f>
        <v>1501.3624835909782</v>
      </c>
      <c r="BW240" s="145">
        <f>IF(VACnom&gt;Vbat, (1-Table7[[#This Row],[Duty Cycle]])*Table7[[#This Row],[I_L RMS]]^2*C_MOSFET_S_RDSON_L_BU*10^-3, Table7[[#This Row],[Duty Cycle]]*Table7[[#This Row],[I_L RMS]]^2*C_MOSFET_S_RDSON_L_BO*10^-3)/10^-3</f>
        <v>32.342259677816863</v>
      </c>
      <c r="BX240" s="145">
        <f>IF(VACnom&gt;Vbat, Table7[[#This Row],[PRR (mW) C]]+Table7[[#This Row],[Pdead (mW) C]]+Table7[[#This Row],[Pgate_bottom (mW) C]], Table7[[#This Row],[PIV (mW) C]]+Table7[[#This Row],[PQoss (mW) C]]+Table7[[#This Row],[Pgate_bottom (mW) C]])</f>
        <v>1755.908173913044</v>
      </c>
      <c r="BY240" s="145">
        <f>Table7[[#This Row],[Pcon_bottom (mW) C]]+Table7[[#This Row],[Psw_bottom (mV) C]]</f>
        <v>1788.2504335908609</v>
      </c>
      <c r="BZ240" s="145">
        <f>Table7[[#This Row],[Pbottom (mW) C]]+Table7[[#This Row],[Ptop (mW) C]]</f>
        <v>3289.6129171818393</v>
      </c>
      <c r="CA240" s="148"/>
      <c r="CB240" s="144">
        <f>(RAC_SNS*10^-3*(Table7[[#This Row],[IOUT (A)]]*Vbat/VACnom)^2/10^-3)</f>
        <v>1750.261474480151</v>
      </c>
      <c r="CC240" s="144">
        <f>(RBAT_SNS*10^-3*Table7[[#This Row],[IOUT (A)]]^2)/10^-3</f>
        <v>4572.2879999999996</v>
      </c>
      <c r="CD240" s="144">
        <f>IF(VACnom&gt;Vbat,(L_DRC*10^-3*(Table7[[#This Row],[IOUT (A)]])^2/10^-3),(L_DRC*10^-3*(Table7[[#This Row],[IOUT (A)]]*Vbat/VACnom)^2/10^-3))</f>
        <v>4572.2879999999996</v>
      </c>
      <c r="CE240" s="152"/>
      <c r="CF240" s="145">
        <f>(Table7[[#This Row],[R_AC (mW)]]+Table7[[#This Row],[R_SR (mW)]]+Table7[[#This Row],[Inductor Loss (mW)]])/10^3</f>
        <v>10.894837474480152</v>
      </c>
      <c r="CG240" s="145" t="e">
        <f ca="1">Table7[[#This Row],[Total TI (mW)]]/10^3</f>
        <v>#VALUE!</v>
      </c>
      <c r="CH240" s="145" t="e">
        <f ca="1">Table7[[#This Row],[Total Sense Loss]]+Table7[[#This Row],[Total MOSFET Loss]]</f>
        <v>#VALUE!</v>
      </c>
      <c r="CI240" s="149" t="e">
        <f ca="1">IF(Table7[[#This Row],[POUT (W)]]=0,0,(Table7[[#This Row],[POUT (W)]])/(Table7[[#This Row],[POUT (W)]]+Table7[[#This Row],[Total Power Loss (W)]]))*100</f>
        <v>#VALUE!</v>
      </c>
      <c r="CJ240" s="153"/>
      <c r="CK240" s="145">
        <f>(Table7[[#This Row],[R_AC (mW)]]+Table7[[#This Row],[R_SR (mW)]]+Table7[[#This Row],[Inductor Loss (mW)]])/10^3</f>
        <v>10.894837474480152</v>
      </c>
      <c r="CL240" s="145">
        <f>Table7[[#This Row],[Total (mW) C]]/10^3</f>
        <v>3.2896129171818393</v>
      </c>
      <c r="CM240" s="145">
        <f>Table7[[#This Row],[Total Sense Loss C]]+Table7[[#This Row],[Total MOSFET Loss C]]</f>
        <v>14.184450391661992</v>
      </c>
      <c r="CN240" s="149">
        <f>IF(Table7[[#This Row],[POUT (W)]]=0,0,(Table7[[#This Row],[POUT (W)]])/(Table7[[#This Row],[POUT (W)]]+Table7[[#This Row],[Total Power Loss (W) C]]))*100</f>
        <v>98.741415851850917</v>
      </c>
      <c r="CO240" s="153"/>
      <c r="CP240" s="149">
        <f>IF(MOSFET_S=Custom_MOSFET,Table7[[#This Row],[Total Sense Loss C]],Table7[[#This Row],[Total Sense Loss]])</f>
        <v>10.894837474480152</v>
      </c>
      <c r="CQ240" s="149">
        <f>IF(MOSFET_S=Custom_MOSFET,Table7[[#This Row],[Total MOSFET Loss C]],Table7[[#This Row],[Total MOSFET Loss]])</f>
        <v>3.2896129171818393</v>
      </c>
      <c r="CR240" s="149">
        <f>IF(MOSFET_S=Custom_MOSFET,Table7[[#This Row],[Efficiency C]],Table7[[#This Row],[Efficiency]])</f>
        <v>98.741415851850917</v>
      </c>
      <c r="CS240" s="153"/>
      <c r="CT240" s="149">
        <f>IF(MOSFET_S=Compare_MOSFET, Table7[[#This Row],[Total Sense Loss C]], -100)</f>
        <v>-100</v>
      </c>
      <c r="CU240" s="149">
        <f>IF(MOSFET_S=Compare_MOSFET, Table7[[#This Row],[Total MOSFET Loss C]], -100)</f>
        <v>-100</v>
      </c>
      <c r="CV240" s="149">
        <f>IF(MOSFET_S=Compare_MOSFET, Table7[[#This Row],[Efficiency C]], -100)</f>
        <v>-100</v>
      </c>
      <c r="CW240" s="153"/>
      <c r="CX240" s="149">
        <f ca="1">IF(Save_Sel=CLR_Save,  Table7[[#This Row],[Total Sense Loss P1]], Table7[[#This Row],[Total Sense Loss P1 Saved]])</f>
        <v>10.894837474480152</v>
      </c>
      <c r="CY240" s="149">
        <f ca="1">IF(Save_Sel=CLR_Save,  Table7[[#This Row],[Total MOSFET Loss P1]], Table7[[#This Row],[Total MOSFET Loss P1 Saved]] )</f>
        <v>3.2896129171818393</v>
      </c>
      <c r="CZ240" s="149">
        <f ca="1">IF(Save_Sel=CLR_Save, Table7[[#This Row],[Efficiency P1]], Table7[[#This Row],[Efficiency P1 Saved]])</f>
        <v>98.741415851850917</v>
      </c>
      <c r="DA240" s="153"/>
      <c r="DB240" s="149">
        <f ca="1">IF(Save_Sel=CLR_Save,  Table7[[#This Row],[Total Sense Loss P2]], Table7[[#This Row],[Total Sense Loss P2 Saved]])</f>
        <v>-100</v>
      </c>
      <c r="DC240" s="149">
        <f ca="1">IF(Save_Sel=CLR_Save,  Table7[[#This Row],[Total MOSFET Loss P2]], Table7[[#This Row],[Total MOSFET Loss P2 Saved]] )</f>
        <v>-100</v>
      </c>
      <c r="DD240" s="149">
        <f ca="1">IF(Save_Sel=CLR_Save, Table7[[#This Row],[Efficiency P2]], Table7[[#This Row],[Efficiency P2 Saved]])</f>
        <v>-100</v>
      </c>
      <c r="DE240" s="153"/>
      <c r="DF240" s="19"/>
      <c r="DG240" s="19"/>
      <c r="DH240" s="19"/>
      <c r="DI240" s="19"/>
      <c r="DJ240" s="19"/>
      <c r="DK240" s="19"/>
      <c r="DL240" s="19"/>
      <c r="DM240" s="19"/>
      <c r="DN240" s="19"/>
      <c r="DO240" s="19"/>
      <c r="DP240" s="19"/>
      <c r="DQ240" s="19"/>
      <c r="DR240" s="19"/>
      <c r="DS240" s="19"/>
      <c r="DT240" s="19"/>
      <c r="DU240" s="19"/>
      <c r="DV240" s="19"/>
      <c r="DW240" s="19"/>
      <c r="DX240" s="19"/>
      <c r="DY240" s="19"/>
      <c r="DZ240" s="19"/>
      <c r="EA240" s="19"/>
      <c r="EB240" s="19"/>
      <c r="EC240" s="19"/>
      <c r="ED240" s="19"/>
      <c r="EE240" s="19"/>
      <c r="EF240" s="19"/>
      <c r="EG240" s="19"/>
      <c r="EH240" s="19"/>
      <c r="EI240" s="19"/>
      <c r="EJ240" s="19"/>
      <c r="EK240" s="19"/>
      <c r="EL240" s="19"/>
      <c r="EM240" s="19"/>
      <c r="EN240" s="19"/>
      <c r="EO240" s="19"/>
      <c r="EP240" s="19"/>
      <c r="EQ240" s="19"/>
      <c r="ER240" s="19"/>
      <c r="ES240" s="19"/>
      <c r="ET240" s="19"/>
      <c r="EU240" s="19"/>
      <c r="EV240" s="19"/>
      <c r="EW240" s="19"/>
      <c r="EX240" s="19"/>
      <c r="EY240" s="19"/>
      <c r="EZ240" s="19"/>
      <c r="FA240" s="19"/>
      <c r="FB240" s="19"/>
      <c r="FC240" s="19"/>
      <c r="FD240" s="19"/>
      <c r="FE240" s="19"/>
      <c r="FF240" s="19"/>
      <c r="FG240" s="19"/>
      <c r="FH240" s="19"/>
      <c r="FI240" s="19"/>
    </row>
    <row r="241" spans="1:165" x14ac:dyDescent="0.25">
      <c r="A241" s="67"/>
      <c r="B241" s="67"/>
      <c r="C241" s="67"/>
      <c r="D241" s="67"/>
      <c r="E241" s="67"/>
      <c r="F241" s="67"/>
      <c r="G241" s="67"/>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43">
        <f t="shared" si="54"/>
        <v>85</v>
      </c>
      <c r="AG241" s="143">
        <f t="shared" si="53"/>
        <v>30.6</v>
      </c>
      <c r="AH241" s="144">
        <f t="shared" si="42"/>
        <v>1126.08</v>
      </c>
      <c r="AI241" s="145">
        <f t="shared" si="43"/>
        <v>0.97826086956521752</v>
      </c>
      <c r="AJ241" s="145">
        <f t="shared" si="44"/>
        <v>29.934782608695656</v>
      </c>
      <c r="AK241" s="145">
        <f t="shared" si="40"/>
        <v>0.39130434782608459</v>
      </c>
      <c r="AL241" s="145">
        <f t="shared" si="41"/>
        <v>29.9349957366667</v>
      </c>
      <c r="AM241" s="146"/>
      <c r="AN241" s="145">
        <f>MAX(0,Table7[[#This Row],[I_L]]-0.5*Table7[[#This Row],[I_L pkpk]])</f>
        <v>29.739130434782613</v>
      </c>
      <c r="AO241" s="145">
        <f>Table7[[#This Row],[I_L]]+0.5*Table7[[#This Row],[I_L pkpk]]</f>
        <v>30.130434782608699</v>
      </c>
      <c r="AP241" s="145">
        <f ca="1">IF(VACnom&gt;Vbat, (VGS_S-(TI_MOSFET_S_VTH_H_BU+Table7[[#This Row],[I_L]]/TI_MOSFET_S_gFS_H_BU))/3.4, (VGS_S-(TI_MOSFET_S_VTH_L_BO+Table7[[#This Row],[I_L]]/TI_MOSFET_S_gFS_L_BO))/3.4 )</f>
        <v>2.9469801298445799</v>
      </c>
      <c r="AQ241" s="145">
        <f ca="1">IF(VACnom&gt;Vbat, ((TI_MOSFET_S_VTH_H_BU+Table7[[#This Row],[I_L]]/TI_MOSFET_S_gFS_H_BU))/1, ((TI_MOSFET_S_VTH_L_BO+Table7[[#This Row],[I_L]]/TI_MOSFET_S_gFS_L_BO))/1 )</f>
        <v>1.9802675585284282</v>
      </c>
      <c r="AR241" s="145">
        <f ca="1">IF(VACnom&gt;Vbat, (TI_MOSFET_S_QGD_H_BU+TI_MOSFET_S_QGS_H_BU)*10^-9/Table7[[#This Row],[Ion (A)]], (TI_MOSFET_S_QGD_L_BO+TI_MOSFET_S_QGS_L_BO)*10^-9/Table7[[#This Row],[Ion (A)]])/10^-9</f>
        <v>9.7727160452618573</v>
      </c>
      <c r="AS241" s="145">
        <f ca="1">IF(VACnom&gt;Vbat, (TI_MOSFET_S_QGD_H_BU+TI_MOSFET_S_QGS_H_BU)*10^-9/Table7[[#This Row],[Ioff (A)]], (TI_MOSFET_S_QGD_L_BO+TI_MOSFET_S_QGS_L_BO)*10^-9/Table7[[#This Row],[Ioff (A)]])/10^-9</f>
        <v>14.543489275460226</v>
      </c>
      <c r="AT241" s="145">
        <f ca="1" xml:space="preserve"> 0.5*VACnom*Table7[[#This Row],[Ivalley (A)]]*Table7[[#This Row],[ton (ns)]]*10^-9*Fsw*10^3+0.5*VACnom*Table7[[#This Row],[Ipeak (A)]]*Table7[[#This Row],[toff (ns)]]*10^-9*Fsw*10^3/10^-3</f>
        <v>1613.6516169070237</v>
      </c>
      <c r="AU241" s="145">
        <f t="shared" ca="1" si="45"/>
        <v>268.64000000000004</v>
      </c>
      <c r="AV241" s="145" t="e">
        <f t="shared" si="46"/>
        <v>#VALUE!</v>
      </c>
      <c r="AW241" s="145">
        <f t="shared" ca="1" si="47"/>
        <v>566.72000000000025</v>
      </c>
      <c r="AX241" s="145">
        <f ca="1">IF(VACnom&gt;Vbat, TI_MOSFET_S_VSD_L_BU*Table7[[#This Row],[Ivalley (A)]]*Fsw*10^3*40*10^-9+TI_MOSFET_S_VSD_L_BU*Table7[[#This Row],[Ipeak (A)]]*Fsw*10^3*30*10^-9, TI_MOSFET_S_VSD_H_BO*Table7[[#This Row],[Ivalley (A)]]*Fsw*10^3*40*10^-9+TI_MOSFET_S_VSD_H_BO*Table7[[#This Row],[Ipeak (A)]]*Fsw*10^3*30*10^-9)/10^-3</f>
        <v>301.46086956521754</v>
      </c>
      <c r="AY241" s="145" t="e">
        <f t="shared" si="48"/>
        <v>#VALUE!</v>
      </c>
      <c r="AZ241" s="145" t="e">
        <f>IF(VACnom&lt;Vbat, Table7[[#This Row],[Duty Cycle]]*Table7[[#This Row],[I_L RMS]]^2*TI_MOSFET_S_RDSON_H_BU*10^-3, (1-Table7[[#This Row],[Duty Cycle]])*Table7[[#This Row],[I_L RMS]]^2*TI_MOSFET_S_RDSON_H_BO*10^-3)/10^-3</f>
        <v>#VALUE!</v>
      </c>
      <c r="BA241" s="145" t="e">
        <f ca="1">IF(VACnom&gt;Vbat, Table7[[#This Row],[PIV (mW)]]+Table7[[#This Row],[Pqoss (mW)]]+Table7[[#This Row],[Pgate_top (mW)]], Table7[[#This Row],[PRR (mW)]]+Table7[[#This Row],[Pdead (mW)]]+Table7[[#This Row],[Pgate_top (mW)]])</f>
        <v>#VALUE!</v>
      </c>
      <c r="BB241" s="145" t="e">
        <f ca="1">Table7[[#This Row],[Pcon_top (mW)]]+Table7[[#This Row],[Psw_top (mW)]]</f>
        <v>#VALUE!</v>
      </c>
      <c r="BC241" s="145" t="e">
        <f>IF(VACnom&gt;Vbat, (1-Table7[[#This Row],[Duty Cycle]])*Table7[[#This Row],[I_L RMS]]^2*TI_MOSFET_S_RDSON_L_BU*10^-3, Table7[[#This Row],[Duty Cycle]]*Table7[[#This Row],[I_L RMS]]^2*TI_MOSFET_S_RDSON_L_BO*10^-3)/10^-3</f>
        <v>#VALUE!</v>
      </c>
      <c r="BD241" s="145" t="e">
        <f ca="1">IF(VACnom&gt;Vbat, Table7[[#This Row],[PRR (mW)]]+Table7[[#This Row],[Pdead (mW)]]+Table7[[#This Row],[Pgate_bottom (mW)]], Table7[[#This Row],[PIV (mW)]]+Table7[[#This Row],[Pqoss (mW)]]+Table7[[#This Row],[Pgate_bottom (mW)]])</f>
        <v>#VALUE!</v>
      </c>
      <c r="BE241" s="147" t="e">
        <f ca="1">Table7[[#This Row],[Pcon_bottom (mW)]]+Table7[[#This Row],[Psw_bottom (mW)]]</f>
        <v>#VALUE!</v>
      </c>
      <c r="BF241" s="145" t="e">
        <f ca="1">Table7[[#This Row],[Pbottom (mW)]]+Table7[[#This Row],[Ptop (mW)]]</f>
        <v>#VALUE!</v>
      </c>
      <c r="BG241" s="142"/>
      <c r="BH241" s="145">
        <f>MAX(0,Table7[[#This Row],[I_L]]-0.5*Table7[[#This Row],[I_L pkpk]])</f>
        <v>29.739130434782613</v>
      </c>
      <c r="BI241" s="145">
        <f>Table7[[#This Row],[I_L]]+0.5*Table7[[#This Row],[I_L pkpk]]</f>
        <v>30.130434782608699</v>
      </c>
      <c r="BJ241" s="145">
        <f>IF(VACnom&gt;Vbat, (VGS_S-(C_MOSFET_S_VTH_H_BU+Table7[[#This Row],[I_L]]/C_MOSFET_S_gFS_H_BU))/3.4, (VGS_S-(C_MOSFET_S_VTH_L_BO+Table7[[#This Row],[I_L]]/C_MOSFET_S_gFS_L_BO))/3.4 )</f>
        <v>2.8946886850692302</v>
      </c>
      <c r="BK241" s="145">
        <f>IF(VACnom&gt;Vbat, ((C_MOSFET_S_VTH_H_BU+Table7[[#This Row],[I_L]]/C_MOSFET_S_gFS_H_BU))/1, ((C_MOSFET_S_VTH_L_BO+Table7[[#This Row],[I_L]]/C_MOSFET_S_gFS_L_BO))/1 )</f>
        <v>2.1580584707646175</v>
      </c>
      <c r="BL241" s="145">
        <f>IF(VACnom&gt;Vbat, (C_MOSFET_S_QGD_H_BU+C_MOSFET_S_QGS_H_BU)*10^-9/Table7[[#This Row],[Ion (A) C]], (C_MOSFET_S_QGD_L_BO+C_MOSFET_S_QGS_L_BO)*10^-9/Table7[[#This Row],[Ion (A) C]])/10^-9</f>
        <v>5.3546345346042958</v>
      </c>
      <c r="BM241" s="145">
        <f>IF(VACnom&gt;Vbat, (C_MOSFET_S_QGD_H_BU+C_MOSFET_S_QGS_H_BU)*10^-9/Table7[[#This Row],[Ioff (A) C]], (C_MOSFET_S_QGD_L_BO+C_MOSFET_S_QGS_L_BO)*10^-9/Table7[[#This Row],[Ioff (A) C]])/10^-9</f>
        <v>7.1823818538652588</v>
      </c>
      <c r="BN241" s="145">
        <f xml:space="preserve"> 0.5*VACnom*Table7[[#This Row],[Ivalley (A) C]]*Table7[[#This Row],[ton (ns) C]]*10^-9*Fsw*10^3+0.5*VACnom*Table7[[#This Row],[Ipeak (A) C]]*Table7[[#This Row],[toff (ns) C]]*10^-9*Fsw*10^3/10^-3</f>
        <v>796.96851116004734</v>
      </c>
      <c r="BO241" s="145">
        <f t="shared" si="49"/>
        <v>305.44000000000011</v>
      </c>
      <c r="BP241" s="145">
        <f t="shared" si="50"/>
        <v>357.69600000000014</v>
      </c>
      <c r="BQ241" s="145">
        <f t="shared" si="51"/>
        <v>1067.2000000000003</v>
      </c>
      <c r="BR241" s="145">
        <f>IF(VACnom&gt;Vbat, C_MOSFET_S_VSD_L_BU*Table7[[#This Row],[Ivalley (A) C]]*Fsw*10^3*40*10^-9+C_MOSFET_S_VSD_L_BU*Table7[[#This Row],[Ipeak (A) C]]*Fsw*10^3*30*10^-9, C_MOSFET_S_VSD_H_BO*Table7[[#This Row],[Ivalley (A) C]]*Fsw*10^3*40*10^-9+C_MOSFET_S_VSD_H_BO*Table7[[#This Row],[Ipeak (A) C]]*Fsw*10^3*30*10^-9)/10^-3</f>
        <v>334.95652173913061</v>
      </c>
      <c r="BS241" s="145">
        <f t="shared" si="52"/>
        <v>357.69600000000014</v>
      </c>
      <c r="BT241" s="145">
        <f>IF(VACnom&lt;Vbat, Table7[[#This Row],[Duty Cycle]]*Table7[[#This Row],[I_L RMS]]^2*C_MOSFET_S_RDSON_H_BU*10^-3, (1-Table7[[#This Row],[Duty Cycle]])*Table7[[#This Row],[I_L RMS]]^2*C_MOSFET_S_RDSON_H_BO*10^-3)/10^-3</f>
        <v>50.649354812196641</v>
      </c>
      <c r="BU241" s="145">
        <f>IF(VACnom&gt;Vbat, Table7[[#This Row],[PIV (mW) C]]+Table7[[#This Row],[PQoss (mW) C]]+Table7[[#This Row],[Pgate_top (mW) C]], Table7[[#This Row],[PRR (mW) C]]+Table7[[#This Row],[Pdead (mW) C]]+Table7[[#This Row],[Pgate_top (mW) C]])</f>
        <v>1460.1045111600477</v>
      </c>
      <c r="BV241" s="145">
        <f>Table7[[#This Row],[Pcon_top (mW) C]]+Table7[[#This Row],[Psw_top (mW) C]]</f>
        <v>1510.7538659722443</v>
      </c>
      <c r="BW241" s="145">
        <f>IF(VACnom&gt;Vbat, (1-Table7[[#This Row],[Duty Cycle]])*Table7[[#This Row],[I_L RMS]]^2*C_MOSFET_S_RDSON_L_BU*10^-3, Table7[[#This Row],[Duty Cycle]]*Table7[[#This Row],[I_L RMS]]^2*C_MOSFET_S_RDSON_L_BO*10^-3)/10^-3</f>
        <v>33.116885838743954</v>
      </c>
      <c r="BX241" s="145">
        <f>IF(VACnom&gt;Vbat, Table7[[#This Row],[PRR (mW) C]]+Table7[[#This Row],[Pdead (mW) C]]+Table7[[#This Row],[Pgate_bottom (mW) C]], Table7[[#This Row],[PIV (mW) C]]+Table7[[#This Row],[PQoss (mW) C]]+Table7[[#This Row],[Pgate_bottom (mW) C]])</f>
        <v>1759.8525217391309</v>
      </c>
      <c r="BY241" s="145">
        <f>Table7[[#This Row],[Pcon_bottom (mW) C]]+Table7[[#This Row],[Psw_bottom (mV) C]]</f>
        <v>1792.9694075778748</v>
      </c>
      <c r="BZ241" s="145">
        <f>Table7[[#This Row],[Pbottom (mW) C]]+Table7[[#This Row],[Ptop (mW) C]]</f>
        <v>3303.7232735501193</v>
      </c>
      <c r="CA241" s="148"/>
      <c r="CB241" s="144">
        <f>(RAC_SNS*10^-3*(Table7[[#This Row],[IOUT (A)]]*Vbat/VACnom)^2/10^-3)</f>
        <v>1792.1824196597363</v>
      </c>
      <c r="CC241" s="144">
        <f>(RBAT_SNS*10^-3*Table7[[#This Row],[IOUT (A)]]^2)/10^-3</f>
        <v>4681.8000000000011</v>
      </c>
      <c r="CD241" s="144">
        <f>IF(VACnom&gt;Vbat,(L_DRC*10^-3*(Table7[[#This Row],[IOUT (A)]])^2/10^-3),(L_DRC*10^-3*(Table7[[#This Row],[IOUT (A)]]*Vbat/VACnom)^2/10^-3))</f>
        <v>4681.8000000000011</v>
      </c>
      <c r="CE241" s="152"/>
      <c r="CF241" s="145">
        <f>(Table7[[#This Row],[R_AC (mW)]]+Table7[[#This Row],[R_SR (mW)]]+Table7[[#This Row],[Inductor Loss (mW)]])/10^3</f>
        <v>11.15578241965974</v>
      </c>
      <c r="CG241" s="145" t="e">
        <f ca="1">Table7[[#This Row],[Total TI (mW)]]/10^3</f>
        <v>#VALUE!</v>
      </c>
      <c r="CH241" s="145" t="e">
        <f ca="1">Table7[[#This Row],[Total Sense Loss]]+Table7[[#This Row],[Total MOSFET Loss]]</f>
        <v>#VALUE!</v>
      </c>
      <c r="CI241" s="149" t="e">
        <f ca="1">IF(Table7[[#This Row],[POUT (W)]]=0,0,(Table7[[#This Row],[POUT (W)]])/(Table7[[#This Row],[POUT (W)]]+Table7[[#This Row],[Total Power Loss (W)]]))*100</f>
        <v>#VALUE!</v>
      </c>
      <c r="CJ241" s="153"/>
      <c r="CK241" s="145">
        <f>(Table7[[#This Row],[R_AC (mW)]]+Table7[[#This Row],[R_SR (mW)]]+Table7[[#This Row],[Inductor Loss (mW)]])/10^3</f>
        <v>11.15578241965974</v>
      </c>
      <c r="CL241" s="145">
        <f>Table7[[#This Row],[Total (mW) C]]/10^3</f>
        <v>3.3037232735501192</v>
      </c>
      <c r="CM241" s="145">
        <f>Table7[[#This Row],[Total Sense Loss C]]+Table7[[#This Row],[Total MOSFET Loss C]]</f>
        <v>14.459505693209859</v>
      </c>
      <c r="CN241" s="149">
        <f>IF(Table7[[#This Row],[POUT (W)]]=0,0,(Table7[[#This Row],[POUT (W)]])/(Table7[[#This Row],[POUT (W)]]+Table7[[#This Row],[Total Power Loss (W) C]]))*100</f>
        <v>98.732222284188083</v>
      </c>
      <c r="CO241" s="153"/>
      <c r="CP241" s="149">
        <f>IF(MOSFET_S=Custom_MOSFET,Table7[[#This Row],[Total Sense Loss C]],Table7[[#This Row],[Total Sense Loss]])</f>
        <v>11.15578241965974</v>
      </c>
      <c r="CQ241" s="149">
        <f>IF(MOSFET_S=Custom_MOSFET,Table7[[#This Row],[Total MOSFET Loss C]],Table7[[#This Row],[Total MOSFET Loss]])</f>
        <v>3.3037232735501192</v>
      </c>
      <c r="CR241" s="149">
        <f>IF(MOSFET_S=Custom_MOSFET,Table7[[#This Row],[Efficiency C]],Table7[[#This Row],[Efficiency]])</f>
        <v>98.732222284188083</v>
      </c>
      <c r="CS241" s="153"/>
      <c r="CT241" s="149">
        <f>IF(MOSFET_S=Compare_MOSFET, Table7[[#This Row],[Total Sense Loss C]], -100)</f>
        <v>-100</v>
      </c>
      <c r="CU241" s="149">
        <f>IF(MOSFET_S=Compare_MOSFET, Table7[[#This Row],[Total MOSFET Loss C]], -100)</f>
        <v>-100</v>
      </c>
      <c r="CV241" s="149">
        <f>IF(MOSFET_S=Compare_MOSFET, Table7[[#This Row],[Efficiency C]], -100)</f>
        <v>-100</v>
      </c>
      <c r="CW241" s="153"/>
      <c r="CX241" s="149">
        <f ca="1">IF(Save_Sel=CLR_Save,  Table7[[#This Row],[Total Sense Loss P1]], Table7[[#This Row],[Total Sense Loss P1 Saved]])</f>
        <v>11.15578241965974</v>
      </c>
      <c r="CY241" s="149">
        <f ca="1">IF(Save_Sel=CLR_Save,  Table7[[#This Row],[Total MOSFET Loss P1]], Table7[[#This Row],[Total MOSFET Loss P1 Saved]] )</f>
        <v>3.3037232735501192</v>
      </c>
      <c r="CZ241" s="149">
        <f ca="1">IF(Save_Sel=CLR_Save, Table7[[#This Row],[Efficiency P1]], Table7[[#This Row],[Efficiency P1 Saved]])</f>
        <v>98.732222284188083</v>
      </c>
      <c r="DA241" s="153"/>
      <c r="DB241" s="149">
        <f ca="1">IF(Save_Sel=CLR_Save,  Table7[[#This Row],[Total Sense Loss P2]], Table7[[#This Row],[Total Sense Loss P2 Saved]])</f>
        <v>-100</v>
      </c>
      <c r="DC241" s="149">
        <f ca="1">IF(Save_Sel=CLR_Save,  Table7[[#This Row],[Total MOSFET Loss P2]], Table7[[#This Row],[Total MOSFET Loss P2 Saved]] )</f>
        <v>-100</v>
      </c>
      <c r="DD241" s="149">
        <f ca="1">IF(Save_Sel=CLR_Save, Table7[[#This Row],[Efficiency P2]], Table7[[#This Row],[Efficiency P2 Saved]])</f>
        <v>-100</v>
      </c>
      <c r="DE241" s="153"/>
      <c r="DF241" s="19"/>
      <c r="DG241" s="19"/>
      <c r="DH241" s="19"/>
      <c r="DI241" s="19"/>
      <c r="DJ241" s="19"/>
      <c r="DK241" s="19"/>
      <c r="DL241" s="19"/>
      <c r="DM241" s="19"/>
      <c r="DN241" s="19"/>
      <c r="DO241" s="19"/>
      <c r="DP241" s="19"/>
      <c r="DQ241" s="19"/>
      <c r="DR241" s="19"/>
      <c r="DS241" s="19"/>
      <c r="DT241" s="19"/>
      <c r="DU241" s="19"/>
      <c r="DV241" s="19"/>
      <c r="DW241" s="19"/>
      <c r="DX241" s="19"/>
      <c r="DY241" s="19"/>
      <c r="DZ241" s="19"/>
      <c r="EA241" s="19"/>
      <c r="EB241" s="19"/>
      <c r="EC241" s="19"/>
      <c r="ED241" s="19"/>
      <c r="EE241" s="19"/>
      <c r="EF241" s="19"/>
      <c r="EG241" s="19"/>
      <c r="EH241" s="19"/>
      <c r="EI241" s="19"/>
      <c r="EJ241" s="19"/>
      <c r="EK241" s="19"/>
      <c r="EL241" s="19"/>
      <c r="EM241" s="19"/>
      <c r="EN241" s="19"/>
      <c r="EO241" s="19"/>
      <c r="EP241" s="19"/>
      <c r="EQ241" s="19"/>
      <c r="ER241" s="19"/>
      <c r="ES241" s="19"/>
      <c r="ET241" s="19"/>
      <c r="EU241" s="19"/>
      <c r="EV241" s="19"/>
      <c r="EW241" s="19"/>
      <c r="EX241" s="19"/>
      <c r="EY241" s="19"/>
      <c r="EZ241" s="19"/>
      <c r="FA241" s="19"/>
      <c r="FB241" s="19"/>
      <c r="FC241" s="19"/>
      <c r="FD241" s="19"/>
      <c r="FE241" s="19"/>
      <c r="FF241" s="19"/>
      <c r="FG241" s="19"/>
      <c r="FH241" s="19"/>
      <c r="FI241" s="19"/>
    </row>
    <row r="242" spans="1:165" x14ac:dyDescent="0.25">
      <c r="A242" s="67"/>
      <c r="B242" s="67"/>
      <c r="C242" s="67"/>
      <c r="D242" s="67"/>
      <c r="E242" s="67"/>
      <c r="F242" s="67"/>
      <c r="G242" s="67"/>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43">
        <f t="shared" si="54"/>
        <v>86</v>
      </c>
      <c r="AG242" s="143">
        <f t="shared" si="53"/>
        <v>30.96</v>
      </c>
      <c r="AH242" s="144">
        <f t="shared" si="42"/>
        <v>1139.328</v>
      </c>
      <c r="AI242" s="145">
        <f t="shared" si="43"/>
        <v>0.97826086956521752</v>
      </c>
      <c r="AJ242" s="145">
        <f t="shared" si="44"/>
        <v>30.286956521739135</v>
      </c>
      <c r="AK242" s="145">
        <f t="shared" si="40"/>
        <v>0.39130434782608459</v>
      </c>
      <c r="AL242" s="145">
        <f t="shared" si="41"/>
        <v>30.287167171495295</v>
      </c>
      <c r="AM242" s="146"/>
      <c r="AN242" s="145">
        <f>MAX(0,Table7[[#This Row],[I_L]]-0.5*Table7[[#This Row],[I_L pkpk]])</f>
        <v>30.091304347826092</v>
      </c>
      <c r="AO242" s="145">
        <f>Table7[[#This Row],[I_L]]+0.5*Table7[[#This Row],[I_L pkpk]]</f>
        <v>30.482608695652178</v>
      </c>
      <c r="AP242" s="145">
        <f ca="1">IF(VACnom&gt;Vbat, (VGS_S-(TI_MOSFET_S_VTH_H_BU+Table7[[#This Row],[I_L]]/TI_MOSFET_S_gFS_H_BU))/3.4, (VGS_S-(TI_MOSFET_S_VTH_L_BO+Table7[[#This Row],[I_L]]/TI_MOSFET_S_gFS_L_BO))/3.4 )</f>
        <v>2.9461833562856583</v>
      </c>
      <c r="AQ242" s="145">
        <f ca="1">IF(VACnom&gt;Vbat, ((TI_MOSFET_S_VTH_H_BU+Table7[[#This Row],[I_L]]/TI_MOSFET_S_gFS_H_BU))/1, ((TI_MOSFET_S_VTH_L_BO+Table7[[#This Row],[I_L]]/TI_MOSFET_S_gFS_L_BO))/1 )</f>
        <v>1.9829765886287625</v>
      </c>
      <c r="AR242" s="145">
        <f ca="1">IF(VACnom&gt;Vbat, (TI_MOSFET_S_QGD_H_BU+TI_MOSFET_S_QGS_H_BU)*10^-9/Table7[[#This Row],[Ion (A)]], (TI_MOSFET_S_QGD_L_BO+TI_MOSFET_S_QGS_L_BO)*10^-9/Table7[[#This Row],[Ion (A)]])/10^-9</f>
        <v>9.7753590042369343</v>
      </c>
      <c r="AS242" s="145">
        <f ca="1">IF(VACnom&gt;Vbat, (TI_MOSFET_S_QGD_H_BU+TI_MOSFET_S_QGS_H_BU)*10^-9/Table7[[#This Row],[Ioff (A)]], (TI_MOSFET_S_QGD_L_BO+TI_MOSFET_S_QGS_L_BO)*10^-9/Table7[[#This Row],[Ioff (A)]])/10^-9</f>
        <v>14.523620785616705</v>
      </c>
      <c r="AT242" s="145">
        <f ca="1" xml:space="preserve"> 0.5*VACnom*Table7[[#This Row],[Ivalley (A)]]*Table7[[#This Row],[ton (ns)]]*10^-9*Fsw*10^3+0.5*VACnom*Table7[[#This Row],[Ipeak (A)]]*Table7[[#This Row],[toff (ns)]]*10^-9*Fsw*10^3/10^-3</f>
        <v>1630.2841694020333</v>
      </c>
      <c r="AU242" s="145">
        <f t="shared" ca="1" si="45"/>
        <v>268.64000000000004</v>
      </c>
      <c r="AV242" s="145" t="e">
        <f t="shared" si="46"/>
        <v>#VALUE!</v>
      </c>
      <c r="AW242" s="145">
        <f t="shared" ca="1" si="47"/>
        <v>566.72000000000025</v>
      </c>
      <c r="AX242" s="145">
        <f ca="1">IF(VACnom&gt;Vbat, TI_MOSFET_S_VSD_L_BU*Table7[[#This Row],[Ivalley (A)]]*Fsw*10^3*40*10^-9+TI_MOSFET_S_VSD_L_BU*Table7[[#This Row],[Ipeak (A)]]*Fsw*10^3*30*10^-9, TI_MOSFET_S_VSD_H_BO*Table7[[#This Row],[Ivalley (A)]]*Fsw*10^3*40*10^-9+TI_MOSFET_S_VSD_H_BO*Table7[[#This Row],[Ipeak (A)]]*Fsw*10^3*30*10^-9)/10^-3</f>
        <v>305.01078260869582</v>
      </c>
      <c r="AY242" s="145" t="e">
        <f t="shared" si="48"/>
        <v>#VALUE!</v>
      </c>
      <c r="AZ242" s="145" t="e">
        <f>IF(VACnom&lt;Vbat, Table7[[#This Row],[Duty Cycle]]*Table7[[#This Row],[I_L RMS]]^2*TI_MOSFET_S_RDSON_H_BU*10^-3, (1-Table7[[#This Row],[Duty Cycle]])*Table7[[#This Row],[I_L RMS]]^2*TI_MOSFET_S_RDSON_H_BO*10^-3)/10^-3</f>
        <v>#VALUE!</v>
      </c>
      <c r="BA242" s="145" t="e">
        <f ca="1">IF(VACnom&gt;Vbat, Table7[[#This Row],[PIV (mW)]]+Table7[[#This Row],[Pqoss (mW)]]+Table7[[#This Row],[Pgate_top (mW)]], Table7[[#This Row],[PRR (mW)]]+Table7[[#This Row],[Pdead (mW)]]+Table7[[#This Row],[Pgate_top (mW)]])</f>
        <v>#VALUE!</v>
      </c>
      <c r="BB242" s="145" t="e">
        <f ca="1">Table7[[#This Row],[Pcon_top (mW)]]+Table7[[#This Row],[Psw_top (mW)]]</f>
        <v>#VALUE!</v>
      </c>
      <c r="BC242" s="145" t="e">
        <f>IF(VACnom&gt;Vbat, (1-Table7[[#This Row],[Duty Cycle]])*Table7[[#This Row],[I_L RMS]]^2*TI_MOSFET_S_RDSON_L_BU*10^-3, Table7[[#This Row],[Duty Cycle]]*Table7[[#This Row],[I_L RMS]]^2*TI_MOSFET_S_RDSON_L_BO*10^-3)/10^-3</f>
        <v>#VALUE!</v>
      </c>
      <c r="BD242" s="145" t="e">
        <f ca="1">IF(VACnom&gt;Vbat, Table7[[#This Row],[PRR (mW)]]+Table7[[#This Row],[Pdead (mW)]]+Table7[[#This Row],[Pgate_bottom (mW)]], Table7[[#This Row],[PIV (mW)]]+Table7[[#This Row],[Pqoss (mW)]]+Table7[[#This Row],[Pgate_bottom (mW)]])</f>
        <v>#VALUE!</v>
      </c>
      <c r="BE242" s="147" t="e">
        <f ca="1">Table7[[#This Row],[Pcon_bottom (mW)]]+Table7[[#This Row],[Psw_bottom (mW)]]</f>
        <v>#VALUE!</v>
      </c>
      <c r="BF242" s="145" t="e">
        <f ca="1">Table7[[#This Row],[Pbottom (mW)]]+Table7[[#This Row],[Ptop (mW)]]</f>
        <v>#VALUE!</v>
      </c>
      <c r="BG242" s="142"/>
      <c r="BH242" s="145">
        <f>MAX(0,Table7[[#This Row],[I_L]]-0.5*Table7[[#This Row],[I_L pkpk]])</f>
        <v>30.091304347826092</v>
      </c>
      <c r="BI242" s="145">
        <f>Table7[[#This Row],[I_L]]+0.5*Table7[[#This Row],[I_L pkpk]]</f>
        <v>30.482608695652178</v>
      </c>
      <c r="BJ242" s="145">
        <f>IF(VACnom&gt;Vbat, (VGS_S-(C_MOSFET_S_VTH_H_BU+Table7[[#This Row],[I_L]]/C_MOSFET_S_gFS_H_BU))/3.4, (VGS_S-(C_MOSFET_S_VTH_L_BO+Table7[[#This Row],[I_L]]/C_MOSFET_S_gFS_L_BO))/3.4 )</f>
        <v>2.8937957491842314</v>
      </c>
      <c r="BK242" s="145">
        <f>IF(VACnom&gt;Vbat, ((C_MOSFET_S_VTH_H_BU+Table7[[#This Row],[I_L]]/C_MOSFET_S_gFS_H_BU))/1, ((C_MOSFET_S_VTH_L_BO+Table7[[#This Row],[I_L]]/C_MOSFET_S_gFS_L_BO))/1 )</f>
        <v>2.1610944527736131</v>
      </c>
      <c r="BL242" s="145">
        <f>IF(VACnom&gt;Vbat, (C_MOSFET_S_QGD_H_BU+C_MOSFET_S_QGS_H_BU)*10^-9/Table7[[#This Row],[Ion (A) C]], (C_MOSFET_S_QGD_L_BO+C_MOSFET_S_QGS_L_BO)*10^-9/Table7[[#This Row],[Ion (A) C]])/10^-9</f>
        <v>5.3562868092433584</v>
      </c>
      <c r="BM242" s="145">
        <f>IF(VACnom&gt;Vbat, (C_MOSFET_S_QGD_H_BU+C_MOSFET_S_QGS_H_BU)*10^-9/Table7[[#This Row],[Ioff (A) C]], (C_MOSFET_S_QGD_L_BO+C_MOSFET_S_QGS_L_BO)*10^-9/Table7[[#This Row],[Ioff (A) C]])/10^-9</f>
        <v>7.1722917895174998</v>
      </c>
      <c r="BN242" s="145">
        <f xml:space="preserve"> 0.5*VACnom*Table7[[#This Row],[Ivalley (A) C]]*Table7[[#This Row],[ton (ns) C]]*10^-9*Fsw*10^3+0.5*VACnom*Table7[[#This Row],[Ipeak (A) C]]*Table7[[#This Row],[toff (ns) C]]*10^-9*Fsw*10^3/10^-3</f>
        <v>805.15213755702371</v>
      </c>
      <c r="BO242" s="145">
        <f t="shared" si="49"/>
        <v>305.44000000000011</v>
      </c>
      <c r="BP242" s="145">
        <f t="shared" si="50"/>
        <v>357.69600000000014</v>
      </c>
      <c r="BQ242" s="145">
        <f t="shared" si="51"/>
        <v>1067.2000000000003</v>
      </c>
      <c r="BR242" s="145">
        <f>IF(VACnom&gt;Vbat, C_MOSFET_S_VSD_L_BU*Table7[[#This Row],[Ivalley (A) C]]*Fsw*10^3*40*10^-9+C_MOSFET_S_VSD_L_BU*Table7[[#This Row],[Ipeak (A) C]]*Fsw*10^3*30*10^-9, C_MOSFET_S_VSD_H_BO*Table7[[#This Row],[Ivalley (A) C]]*Fsw*10^3*40*10^-9+C_MOSFET_S_VSD_H_BO*Table7[[#This Row],[Ipeak (A) C]]*Fsw*10^3*30*10^-9)/10^-3</f>
        <v>338.90086956521759</v>
      </c>
      <c r="BS242" s="145">
        <f t="shared" si="52"/>
        <v>357.69600000000014</v>
      </c>
      <c r="BT242" s="145">
        <f>IF(VACnom&lt;Vbat, Table7[[#This Row],[Duty Cycle]]*Table7[[#This Row],[I_L RMS]]^2*C_MOSFET_S_RDSON_H_BU*10^-3, (1-Table7[[#This Row],[Duty Cycle]])*Table7[[#This Row],[I_L RMS]]^2*C_MOSFET_S_RDSON_H_BO*10^-3)/10^-3</f>
        <v>51.848097558970707</v>
      </c>
      <c r="BU242" s="145">
        <f>IF(VACnom&gt;Vbat, Table7[[#This Row],[PIV (mW) C]]+Table7[[#This Row],[PQoss (mW) C]]+Table7[[#This Row],[Pgate_top (mW) C]], Table7[[#This Row],[PRR (mW) C]]+Table7[[#This Row],[Pdead (mW) C]]+Table7[[#This Row],[Pgate_top (mW) C]])</f>
        <v>1468.2881375570239</v>
      </c>
      <c r="BV242" s="145">
        <f>Table7[[#This Row],[Pcon_top (mW) C]]+Table7[[#This Row],[Psw_top (mW) C]]</f>
        <v>1520.1362351159946</v>
      </c>
      <c r="BW242" s="145">
        <f>IF(VACnom&gt;Vbat, (1-Table7[[#This Row],[Duty Cycle]])*Table7[[#This Row],[I_L RMS]]^2*C_MOSFET_S_RDSON_L_BU*10^-3, Table7[[#This Row],[Duty Cycle]]*Table7[[#This Row],[I_L RMS]]^2*C_MOSFET_S_RDSON_L_BO*10^-3)/10^-3</f>
        <v>33.900679173173152</v>
      </c>
      <c r="BX242" s="145">
        <f>IF(VACnom&gt;Vbat, Table7[[#This Row],[PRR (mW) C]]+Table7[[#This Row],[Pdead (mW) C]]+Table7[[#This Row],[Pgate_bottom (mW) C]], Table7[[#This Row],[PIV (mW) C]]+Table7[[#This Row],[PQoss (mW) C]]+Table7[[#This Row],[Pgate_bottom (mW) C]])</f>
        <v>1763.796869565218</v>
      </c>
      <c r="BY242" s="145">
        <f>Table7[[#This Row],[Pcon_bottom (mW) C]]+Table7[[#This Row],[Psw_bottom (mV) C]]</f>
        <v>1797.6975487383911</v>
      </c>
      <c r="BZ242" s="145">
        <f>Table7[[#This Row],[Pbottom (mW) C]]+Table7[[#This Row],[Ptop (mW) C]]</f>
        <v>3317.8337838543857</v>
      </c>
      <c r="CA242" s="148"/>
      <c r="CB242" s="144">
        <f>(RAC_SNS*10^-3*(Table7[[#This Row],[IOUT (A)]]*Vbat/VACnom)^2/10^-3)</f>
        <v>1834.5994706994331</v>
      </c>
      <c r="CC242" s="144">
        <f>(RBAT_SNS*10^-3*Table7[[#This Row],[IOUT (A)]]^2)/10^-3</f>
        <v>4792.6080000000002</v>
      </c>
      <c r="CD242" s="144">
        <f>IF(VACnom&gt;Vbat,(L_DRC*10^-3*(Table7[[#This Row],[IOUT (A)]])^2/10^-3),(L_DRC*10^-3*(Table7[[#This Row],[IOUT (A)]]*Vbat/VACnom)^2/10^-3))</f>
        <v>4792.6080000000002</v>
      </c>
      <c r="CE242" s="152"/>
      <c r="CF242" s="145">
        <f>(Table7[[#This Row],[R_AC (mW)]]+Table7[[#This Row],[R_SR (mW)]]+Table7[[#This Row],[Inductor Loss (mW)]])/10^3</f>
        <v>11.419815470699433</v>
      </c>
      <c r="CG242" s="145" t="e">
        <f ca="1">Table7[[#This Row],[Total TI (mW)]]/10^3</f>
        <v>#VALUE!</v>
      </c>
      <c r="CH242" s="145" t="e">
        <f ca="1">Table7[[#This Row],[Total Sense Loss]]+Table7[[#This Row],[Total MOSFET Loss]]</f>
        <v>#VALUE!</v>
      </c>
      <c r="CI242" s="149" t="e">
        <f ca="1">IF(Table7[[#This Row],[POUT (W)]]=0,0,(Table7[[#This Row],[POUT (W)]])/(Table7[[#This Row],[POUT (W)]]+Table7[[#This Row],[Total Power Loss (W)]]))*100</f>
        <v>#VALUE!</v>
      </c>
      <c r="CJ242" s="153"/>
      <c r="CK242" s="145">
        <f>(Table7[[#This Row],[R_AC (mW)]]+Table7[[#This Row],[R_SR (mW)]]+Table7[[#This Row],[Inductor Loss (mW)]])/10^3</f>
        <v>11.419815470699433</v>
      </c>
      <c r="CL242" s="145">
        <f>Table7[[#This Row],[Total (mW) C]]/10^3</f>
        <v>3.3178337838543857</v>
      </c>
      <c r="CM242" s="145">
        <f>Table7[[#This Row],[Total Sense Loss C]]+Table7[[#This Row],[Total MOSFET Loss C]]</f>
        <v>14.737649254553819</v>
      </c>
      <c r="CN242" s="149">
        <f>IF(Table7[[#This Row],[POUT (W)]]=0,0,(Table7[[#This Row],[POUT (W)]])/(Table7[[#This Row],[POUT (W)]]+Table7[[#This Row],[Total Power Loss (W) C]]))*100</f>
        <v>98.722979991296569</v>
      </c>
      <c r="CO242" s="153"/>
      <c r="CP242" s="149">
        <f>IF(MOSFET_S=Custom_MOSFET,Table7[[#This Row],[Total Sense Loss C]],Table7[[#This Row],[Total Sense Loss]])</f>
        <v>11.419815470699433</v>
      </c>
      <c r="CQ242" s="149">
        <f>IF(MOSFET_S=Custom_MOSFET,Table7[[#This Row],[Total MOSFET Loss C]],Table7[[#This Row],[Total MOSFET Loss]])</f>
        <v>3.3178337838543857</v>
      </c>
      <c r="CR242" s="149">
        <f>IF(MOSFET_S=Custom_MOSFET,Table7[[#This Row],[Efficiency C]],Table7[[#This Row],[Efficiency]])</f>
        <v>98.722979991296569</v>
      </c>
      <c r="CS242" s="153"/>
      <c r="CT242" s="149">
        <f>IF(MOSFET_S=Compare_MOSFET, Table7[[#This Row],[Total Sense Loss C]], -100)</f>
        <v>-100</v>
      </c>
      <c r="CU242" s="149">
        <f>IF(MOSFET_S=Compare_MOSFET, Table7[[#This Row],[Total MOSFET Loss C]], -100)</f>
        <v>-100</v>
      </c>
      <c r="CV242" s="149">
        <f>IF(MOSFET_S=Compare_MOSFET, Table7[[#This Row],[Efficiency C]], -100)</f>
        <v>-100</v>
      </c>
      <c r="CW242" s="153"/>
      <c r="CX242" s="149">
        <f ca="1">IF(Save_Sel=CLR_Save,  Table7[[#This Row],[Total Sense Loss P1]], Table7[[#This Row],[Total Sense Loss P1 Saved]])</f>
        <v>11.419815470699433</v>
      </c>
      <c r="CY242" s="149">
        <f ca="1">IF(Save_Sel=CLR_Save,  Table7[[#This Row],[Total MOSFET Loss P1]], Table7[[#This Row],[Total MOSFET Loss P1 Saved]] )</f>
        <v>3.3178337838543857</v>
      </c>
      <c r="CZ242" s="149">
        <f ca="1">IF(Save_Sel=CLR_Save, Table7[[#This Row],[Efficiency P1]], Table7[[#This Row],[Efficiency P1 Saved]])</f>
        <v>98.722979991296569</v>
      </c>
      <c r="DA242" s="153"/>
      <c r="DB242" s="149">
        <f ca="1">IF(Save_Sel=CLR_Save,  Table7[[#This Row],[Total Sense Loss P2]], Table7[[#This Row],[Total Sense Loss P2 Saved]])</f>
        <v>-100</v>
      </c>
      <c r="DC242" s="149">
        <f ca="1">IF(Save_Sel=CLR_Save,  Table7[[#This Row],[Total MOSFET Loss P2]], Table7[[#This Row],[Total MOSFET Loss P2 Saved]] )</f>
        <v>-100</v>
      </c>
      <c r="DD242" s="149">
        <f ca="1">IF(Save_Sel=CLR_Save, Table7[[#This Row],[Efficiency P2]], Table7[[#This Row],[Efficiency P2 Saved]])</f>
        <v>-100</v>
      </c>
      <c r="DE242" s="153"/>
      <c r="DF242" s="19"/>
      <c r="DG242" s="19"/>
      <c r="DH242" s="19"/>
      <c r="DI242" s="19"/>
      <c r="DJ242" s="19"/>
      <c r="DK242" s="19"/>
      <c r="DL242" s="19"/>
      <c r="DM242" s="19"/>
      <c r="DN242" s="19"/>
      <c r="DO242" s="19"/>
      <c r="DP242" s="19"/>
      <c r="DQ242" s="19"/>
      <c r="DR242" s="19"/>
      <c r="DS242" s="19"/>
      <c r="DT242" s="19"/>
      <c r="DU242" s="19"/>
      <c r="DV242" s="19"/>
      <c r="DW242" s="19"/>
      <c r="DX242" s="19"/>
      <c r="DY242" s="19"/>
      <c r="DZ242" s="19"/>
      <c r="EA242" s="19"/>
      <c r="EB242" s="19"/>
      <c r="EC242" s="19"/>
      <c r="ED242" s="19"/>
      <c r="EE242" s="19"/>
      <c r="EF242" s="19"/>
      <c r="EG242" s="19"/>
      <c r="EH242" s="19"/>
      <c r="EI242" s="19"/>
      <c r="EJ242" s="19"/>
      <c r="EK242" s="19"/>
      <c r="EL242" s="19"/>
      <c r="EM242" s="19"/>
      <c r="EN242" s="19"/>
      <c r="EO242" s="19"/>
      <c r="EP242" s="19"/>
      <c r="EQ242" s="19"/>
      <c r="ER242" s="19"/>
      <c r="ES242" s="19"/>
      <c r="ET242" s="19"/>
      <c r="EU242" s="19"/>
      <c r="EV242" s="19"/>
      <c r="EW242" s="19"/>
      <c r="EX242" s="19"/>
      <c r="EY242" s="19"/>
      <c r="EZ242" s="19"/>
      <c r="FA242" s="19"/>
      <c r="FB242" s="19"/>
      <c r="FC242" s="19"/>
      <c r="FD242" s="19"/>
      <c r="FE242" s="19"/>
      <c r="FF242" s="19"/>
      <c r="FG242" s="19"/>
      <c r="FH242" s="19"/>
      <c r="FI242" s="19"/>
    </row>
    <row r="243" spans="1:165" x14ac:dyDescent="0.25">
      <c r="A243" s="67"/>
      <c r="B243" s="67"/>
      <c r="C243" s="67"/>
      <c r="D243" s="67"/>
      <c r="E243" s="67"/>
      <c r="F243" s="67"/>
      <c r="G243" s="67"/>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43">
        <f t="shared" si="54"/>
        <v>87</v>
      </c>
      <c r="AG243" s="143">
        <f t="shared" si="53"/>
        <v>31.32</v>
      </c>
      <c r="AH243" s="144">
        <f t="shared" si="42"/>
        <v>1152.576</v>
      </c>
      <c r="AI243" s="145">
        <f t="shared" si="43"/>
        <v>0.97826086956521752</v>
      </c>
      <c r="AJ243" s="145">
        <f t="shared" si="44"/>
        <v>30.639130434782611</v>
      </c>
      <c r="AK243" s="145">
        <f t="shared" si="40"/>
        <v>0.39130434782608459</v>
      </c>
      <c r="AL243" s="145">
        <f t="shared" si="41"/>
        <v>30.63933866329376</v>
      </c>
      <c r="AM243" s="146"/>
      <c r="AN243" s="145">
        <f>MAX(0,Table7[[#This Row],[I_L]]-0.5*Table7[[#This Row],[I_L pkpk]])</f>
        <v>30.443478260869568</v>
      </c>
      <c r="AO243" s="145">
        <f>Table7[[#This Row],[I_L]]+0.5*Table7[[#This Row],[I_L pkpk]]</f>
        <v>30.834782608695654</v>
      </c>
      <c r="AP243" s="145">
        <f ca="1">IF(VACnom&gt;Vbat, (VGS_S-(TI_MOSFET_S_VTH_H_BU+Table7[[#This Row],[I_L]]/TI_MOSFET_S_gFS_H_BU))/3.4, (VGS_S-(TI_MOSFET_S_VTH_L_BO+Table7[[#This Row],[I_L]]/TI_MOSFET_S_gFS_L_BO))/3.4 )</f>
        <v>2.9453865827267363</v>
      </c>
      <c r="AQ243" s="145">
        <f ca="1">IF(VACnom&gt;Vbat, ((TI_MOSFET_S_VTH_H_BU+Table7[[#This Row],[I_L]]/TI_MOSFET_S_gFS_H_BU))/1, ((TI_MOSFET_S_VTH_L_BO+Table7[[#This Row],[I_L]]/TI_MOSFET_S_gFS_L_BO))/1 )</f>
        <v>1.985685618729097</v>
      </c>
      <c r="AR243" s="145">
        <f ca="1">IF(VACnom&gt;Vbat, (TI_MOSFET_S_QGD_H_BU+TI_MOSFET_S_QGS_H_BU)*10^-9/Table7[[#This Row],[Ion (A)]], (TI_MOSFET_S_QGD_L_BO+TI_MOSFET_S_QGS_L_BO)*10^-9/Table7[[#This Row],[Ion (A)]])/10^-9</f>
        <v>9.7780033931362453</v>
      </c>
      <c r="AS243" s="145">
        <f ca="1">IF(VACnom&gt;Vbat, (TI_MOSFET_S_QGD_H_BU+TI_MOSFET_S_QGS_H_BU)*10^-9/Table7[[#This Row],[Ioff (A)]], (TI_MOSFET_S_QGD_L_BO+TI_MOSFET_S_QGS_L_BO)*10^-9/Table7[[#This Row],[Ioff (A)]])/10^-9</f>
        <v>14.503806508118306</v>
      </c>
      <c r="AT243" s="145">
        <f ca="1" xml:space="preserve"> 0.5*VACnom*Table7[[#This Row],[Ivalley (A)]]*Table7[[#This Row],[ton (ns)]]*10^-9*Fsw*10^3+0.5*VACnom*Table7[[#This Row],[Ipeak (A)]]*Table7[[#This Row],[toff (ns)]]*10^-9*Fsw*10^3/10^-3</f>
        <v>1646.871381365341</v>
      </c>
      <c r="AU243" s="145">
        <f t="shared" ca="1" si="45"/>
        <v>268.64000000000004</v>
      </c>
      <c r="AV243" s="145" t="e">
        <f t="shared" si="46"/>
        <v>#VALUE!</v>
      </c>
      <c r="AW243" s="145">
        <f t="shared" ca="1" si="47"/>
        <v>566.72000000000025</v>
      </c>
      <c r="AX243" s="145">
        <f ca="1">IF(VACnom&gt;Vbat, TI_MOSFET_S_VSD_L_BU*Table7[[#This Row],[Ivalley (A)]]*Fsw*10^3*40*10^-9+TI_MOSFET_S_VSD_L_BU*Table7[[#This Row],[Ipeak (A)]]*Fsw*10^3*30*10^-9, TI_MOSFET_S_VSD_H_BO*Table7[[#This Row],[Ivalley (A)]]*Fsw*10^3*40*10^-9+TI_MOSFET_S_VSD_H_BO*Table7[[#This Row],[Ipeak (A)]]*Fsw*10^3*30*10^-9)/10^-3</f>
        <v>308.56069565217405</v>
      </c>
      <c r="AY243" s="145" t="e">
        <f t="shared" si="48"/>
        <v>#VALUE!</v>
      </c>
      <c r="AZ243" s="145" t="e">
        <f>IF(VACnom&lt;Vbat, Table7[[#This Row],[Duty Cycle]]*Table7[[#This Row],[I_L RMS]]^2*TI_MOSFET_S_RDSON_H_BU*10^-3, (1-Table7[[#This Row],[Duty Cycle]])*Table7[[#This Row],[I_L RMS]]^2*TI_MOSFET_S_RDSON_H_BO*10^-3)/10^-3</f>
        <v>#VALUE!</v>
      </c>
      <c r="BA243" s="145" t="e">
        <f ca="1">IF(VACnom&gt;Vbat, Table7[[#This Row],[PIV (mW)]]+Table7[[#This Row],[Pqoss (mW)]]+Table7[[#This Row],[Pgate_top (mW)]], Table7[[#This Row],[PRR (mW)]]+Table7[[#This Row],[Pdead (mW)]]+Table7[[#This Row],[Pgate_top (mW)]])</f>
        <v>#VALUE!</v>
      </c>
      <c r="BB243" s="145" t="e">
        <f ca="1">Table7[[#This Row],[Pcon_top (mW)]]+Table7[[#This Row],[Psw_top (mW)]]</f>
        <v>#VALUE!</v>
      </c>
      <c r="BC243" s="145" t="e">
        <f>IF(VACnom&gt;Vbat, (1-Table7[[#This Row],[Duty Cycle]])*Table7[[#This Row],[I_L RMS]]^2*TI_MOSFET_S_RDSON_L_BU*10^-3, Table7[[#This Row],[Duty Cycle]]*Table7[[#This Row],[I_L RMS]]^2*TI_MOSFET_S_RDSON_L_BO*10^-3)/10^-3</f>
        <v>#VALUE!</v>
      </c>
      <c r="BD243" s="145" t="e">
        <f ca="1">IF(VACnom&gt;Vbat, Table7[[#This Row],[PRR (mW)]]+Table7[[#This Row],[Pdead (mW)]]+Table7[[#This Row],[Pgate_bottom (mW)]], Table7[[#This Row],[PIV (mW)]]+Table7[[#This Row],[Pqoss (mW)]]+Table7[[#This Row],[Pgate_bottom (mW)]])</f>
        <v>#VALUE!</v>
      </c>
      <c r="BE243" s="147" t="e">
        <f ca="1">Table7[[#This Row],[Pcon_bottom (mW)]]+Table7[[#This Row],[Psw_bottom (mW)]]</f>
        <v>#VALUE!</v>
      </c>
      <c r="BF243" s="145" t="e">
        <f ca="1">Table7[[#This Row],[Pbottom (mW)]]+Table7[[#This Row],[Ptop (mW)]]</f>
        <v>#VALUE!</v>
      </c>
      <c r="BG243" s="142"/>
      <c r="BH243" s="145">
        <f>MAX(0,Table7[[#This Row],[I_L]]-0.5*Table7[[#This Row],[I_L pkpk]])</f>
        <v>30.443478260869568</v>
      </c>
      <c r="BI243" s="145">
        <f>Table7[[#This Row],[I_L]]+0.5*Table7[[#This Row],[I_L pkpk]]</f>
        <v>30.834782608695654</v>
      </c>
      <c r="BJ243" s="145">
        <f>IF(VACnom&gt;Vbat, (VGS_S-(C_MOSFET_S_VTH_H_BU+Table7[[#This Row],[I_L]]/C_MOSFET_S_gFS_H_BU))/3.4, (VGS_S-(C_MOSFET_S_VTH_L_BO+Table7[[#This Row],[I_L]]/C_MOSFET_S_gFS_L_BO))/3.4 )</f>
        <v>2.8929028132992332</v>
      </c>
      <c r="BK243" s="145">
        <f>IF(VACnom&gt;Vbat, ((C_MOSFET_S_VTH_H_BU+Table7[[#This Row],[I_L]]/C_MOSFET_S_gFS_H_BU))/1, ((C_MOSFET_S_VTH_L_BO+Table7[[#This Row],[I_L]]/C_MOSFET_S_gFS_L_BO))/1 )</f>
        <v>2.1641304347826087</v>
      </c>
      <c r="BL243" s="145">
        <f>IF(VACnom&gt;Vbat, (C_MOSFET_S_QGD_H_BU+C_MOSFET_S_QGS_H_BU)*10^-9/Table7[[#This Row],[Ion (A) C]], (C_MOSFET_S_QGD_L_BO+C_MOSFET_S_QGS_L_BO)*10^-9/Table7[[#This Row],[Ion (A) C]])/10^-9</f>
        <v>5.3579401038788799</v>
      </c>
      <c r="BM243" s="145">
        <f>IF(VACnom&gt;Vbat, (C_MOSFET_S_QGD_H_BU+C_MOSFET_S_QGS_H_BU)*10^-9/Table7[[#This Row],[Ioff (A) C]], (C_MOSFET_S_QGD_L_BO+C_MOSFET_S_QGS_L_BO)*10^-9/Table7[[#This Row],[Ioff (A) C]])/10^-9</f>
        <v>7.1622300351582115</v>
      </c>
      <c r="BN243" s="145">
        <f xml:space="preserve"> 0.5*VACnom*Table7[[#This Row],[Ivalley (A) C]]*Table7[[#This Row],[ton (ns) C]]*10^-9*Fsw*10^3+0.5*VACnom*Table7[[#This Row],[Ipeak (A) C]]*Table7[[#This Row],[toff (ns) C]]*10^-9*Fsw*10^3/10^-3</f>
        <v>813.31282729519046</v>
      </c>
      <c r="BO243" s="145">
        <f t="shared" si="49"/>
        <v>305.44000000000011</v>
      </c>
      <c r="BP243" s="145">
        <f t="shared" si="50"/>
        <v>357.69600000000014</v>
      </c>
      <c r="BQ243" s="145">
        <f t="shared" si="51"/>
        <v>1067.2000000000003</v>
      </c>
      <c r="BR243" s="145">
        <f>IF(VACnom&gt;Vbat, C_MOSFET_S_VSD_L_BU*Table7[[#This Row],[Ivalley (A) C]]*Fsw*10^3*40*10^-9+C_MOSFET_S_VSD_L_BU*Table7[[#This Row],[Ipeak (A) C]]*Fsw*10^3*30*10^-9, C_MOSFET_S_VSD_H_BO*Table7[[#This Row],[Ivalley (A) C]]*Fsw*10^3*40*10^-9+C_MOSFET_S_VSD_H_BO*Table7[[#This Row],[Ipeak (A) C]]*Fsw*10^3*30*10^-9)/10^-3</f>
        <v>342.84521739130446</v>
      </c>
      <c r="BS243" s="145">
        <f t="shared" si="52"/>
        <v>357.69600000000014</v>
      </c>
      <c r="BT243" s="145">
        <f>IF(VACnom&lt;Vbat, Table7[[#This Row],[Duty Cycle]]*Table7[[#This Row],[I_L RMS]]^2*C_MOSFET_S_RDSON_H_BU*10^-3, (1-Table7[[#This Row],[Duty Cycle]])*Table7[[#This Row],[I_L RMS]]^2*C_MOSFET_S_RDSON_H_BO*10^-3)/10^-3</f>
        <v>53.060860688747965</v>
      </c>
      <c r="BU243" s="145">
        <f>IF(VACnom&gt;Vbat, Table7[[#This Row],[PIV (mW) C]]+Table7[[#This Row],[PQoss (mW) C]]+Table7[[#This Row],[Pgate_top (mW) C]], Table7[[#This Row],[PRR (mW) C]]+Table7[[#This Row],[Pdead (mW) C]]+Table7[[#This Row],[Pgate_top (mW) C]])</f>
        <v>1476.4488272951908</v>
      </c>
      <c r="BV243" s="145">
        <f>Table7[[#This Row],[Pcon_top (mW) C]]+Table7[[#This Row],[Psw_top (mW) C]]</f>
        <v>1529.5096879839386</v>
      </c>
      <c r="BW243" s="145">
        <f>IF(VACnom&gt;Vbat, (1-Table7[[#This Row],[Duty Cycle]])*Table7[[#This Row],[I_L RMS]]^2*C_MOSFET_S_RDSON_L_BU*10^-3, Table7[[#This Row],[Duty Cycle]]*Table7[[#This Row],[I_L RMS]]^2*C_MOSFET_S_RDSON_L_BO*10^-3)/10^-3</f>
        <v>34.693639681104436</v>
      </c>
      <c r="BX243" s="145">
        <f>IF(VACnom&gt;Vbat, Table7[[#This Row],[PRR (mW) C]]+Table7[[#This Row],[Pdead (mW) C]]+Table7[[#This Row],[Pgate_bottom (mW) C]], Table7[[#This Row],[PIV (mW) C]]+Table7[[#This Row],[PQoss (mW) C]]+Table7[[#This Row],[Pgate_bottom (mW) C]])</f>
        <v>1767.7412173913049</v>
      </c>
      <c r="BY243" s="145">
        <f>Table7[[#This Row],[Pcon_bottom (mW) C]]+Table7[[#This Row],[Psw_bottom (mV) C]]</f>
        <v>1802.4348570724094</v>
      </c>
      <c r="BZ243" s="145">
        <f>Table7[[#This Row],[Pbottom (mW) C]]+Table7[[#This Row],[Ptop (mW) C]]</f>
        <v>3331.944545056348</v>
      </c>
      <c r="CA243" s="148"/>
      <c r="CB243" s="144">
        <f>(RAC_SNS*10^-3*(Table7[[#This Row],[IOUT (A)]]*Vbat/VACnom)^2/10^-3)</f>
        <v>1877.5126275992443</v>
      </c>
      <c r="CC243" s="144">
        <f>(RBAT_SNS*10^-3*Table7[[#This Row],[IOUT (A)]]^2)/10^-3</f>
        <v>4904.7119999999995</v>
      </c>
      <c r="CD243" s="144">
        <f>IF(VACnom&gt;Vbat,(L_DRC*10^-3*(Table7[[#This Row],[IOUT (A)]])^2/10^-3),(L_DRC*10^-3*(Table7[[#This Row],[IOUT (A)]]*Vbat/VACnom)^2/10^-3))</f>
        <v>4904.7119999999995</v>
      </c>
      <c r="CE243" s="152"/>
      <c r="CF243" s="145">
        <f>(Table7[[#This Row],[R_AC (mW)]]+Table7[[#This Row],[R_SR (mW)]]+Table7[[#This Row],[Inductor Loss (mW)]])/10^3</f>
        <v>11.686936627599243</v>
      </c>
      <c r="CG243" s="145" t="e">
        <f ca="1">Table7[[#This Row],[Total TI (mW)]]/10^3</f>
        <v>#VALUE!</v>
      </c>
      <c r="CH243" s="145" t="e">
        <f ca="1">Table7[[#This Row],[Total Sense Loss]]+Table7[[#This Row],[Total MOSFET Loss]]</f>
        <v>#VALUE!</v>
      </c>
      <c r="CI243" s="149" t="e">
        <f ca="1">IF(Table7[[#This Row],[POUT (W)]]=0,0,(Table7[[#This Row],[POUT (W)]])/(Table7[[#This Row],[POUT (W)]]+Table7[[#This Row],[Total Power Loss (W)]]))*100</f>
        <v>#VALUE!</v>
      </c>
      <c r="CJ243" s="153"/>
      <c r="CK243" s="145">
        <f>(Table7[[#This Row],[R_AC (mW)]]+Table7[[#This Row],[R_SR (mW)]]+Table7[[#This Row],[Inductor Loss (mW)]])/10^3</f>
        <v>11.686936627599243</v>
      </c>
      <c r="CL243" s="145">
        <f>Table7[[#This Row],[Total (mW) C]]/10^3</f>
        <v>3.3319445450563481</v>
      </c>
      <c r="CM243" s="145">
        <f>Table7[[#This Row],[Total Sense Loss C]]+Table7[[#This Row],[Total MOSFET Loss C]]</f>
        <v>15.018881172655592</v>
      </c>
      <c r="CN243" s="149">
        <f>IF(Table7[[#This Row],[POUT (W)]]=0,0,(Table7[[#This Row],[POUT (W)]])/(Table7[[#This Row],[POUT (W)]]+Table7[[#This Row],[Total Power Loss (W) C]]))*100</f>
        <v>98.713690731705555</v>
      </c>
      <c r="CO243" s="153"/>
      <c r="CP243" s="149">
        <f>IF(MOSFET_S=Custom_MOSFET,Table7[[#This Row],[Total Sense Loss C]],Table7[[#This Row],[Total Sense Loss]])</f>
        <v>11.686936627599243</v>
      </c>
      <c r="CQ243" s="149">
        <f>IF(MOSFET_S=Custom_MOSFET,Table7[[#This Row],[Total MOSFET Loss C]],Table7[[#This Row],[Total MOSFET Loss]])</f>
        <v>3.3319445450563481</v>
      </c>
      <c r="CR243" s="149">
        <f>IF(MOSFET_S=Custom_MOSFET,Table7[[#This Row],[Efficiency C]],Table7[[#This Row],[Efficiency]])</f>
        <v>98.713690731705555</v>
      </c>
      <c r="CS243" s="153"/>
      <c r="CT243" s="149">
        <f>IF(MOSFET_S=Compare_MOSFET, Table7[[#This Row],[Total Sense Loss C]], -100)</f>
        <v>-100</v>
      </c>
      <c r="CU243" s="149">
        <f>IF(MOSFET_S=Compare_MOSFET, Table7[[#This Row],[Total MOSFET Loss C]], -100)</f>
        <v>-100</v>
      </c>
      <c r="CV243" s="149">
        <f>IF(MOSFET_S=Compare_MOSFET, Table7[[#This Row],[Efficiency C]], -100)</f>
        <v>-100</v>
      </c>
      <c r="CW243" s="153"/>
      <c r="CX243" s="149">
        <f ca="1">IF(Save_Sel=CLR_Save,  Table7[[#This Row],[Total Sense Loss P1]], Table7[[#This Row],[Total Sense Loss P1 Saved]])</f>
        <v>11.686936627599243</v>
      </c>
      <c r="CY243" s="149">
        <f ca="1">IF(Save_Sel=CLR_Save,  Table7[[#This Row],[Total MOSFET Loss P1]], Table7[[#This Row],[Total MOSFET Loss P1 Saved]] )</f>
        <v>3.3319445450563481</v>
      </c>
      <c r="CZ243" s="149">
        <f ca="1">IF(Save_Sel=CLR_Save, Table7[[#This Row],[Efficiency P1]], Table7[[#This Row],[Efficiency P1 Saved]])</f>
        <v>98.713690731705555</v>
      </c>
      <c r="DA243" s="153"/>
      <c r="DB243" s="149">
        <f ca="1">IF(Save_Sel=CLR_Save,  Table7[[#This Row],[Total Sense Loss P2]], Table7[[#This Row],[Total Sense Loss P2 Saved]])</f>
        <v>-100</v>
      </c>
      <c r="DC243" s="149">
        <f ca="1">IF(Save_Sel=CLR_Save,  Table7[[#This Row],[Total MOSFET Loss P2]], Table7[[#This Row],[Total MOSFET Loss P2 Saved]] )</f>
        <v>-100</v>
      </c>
      <c r="DD243" s="149">
        <f ca="1">IF(Save_Sel=CLR_Save, Table7[[#This Row],[Efficiency P2]], Table7[[#This Row],[Efficiency P2 Saved]])</f>
        <v>-100</v>
      </c>
      <c r="DE243" s="153"/>
      <c r="DF243" s="19"/>
      <c r="DG243" s="19"/>
      <c r="DH243" s="19"/>
      <c r="DI243" s="19"/>
      <c r="DJ243" s="19"/>
      <c r="DK243" s="19"/>
      <c r="DL243" s="19"/>
      <c r="DM243" s="19"/>
      <c r="DN243" s="19"/>
      <c r="DO243" s="19"/>
      <c r="DP243" s="19"/>
      <c r="DQ243" s="19"/>
      <c r="DR243" s="19"/>
      <c r="DS243" s="19"/>
      <c r="DT243" s="19"/>
      <c r="DU243" s="19"/>
      <c r="DV243" s="19"/>
      <c r="DW243" s="19"/>
      <c r="DX243" s="19"/>
      <c r="DY243" s="19"/>
      <c r="DZ243" s="19"/>
      <c r="EA243" s="19"/>
      <c r="EB243" s="19"/>
      <c r="EC243" s="19"/>
      <c r="ED243" s="19"/>
      <c r="EE243" s="19"/>
      <c r="EF243" s="19"/>
      <c r="EG243" s="19"/>
      <c r="EH243" s="19"/>
      <c r="EI243" s="19"/>
      <c r="EJ243" s="19"/>
      <c r="EK243" s="19"/>
      <c r="EL243" s="19"/>
      <c r="EM243" s="19"/>
      <c r="EN243" s="19"/>
      <c r="EO243" s="19"/>
      <c r="EP243" s="19"/>
      <c r="EQ243" s="19"/>
      <c r="ER243" s="19"/>
      <c r="ES243" s="19"/>
      <c r="ET243" s="19"/>
      <c r="EU243" s="19"/>
      <c r="EV243" s="19"/>
      <c r="EW243" s="19"/>
      <c r="EX243" s="19"/>
      <c r="EY243" s="19"/>
      <c r="EZ243" s="19"/>
      <c r="FA243" s="19"/>
      <c r="FB243" s="19"/>
      <c r="FC243" s="19"/>
      <c r="FD243" s="19"/>
      <c r="FE243" s="19"/>
      <c r="FF243" s="19"/>
      <c r="FG243" s="19"/>
      <c r="FH243" s="19"/>
      <c r="FI243" s="19"/>
    </row>
    <row r="244" spans="1:165" x14ac:dyDescent="0.25">
      <c r="A244" s="67"/>
      <c r="B244" s="67"/>
      <c r="C244" s="67"/>
      <c r="D244" s="67"/>
      <c r="E244" s="67"/>
      <c r="F244" s="67"/>
      <c r="G244" s="67"/>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43">
        <f t="shared" si="54"/>
        <v>88</v>
      </c>
      <c r="AG244" s="143">
        <f t="shared" si="53"/>
        <v>31.68</v>
      </c>
      <c r="AH244" s="144">
        <f t="shared" si="42"/>
        <v>1165.8239999999998</v>
      </c>
      <c r="AI244" s="145">
        <f t="shared" si="43"/>
        <v>0.97826086956521752</v>
      </c>
      <c r="AJ244" s="145">
        <f t="shared" si="44"/>
        <v>30.991304347826091</v>
      </c>
      <c r="AK244" s="145">
        <f t="shared" si="40"/>
        <v>0.39130434782608459</v>
      </c>
      <c r="AL244" s="145">
        <f t="shared" si="41"/>
        <v>30.991510210119966</v>
      </c>
      <c r="AM244" s="146"/>
      <c r="AN244" s="145">
        <f>MAX(0,Table7[[#This Row],[I_L]]-0.5*Table7[[#This Row],[I_L pkpk]])</f>
        <v>30.795652173913048</v>
      </c>
      <c r="AO244" s="145">
        <f>Table7[[#This Row],[I_L]]+0.5*Table7[[#This Row],[I_L pkpk]]</f>
        <v>31.186956521739134</v>
      </c>
      <c r="AP244" s="145">
        <f ca="1">IF(VACnom&gt;Vbat, (VGS_S-(TI_MOSFET_S_VTH_H_BU+Table7[[#This Row],[I_L]]/TI_MOSFET_S_gFS_H_BU))/3.4, (VGS_S-(TI_MOSFET_S_VTH_L_BO+Table7[[#This Row],[I_L]]/TI_MOSFET_S_gFS_L_BO))/3.4 )</f>
        <v>2.9445898091678147</v>
      </c>
      <c r="AQ244" s="145">
        <f ca="1">IF(VACnom&gt;Vbat, ((TI_MOSFET_S_VTH_H_BU+Table7[[#This Row],[I_L]]/TI_MOSFET_S_gFS_H_BU))/1, ((TI_MOSFET_S_VTH_L_BO+Table7[[#This Row],[I_L]]/TI_MOSFET_S_gFS_L_BO))/1 )</f>
        <v>1.9883946488294315</v>
      </c>
      <c r="AR244" s="145">
        <f ca="1">IF(VACnom&gt;Vbat, (TI_MOSFET_S_QGD_H_BU+TI_MOSFET_S_QGS_H_BU)*10^-9/Table7[[#This Row],[Ion (A)]], (TI_MOSFET_S_QGD_L_BO+TI_MOSFET_S_QGS_L_BO)*10^-9/Table7[[#This Row],[Ion (A)]])/10^-9</f>
        <v>9.780649213120558</v>
      </c>
      <c r="AS244" s="145">
        <f ca="1">IF(VACnom&gt;Vbat, (TI_MOSFET_S_QGD_H_BU+TI_MOSFET_S_QGS_H_BU)*10^-9/Table7[[#This Row],[Ioff (A)]], (TI_MOSFET_S_QGD_L_BO+TI_MOSFET_S_QGS_L_BO)*10^-9/Table7[[#This Row],[Ioff (A)]])/10^-9</f>
        <v>14.484046221384959</v>
      </c>
      <c r="AT244" s="145">
        <f ca="1" xml:space="preserve"> 0.5*VACnom*Table7[[#This Row],[Ivalley (A)]]*Table7[[#This Row],[ton (ns)]]*10^-9*Fsw*10^3+0.5*VACnom*Table7[[#This Row],[Ipeak (A)]]*Table7[[#This Row],[toff (ns)]]*10^-9*Fsw*10^3/10^-3</f>
        <v>1663.4134381499346</v>
      </c>
      <c r="AU244" s="145">
        <f t="shared" ca="1" si="45"/>
        <v>268.64000000000004</v>
      </c>
      <c r="AV244" s="145" t="e">
        <f t="shared" si="46"/>
        <v>#VALUE!</v>
      </c>
      <c r="AW244" s="145">
        <f t="shared" ca="1" si="47"/>
        <v>566.72000000000025</v>
      </c>
      <c r="AX244" s="145">
        <f ca="1">IF(VACnom&gt;Vbat, TI_MOSFET_S_VSD_L_BU*Table7[[#This Row],[Ivalley (A)]]*Fsw*10^3*40*10^-9+TI_MOSFET_S_VSD_L_BU*Table7[[#This Row],[Ipeak (A)]]*Fsw*10^3*30*10^-9, TI_MOSFET_S_VSD_H_BO*Table7[[#This Row],[Ivalley (A)]]*Fsw*10^3*40*10^-9+TI_MOSFET_S_VSD_H_BO*Table7[[#This Row],[Ipeak (A)]]*Fsw*10^3*30*10^-9)/10^-3</f>
        <v>312.11060869565233</v>
      </c>
      <c r="AY244" s="145" t="e">
        <f t="shared" si="48"/>
        <v>#VALUE!</v>
      </c>
      <c r="AZ244" s="145" t="e">
        <f>IF(VACnom&lt;Vbat, Table7[[#This Row],[Duty Cycle]]*Table7[[#This Row],[I_L RMS]]^2*TI_MOSFET_S_RDSON_H_BU*10^-3, (1-Table7[[#This Row],[Duty Cycle]])*Table7[[#This Row],[I_L RMS]]^2*TI_MOSFET_S_RDSON_H_BO*10^-3)/10^-3</f>
        <v>#VALUE!</v>
      </c>
      <c r="BA244" s="145" t="e">
        <f ca="1">IF(VACnom&gt;Vbat, Table7[[#This Row],[PIV (mW)]]+Table7[[#This Row],[Pqoss (mW)]]+Table7[[#This Row],[Pgate_top (mW)]], Table7[[#This Row],[PRR (mW)]]+Table7[[#This Row],[Pdead (mW)]]+Table7[[#This Row],[Pgate_top (mW)]])</f>
        <v>#VALUE!</v>
      </c>
      <c r="BB244" s="145" t="e">
        <f ca="1">Table7[[#This Row],[Pcon_top (mW)]]+Table7[[#This Row],[Psw_top (mW)]]</f>
        <v>#VALUE!</v>
      </c>
      <c r="BC244" s="145" t="e">
        <f>IF(VACnom&gt;Vbat, (1-Table7[[#This Row],[Duty Cycle]])*Table7[[#This Row],[I_L RMS]]^2*TI_MOSFET_S_RDSON_L_BU*10^-3, Table7[[#This Row],[Duty Cycle]]*Table7[[#This Row],[I_L RMS]]^2*TI_MOSFET_S_RDSON_L_BO*10^-3)/10^-3</f>
        <v>#VALUE!</v>
      </c>
      <c r="BD244" s="145" t="e">
        <f ca="1">IF(VACnom&gt;Vbat, Table7[[#This Row],[PRR (mW)]]+Table7[[#This Row],[Pdead (mW)]]+Table7[[#This Row],[Pgate_bottom (mW)]], Table7[[#This Row],[PIV (mW)]]+Table7[[#This Row],[Pqoss (mW)]]+Table7[[#This Row],[Pgate_bottom (mW)]])</f>
        <v>#VALUE!</v>
      </c>
      <c r="BE244" s="147" t="e">
        <f ca="1">Table7[[#This Row],[Pcon_bottom (mW)]]+Table7[[#This Row],[Psw_bottom (mW)]]</f>
        <v>#VALUE!</v>
      </c>
      <c r="BF244" s="145" t="e">
        <f ca="1">Table7[[#This Row],[Pbottom (mW)]]+Table7[[#This Row],[Ptop (mW)]]</f>
        <v>#VALUE!</v>
      </c>
      <c r="BG244" s="142"/>
      <c r="BH244" s="145">
        <f>MAX(0,Table7[[#This Row],[I_L]]-0.5*Table7[[#This Row],[I_L pkpk]])</f>
        <v>30.795652173913048</v>
      </c>
      <c r="BI244" s="145">
        <f>Table7[[#This Row],[I_L]]+0.5*Table7[[#This Row],[I_L pkpk]]</f>
        <v>31.186956521739134</v>
      </c>
      <c r="BJ244" s="145">
        <f>IF(VACnom&gt;Vbat, (VGS_S-(C_MOSFET_S_VTH_H_BU+Table7[[#This Row],[I_L]]/C_MOSFET_S_gFS_H_BU))/3.4, (VGS_S-(C_MOSFET_S_VTH_L_BO+Table7[[#This Row],[I_L]]/C_MOSFET_S_gFS_L_BO))/3.4 )</f>
        <v>2.8920098774142344</v>
      </c>
      <c r="BK244" s="145">
        <f>IF(VACnom&gt;Vbat, ((C_MOSFET_S_VTH_H_BU+Table7[[#This Row],[I_L]]/C_MOSFET_S_gFS_H_BU))/1, ((C_MOSFET_S_VTH_L_BO+Table7[[#This Row],[I_L]]/C_MOSFET_S_gFS_L_BO))/1 )</f>
        <v>2.1671664167916043</v>
      </c>
      <c r="BL244" s="145">
        <f>IF(VACnom&gt;Vbat, (C_MOSFET_S_QGD_H_BU+C_MOSFET_S_QGS_H_BU)*10^-9/Table7[[#This Row],[Ion (A) C]], (C_MOSFET_S_QGD_L_BO+C_MOSFET_S_QGS_L_BO)*10^-9/Table7[[#This Row],[Ion (A) C]])/10^-9</f>
        <v>5.3595944194556671</v>
      </c>
      <c r="BM244" s="145">
        <f>IF(VACnom&gt;Vbat, (C_MOSFET_S_QGD_H_BU+C_MOSFET_S_QGS_H_BU)*10^-9/Table7[[#This Row],[Ioff (A) C]], (C_MOSFET_S_QGD_L_BO+C_MOSFET_S_QGS_L_BO)*10^-9/Table7[[#This Row],[Ioff (A) C]])/10^-9</f>
        <v>7.152196471809062</v>
      </c>
      <c r="BN244" s="145">
        <f xml:space="preserve"> 0.5*VACnom*Table7[[#This Row],[Ivalley (A) C]]*Table7[[#This Row],[ton (ns) C]]*10^-9*Fsw*10^3+0.5*VACnom*Table7[[#This Row],[Ipeak (A) C]]*Table7[[#This Row],[toff (ns) C]]*10^-9*Fsw*10^3/10^-3</f>
        <v>821.45067679295073</v>
      </c>
      <c r="BO244" s="145">
        <f t="shared" si="49"/>
        <v>305.44000000000011</v>
      </c>
      <c r="BP244" s="145">
        <f t="shared" si="50"/>
        <v>357.69600000000014</v>
      </c>
      <c r="BQ244" s="145">
        <f t="shared" si="51"/>
        <v>1067.2000000000003</v>
      </c>
      <c r="BR244" s="145">
        <f>IF(VACnom&gt;Vbat, C_MOSFET_S_VSD_L_BU*Table7[[#This Row],[Ivalley (A) C]]*Fsw*10^3*40*10^-9+C_MOSFET_S_VSD_L_BU*Table7[[#This Row],[Ipeak (A) C]]*Fsw*10^3*30*10^-9, C_MOSFET_S_VSD_H_BO*Table7[[#This Row],[Ivalley (A) C]]*Fsw*10^3*40*10^-9+C_MOSFET_S_VSD_H_BO*Table7[[#This Row],[Ipeak (A) C]]*Fsw*10^3*30*10^-9)/10^-3</f>
        <v>346.7895652173915</v>
      </c>
      <c r="BS244" s="145">
        <f t="shared" si="52"/>
        <v>357.69600000000014</v>
      </c>
      <c r="BT244" s="145">
        <f>IF(VACnom&lt;Vbat, Table7[[#This Row],[Duty Cycle]]*Table7[[#This Row],[I_L RMS]]^2*C_MOSFET_S_RDSON_H_BU*10^-3, (1-Table7[[#This Row],[Duty Cycle]])*Table7[[#This Row],[I_L RMS]]^2*C_MOSFET_S_RDSON_H_BO*10^-3)/10^-3</f>
        <v>54.287644201528437</v>
      </c>
      <c r="BU244" s="145">
        <f>IF(VACnom&gt;Vbat, Table7[[#This Row],[PIV (mW) C]]+Table7[[#This Row],[PQoss (mW) C]]+Table7[[#This Row],[Pgate_top (mW) C]], Table7[[#This Row],[PRR (mW) C]]+Table7[[#This Row],[Pdead (mW) C]]+Table7[[#This Row],[Pgate_top (mW) C]])</f>
        <v>1484.586676792951</v>
      </c>
      <c r="BV244" s="145">
        <f>Table7[[#This Row],[Pcon_top (mW) C]]+Table7[[#This Row],[Psw_top (mW) C]]</f>
        <v>1538.8743209944794</v>
      </c>
      <c r="BW244" s="145">
        <f>IF(VACnom&gt;Vbat, (1-Table7[[#This Row],[Duty Cycle]])*Table7[[#This Row],[I_L RMS]]^2*C_MOSFET_S_RDSON_L_BU*10^-3, Table7[[#This Row],[Duty Cycle]]*Table7[[#This Row],[I_L RMS]]^2*C_MOSFET_S_RDSON_L_BO*10^-3)/10^-3</f>
        <v>35.495767362537819</v>
      </c>
      <c r="BX244" s="145">
        <f>IF(VACnom&gt;Vbat, Table7[[#This Row],[PRR (mW) C]]+Table7[[#This Row],[Pdead (mW) C]]+Table7[[#This Row],[Pgate_bottom (mW) C]], Table7[[#This Row],[PIV (mW) C]]+Table7[[#This Row],[PQoss (mW) C]]+Table7[[#This Row],[Pgate_bottom (mW) C]])</f>
        <v>1771.685565217392</v>
      </c>
      <c r="BY244" s="145">
        <f>Table7[[#This Row],[Pcon_bottom (mW) C]]+Table7[[#This Row],[Psw_bottom (mV) C]]</f>
        <v>1807.1813325799299</v>
      </c>
      <c r="BZ244" s="145">
        <f>Table7[[#This Row],[Pbottom (mW) C]]+Table7[[#This Row],[Ptop (mW) C]]</f>
        <v>3346.055653574409</v>
      </c>
      <c r="CA244" s="148"/>
      <c r="CB244" s="144">
        <f>(RAC_SNS*10^-3*(Table7[[#This Row],[IOUT (A)]]*Vbat/VACnom)^2/10^-3)</f>
        <v>1920.9218903591689</v>
      </c>
      <c r="CC244" s="144">
        <f>(RBAT_SNS*10^-3*Table7[[#This Row],[IOUT (A)]]^2)/10^-3</f>
        <v>5018.1120000000001</v>
      </c>
      <c r="CD244" s="144">
        <f>IF(VACnom&gt;Vbat,(L_DRC*10^-3*(Table7[[#This Row],[IOUT (A)]])^2/10^-3),(L_DRC*10^-3*(Table7[[#This Row],[IOUT (A)]]*Vbat/VACnom)^2/10^-3))</f>
        <v>5018.1120000000001</v>
      </c>
      <c r="CE244" s="152"/>
      <c r="CF244" s="145">
        <f>(Table7[[#This Row],[R_AC (mW)]]+Table7[[#This Row],[R_SR (mW)]]+Table7[[#This Row],[Inductor Loss (mW)]])/10^3</f>
        <v>11.95714589035917</v>
      </c>
      <c r="CG244" s="145" t="e">
        <f ca="1">Table7[[#This Row],[Total TI (mW)]]/10^3</f>
        <v>#VALUE!</v>
      </c>
      <c r="CH244" s="145" t="e">
        <f ca="1">Table7[[#This Row],[Total Sense Loss]]+Table7[[#This Row],[Total MOSFET Loss]]</f>
        <v>#VALUE!</v>
      </c>
      <c r="CI244" s="149" t="e">
        <f ca="1">IF(Table7[[#This Row],[POUT (W)]]=0,0,(Table7[[#This Row],[POUT (W)]])/(Table7[[#This Row],[POUT (W)]]+Table7[[#This Row],[Total Power Loss (W)]]))*100</f>
        <v>#VALUE!</v>
      </c>
      <c r="CJ244" s="153"/>
      <c r="CK244" s="145">
        <f>(Table7[[#This Row],[R_AC (mW)]]+Table7[[#This Row],[R_SR (mW)]]+Table7[[#This Row],[Inductor Loss (mW)]])/10^3</f>
        <v>11.95714589035917</v>
      </c>
      <c r="CL244" s="145">
        <f>Table7[[#This Row],[Total (mW) C]]/10^3</f>
        <v>3.346055653574409</v>
      </c>
      <c r="CM244" s="145">
        <f>Table7[[#This Row],[Total Sense Loss C]]+Table7[[#This Row],[Total MOSFET Loss C]]</f>
        <v>15.303201543933579</v>
      </c>
      <c r="CN244" s="149">
        <f>IF(Table7[[#This Row],[POUT (W)]]=0,0,(Table7[[#This Row],[POUT (W)]])/(Table7[[#This Row],[POUT (W)]]+Table7[[#This Row],[Total Power Loss (W) C]]))*100</f>
        <v>98.704356184166315</v>
      </c>
      <c r="CO244" s="153"/>
      <c r="CP244" s="149">
        <f>IF(MOSFET_S=Custom_MOSFET,Table7[[#This Row],[Total Sense Loss C]],Table7[[#This Row],[Total Sense Loss]])</f>
        <v>11.95714589035917</v>
      </c>
      <c r="CQ244" s="149">
        <f>IF(MOSFET_S=Custom_MOSFET,Table7[[#This Row],[Total MOSFET Loss C]],Table7[[#This Row],[Total MOSFET Loss]])</f>
        <v>3.346055653574409</v>
      </c>
      <c r="CR244" s="149">
        <f>IF(MOSFET_S=Custom_MOSFET,Table7[[#This Row],[Efficiency C]],Table7[[#This Row],[Efficiency]])</f>
        <v>98.704356184166315</v>
      </c>
      <c r="CS244" s="153"/>
      <c r="CT244" s="149">
        <f>IF(MOSFET_S=Compare_MOSFET, Table7[[#This Row],[Total Sense Loss C]], -100)</f>
        <v>-100</v>
      </c>
      <c r="CU244" s="149">
        <f>IF(MOSFET_S=Compare_MOSFET, Table7[[#This Row],[Total MOSFET Loss C]], -100)</f>
        <v>-100</v>
      </c>
      <c r="CV244" s="149">
        <f>IF(MOSFET_S=Compare_MOSFET, Table7[[#This Row],[Efficiency C]], -100)</f>
        <v>-100</v>
      </c>
      <c r="CW244" s="153"/>
      <c r="CX244" s="149">
        <f ca="1">IF(Save_Sel=CLR_Save,  Table7[[#This Row],[Total Sense Loss P1]], Table7[[#This Row],[Total Sense Loss P1 Saved]])</f>
        <v>11.95714589035917</v>
      </c>
      <c r="CY244" s="149">
        <f ca="1">IF(Save_Sel=CLR_Save,  Table7[[#This Row],[Total MOSFET Loss P1]], Table7[[#This Row],[Total MOSFET Loss P1 Saved]] )</f>
        <v>3.346055653574409</v>
      </c>
      <c r="CZ244" s="149">
        <f ca="1">IF(Save_Sel=CLR_Save, Table7[[#This Row],[Efficiency P1]], Table7[[#This Row],[Efficiency P1 Saved]])</f>
        <v>98.704356184166315</v>
      </c>
      <c r="DA244" s="153"/>
      <c r="DB244" s="149">
        <f ca="1">IF(Save_Sel=CLR_Save,  Table7[[#This Row],[Total Sense Loss P2]], Table7[[#This Row],[Total Sense Loss P2 Saved]])</f>
        <v>-100</v>
      </c>
      <c r="DC244" s="149">
        <f ca="1">IF(Save_Sel=CLR_Save,  Table7[[#This Row],[Total MOSFET Loss P2]], Table7[[#This Row],[Total MOSFET Loss P2 Saved]] )</f>
        <v>-100</v>
      </c>
      <c r="DD244" s="149">
        <f ca="1">IF(Save_Sel=CLR_Save, Table7[[#This Row],[Efficiency P2]], Table7[[#This Row],[Efficiency P2 Saved]])</f>
        <v>-100</v>
      </c>
      <c r="DE244" s="153"/>
      <c r="DF244" s="19"/>
      <c r="DG244" s="19"/>
      <c r="DH244" s="19"/>
      <c r="DI244" s="19"/>
      <c r="DJ244" s="19"/>
      <c r="DK244" s="19"/>
      <c r="DL244" s="19"/>
      <c r="DM244" s="19"/>
      <c r="DN244" s="19"/>
      <c r="DO244" s="19"/>
      <c r="DP244" s="19"/>
      <c r="DQ244" s="19"/>
      <c r="DR244" s="19"/>
      <c r="DS244" s="19"/>
      <c r="DT244" s="19"/>
      <c r="DU244" s="19"/>
      <c r="DV244" s="19"/>
      <c r="DW244" s="19"/>
      <c r="DX244" s="19"/>
      <c r="DY244" s="19"/>
      <c r="DZ244" s="19"/>
      <c r="EA244" s="19"/>
      <c r="EB244" s="19"/>
      <c r="EC244" s="19"/>
      <c r="ED244" s="19"/>
      <c r="EE244" s="19"/>
      <c r="EF244" s="19"/>
      <c r="EG244" s="19"/>
      <c r="EH244" s="19"/>
      <c r="EI244" s="19"/>
      <c r="EJ244" s="19"/>
      <c r="EK244" s="19"/>
      <c r="EL244" s="19"/>
      <c r="EM244" s="19"/>
      <c r="EN244" s="19"/>
      <c r="EO244" s="19"/>
      <c r="EP244" s="19"/>
      <c r="EQ244" s="19"/>
      <c r="ER244" s="19"/>
      <c r="ES244" s="19"/>
      <c r="ET244" s="19"/>
      <c r="EU244" s="19"/>
      <c r="EV244" s="19"/>
      <c r="EW244" s="19"/>
      <c r="EX244" s="19"/>
      <c r="EY244" s="19"/>
      <c r="EZ244" s="19"/>
      <c r="FA244" s="19"/>
      <c r="FB244" s="19"/>
      <c r="FC244" s="19"/>
      <c r="FD244" s="19"/>
      <c r="FE244" s="19"/>
      <c r="FF244" s="19"/>
      <c r="FG244" s="19"/>
      <c r="FH244" s="19"/>
      <c r="FI244" s="19"/>
    </row>
    <row r="245" spans="1:165" x14ac:dyDescent="0.25">
      <c r="A245" s="67"/>
      <c r="B245" s="67"/>
      <c r="C245" s="67"/>
      <c r="D245" s="67"/>
      <c r="E245" s="67"/>
      <c r="F245" s="67"/>
      <c r="G245" s="67"/>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43">
        <f t="shared" si="54"/>
        <v>89</v>
      </c>
      <c r="AG245" s="143">
        <f t="shared" si="53"/>
        <v>32.04</v>
      </c>
      <c r="AH245" s="144">
        <f t="shared" si="42"/>
        <v>1179.0719999999999</v>
      </c>
      <c r="AI245" s="145">
        <f t="shared" si="43"/>
        <v>0.97826086956521752</v>
      </c>
      <c r="AJ245" s="145">
        <f t="shared" si="44"/>
        <v>31.343478260869567</v>
      </c>
      <c r="AK245" s="145">
        <f t="shared" si="40"/>
        <v>0.39130434782608459</v>
      </c>
      <c r="AL245" s="145">
        <f t="shared" si="41"/>
        <v>31.343681810119065</v>
      </c>
      <c r="AM245" s="146"/>
      <c r="AN245" s="145">
        <f>MAX(0,Table7[[#This Row],[I_L]]-0.5*Table7[[#This Row],[I_L pkpk]])</f>
        <v>31.147826086956524</v>
      </c>
      <c r="AO245" s="145">
        <f>Table7[[#This Row],[I_L]]+0.5*Table7[[#This Row],[I_L pkpk]]</f>
        <v>31.53913043478261</v>
      </c>
      <c r="AP245" s="145">
        <f ca="1">IF(VACnom&gt;Vbat, (VGS_S-(TI_MOSFET_S_VTH_H_BU+Table7[[#This Row],[I_L]]/TI_MOSFET_S_gFS_H_BU))/3.4, (VGS_S-(TI_MOSFET_S_VTH_L_BO+Table7[[#This Row],[I_L]]/TI_MOSFET_S_gFS_L_BO))/3.4 )</f>
        <v>2.9437930356088922</v>
      </c>
      <c r="AQ245" s="145">
        <f ca="1">IF(VACnom&gt;Vbat, ((TI_MOSFET_S_VTH_H_BU+Table7[[#This Row],[I_L]]/TI_MOSFET_S_gFS_H_BU))/1, ((TI_MOSFET_S_VTH_L_BO+Table7[[#This Row],[I_L]]/TI_MOSFET_S_gFS_L_BO))/1 )</f>
        <v>1.9911036789297658</v>
      </c>
      <c r="AR245" s="145">
        <f ca="1">IF(VACnom&gt;Vbat, (TI_MOSFET_S_QGD_H_BU+TI_MOSFET_S_QGS_H_BU)*10^-9/Table7[[#This Row],[Ion (A)]], (TI_MOSFET_S_QGD_L_BO+TI_MOSFET_S_QGS_L_BO)*10^-9/Table7[[#This Row],[Ion (A)]])/10^-9</f>
        <v>9.7832964653518957</v>
      </c>
      <c r="AS245" s="145">
        <f ca="1">IF(VACnom&gt;Vbat, (TI_MOSFET_S_QGD_H_BU+TI_MOSFET_S_QGS_H_BU)*10^-9/Table7[[#This Row],[Ioff (A)]], (TI_MOSFET_S_QGD_L_BO+TI_MOSFET_S_QGS_L_BO)*10^-9/Table7[[#This Row],[Ioff (A)]])/10^-9</f>
        <v>14.464339705042498</v>
      </c>
      <c r="AT245" s="145">
        <f ca="1" xml:space="preserve"> 0.5*VACnom*Table7[[#This Row],[Ivalley (A)]]*Table7[[#This Row],[ton (ns)]]*10^-9*Fsw*10^3+0.5*VACnom*Table7[[#This Row],[Ipeak (A)]]*Table7[[#This Row],[toff (ns)]]*10^-9*Fsw*10^3/10^-3</f>
        <v>1679.9105241000971</v>
      </c>
      <c r="AU245" s="145">
        <f t="shared" ca="1" si="45"/>
        <v>268.64000000000004</v>
      </c>
      <c r="AV245" s="145" t="e">
        <f t="shared" si="46"/>
        <v>#VALUE!</v>
      </c>
      <c r="AW245" s="145">
        <f t="shared" ca="1" si="47"/>
        <v>566.72000000000025</v>
      </c>
      <c r="AX245" s="145">
        <f ca="1">IF(VACnom&gt;Vbat, TI_MOSFET_S_VSD_L_BU*Table7[[#This Row],[Ivalley (A)]]*Fsw*10^3*40*10^-9+TI_MOSFET_S_VSD_L_BU*Table7[[#This Row],[Ipeak (A)]]*Fsw*10^3*30*10^-9, TI_MOSFET_S_VSD_H_BO*Table7[[#This Row],[Ivalley (A)]]*Fsw*10^3*40*10^-9+TI_MOSFET_S_VSD_H_BO*Table7[[#This Row],[Ipeak (A)]]*Fsw*10^3*30*10^-9)/10^-3</f>
        <v>315.6605217391305</v>
      </c>
      <c r="AY245" s="145" t="e">
        <f t="shared" si="48"/>
        <v>#VALUE!</v>
      </c>
      <c r="AZ245" s="145" t="e">
        <f>IF(VACnom&lt;Vbat, Table7[[#This Row],[Duty Cycle]]*Table7[[#This Row],[I_L RMS]]^2*TI_MOSFET_S_RDSON_H_BU*10^-3, (1-Table7[[#This Row],[Duty Cycle]])*Table7[[#This Row],[I_L RMS]]^2*TI_MOSFET_S_RDSON_H_BO*10^-3)/10^-3</f>
        <v>#VALUE!</v>
      </c>
      <c r="BA245" s="145" t="e">
        <f ca="1">IF(VACnom&gt;Vbat, Table7[[#This Row],[PIV (mW)]]+Table7[[#This Row],[Pqoss (mW)]]+Table7[[#This Row],[Pgate_top (mW)]], Table7[[#This Row],[PRR (mW)]]+Table7[[#This Row],[Pdead (mW)]]+Table7[[#This Row],[Pgate_top (mW)]])</f>
        <v>#VALUE!</v>
      </c>
      <c r="BB245" s="145" t="e">
        <f ca="1">Table7[[#This Row],[Pcon_top (mW)]]+Table7[[#This Row],[Psw_top (mW)]]</f>
        <v>#VALUE!</v>
      </c>
      <c r="BC245" s="145" t="e">
        <f>IF(VACnom&gt;Vbat, (1-Table7[[#This Row],[Duty Cycle]])*Table7[[#This Row],[I_L RMS]]^2*TI_MOSFET_S_RDSON_L_BU*10^-3, Table7[[#This Row],[Duty Cycle]]*Table7[[#This Row],[I_L RMS]]^2*TI_MOSFET_S_RDSON_L_BO*10^-3)/10^-3</f>
        <v>#VALUE!</v>
      </c>
      <c r="BD245" s="145" t="e">
        <f ca="1">IF(VACnom&gt;Vbat, Table7[[#This Row],[PRR (mW)]]+Table7[[#This Row],[Pdead (mW)]]+Table7[[#This Row],[Pgate_bottom (mW)]], Table7[[#This Row],[PIV (mW)]]+Table7[[#This Row],[Pqoss (mW)]]+Table7[[#This Row],[Pgate_bottom (mW)]])</f>
        <v>#VALUE!</v>
      </c>
      <c r="BE245" s="147" t="e">
        <f ca="1">Table7[[#This Row],[Pcon_bottom (mW)]]+Table7[[#This Row],[Psw_bottom (mW)]]</f>
        <v>#VALUE!</v>
      </c>
      <c r="BF245" s="145" t="e">
        <f ca="1">Table7[[#This Row],[Pbottom (mW)]]+Table7[[#This Row],[Ptop (mW)]]</f>
        <v>#VALUE!</v>
      </c>
      <c r="BG245" s="142"/>
      <c r="BH245" s="145">
        <f>MAX(0,Table7[[#This Row],[I_L]]-0.5*Table7[[#This Row],[I_L pkpk]])</f>
        <v>31.147826086956524</v>
      </c>
      <c r="BI245" s="145">
        <f>Table7[[#This Row],[I_L]]+0.5*Table7[[#This Row],[I_L pkpk]]</f>
        <v>31.53913043478261</v>
      </c>
      <c r="BJ245" s="145">
        <f>IF(VACnom&gt;Vbat, (VGS_S-(C_MOSFET_S_VTH_H_BU+Table7[[#This Row],[I_L]]/C_MOSFET_S_gFS_H_BU))/3.4, (VGS_S-(C_MOSFET_S_VTH_L_BO+Table7[[#This Row],[I_L]]/C_MOSFET_S_gFS_L_BO))/3.4 )</f>
        <v>2.8911169415292357</v>
      </c>
      <c r="BK245" s="145">
        <f>IF(VACnom&gt;Vbat, ((C_MOSFET_S_VTH_H_BU+Table7[[#This Row],[I_L]]/C_MOSFET_S_gFS_H_BU))/1, ((C_MOSFET_S_VTH_L_BO+Table7[[#This Row],[I_L]]/C_MOSFET_S_gFS_L_BO))/1 )</f>
        <v>2.1702023988005994</v>
      </c>
      <c r="BL245" s="145">
        <f>IF(VACnom&gt;Vbat, (C_MOSFET_S_QGD_H_BU+C_MOSFET_S_QGS_H_BU)*10^-9/Table7[[#This Row],[Ion (A) C]], (C_MOSFET_S_QGD_L_BO+C_MOSFET_S_QGS_L_BO)*10^-9/Table7[[#This Row],[Ion (A) C]])/10^-9</f>
        <v>5.3612497569196851</v>
      </c>
      <c r="BM245" s="145">
        <f>IF(VACnom&gt;Vbat, (C_MOSFET_S_QGD_H_BU+C_MOSFET_S_QGS_H_BU)*10^-9/Table7[[#This Row],[Ioff (A) C]], (C_MOSFET_S_QGD_L_BO+C_MOSFET_S_QGS_L_BO)*10^-9/Table7[[#This Row],[Ioff (A) C]])/10^-9</f>
        <v>7.1421909811574933</v>
      </c>
      <c r="BN245" s="145">
        <f xml:space="preserve"> 0.5*VACnom*Table7[[#This Row],[Ivalley (A) C]]*Table7[[#This Row],[ton (ns) C]]*10^-9*Fsw*10^3+0.5*VACnom*Table7[[#This Row],[Ipeak (A) C]]*Table7[[#This Row],[toff (ns) C]]*10^-9*Fsw*10^3/10^-3</f>
        <v>829.56578192920063</v>
      </c>
      <c r="BO245" s="145">
        <f t="shared" si="49"/>
        <v>305.44000000000011</v>
      </c>
      <c r="BP245" s="145">
        <f t="shared" si="50"/>
        <v>357.69600000000014</v>
      </c>
      <c r="BQ245" s="145">
        <f t="shared" si="51"/>
        <v>1067.2000000000003</v>
      </c>
      <c r="BR245" s="145">
        <f>IF(VACnom&gt;Vbat, C_MOSFET_S_VSD_L_BU*Table7[[#This Row],[Ivalley (A) C]]*Fsw*10^3*40*10^-9+C_MOSFET_S_VSD_L_BU*Table7[[#This Row],[Ipeak (A) C]]*Fsw*10^3*30*10^-9, C_MOSFET_S_VSD_H_BO*Table7[[#This Row],[Ivalley (A) C]]*Fsw*10^3*40*10^-9+C_MOSFET_S_VSD_H_BO*Table7[[#This Row],[Ipeak (A) C]]*Fsw*10^3*30*10^-9)/10^-3</f>
        <v>350.73391304347842</v>
      </c>
      <c r="BS245" s="145">
        <f t="shared" si="52"/>
        <v>357.69600000000014</v>
      </c>
      <c r="BT245" s="145">
        <f>IF(VACnom&lt;Vbat, Table7[[#This Row],[Duty Cycle]]*Table7[[#This Row],[I_L RMS]]^2*C_MOSFET_S_RDSON_H_BU*10^-3, (1-Table7[[#This Row],[Duty Cycle]])*Table7[[#This Row],[I_L RMS]]^2*C_MOSFET_S_RDSON_H_BO*10^-3)/10^-3</f>
        <v>55.528448097312094</v>
      </c>
      <c r="BU245" s="145">
        <f>IF(VACnom&gt;Vbat, Table7[[#This Row],[PIV (mW) C]]+Table7[[#This Row],[PQoss (mW) C]]+Table7[[#This Row],[Pgate_top (mW) C]], Table7[[#This Row],[PRR (mW) C]]+Table7[[#This Row],[Pdead (mW) C]]+Table7[[#This Row],[Pgate_top (mW) C]])</f>
        <v>1492.7017819292009</v>
      </c>
      <c r="BV245" s="145">
        <f>Table7[[#This Row],[Pcon_top (mW) C]]+Table7[[#This Row],[Psw_top (mW) C]]</f>
        <v>1548.230230026513</v>
      </c>
      <c r="BW245" s="145">
        <f>IF(VACnom&gt;Vbat, (1-Table7[[#This Row],[Duty Cycle]])*Table7[[#This Row],[I_L RMS]]^2*C_MOSFET_S_RDSON_L_BU*10^-3, Table7[[#This Row],[Duty Cycle]]*Table7[[#This Row],[I_L RMS]]^2*C_MOSFET_S_RDSON_L_BO*10^-3)/10^-3</f>
        <v>36.307062217473288</v>
      </c>
      <c r="BX245" s="145">
        <f>IF(VACnom&gt;Vbat, Table7[[#This Row],[PRR (mW) C]]+Table7[[#This Row],[Pdead (mW) C]]+Table7[[#This Row],[Pgate_bottom (mW) C]], Table7[[#This Row],[PIV (mW) C]]+Table7[[#This Row],[PQoss (mW) C]]+Table7[[#This Row],[Pgate_bottom (mW) C]])</f>
        <v>1775.6299130434788</v>
      </c>
      <c r="BY245" s="145">
        <f>Table7[[#This Row],[Pcon_bottom (mW) C]]+Table7[[#This Row],[Psw_bottom (mV) C]]</f>
        <v>1811.9369752609521</v>
      </c>
      <c r="BZ245" s="145">
        <f>Table7[[#This Row],[Pbottom (mW) C]]+Table7[[#This Row],[Ptop (mW) C]]</f>
        <v>3360.1672052874651</v>
      </c>
      <c r="CA245" s="148"/>
      <c r="CB245" s="144">
        <f>(RAC_SNS*10^-3*(Table7[[#This Row],[IOUT (A)]]*Vbat/VACnom)^2/10^-3)</f>
        <v>1964.8272589792068</v>
      </c>
      <c r="CC245" s="144">
        <f>(RBAT_SNS*10^-3*Table7[[#This Row],[IOUT (A)]]^2)/10^-3</f>
        <v>5132.808</v>
      </c>
      <c r="CD245" s="144">
        <f>IF(VACnom&gt;Vbat,(L_DRC*10^-3*(Table7[[#This Row],[IOUT (A)]])^2/10^-3),(L_DRC*10^-3*(Table7[[#This Row],[IOUT (A)]]*Vbat/VACnom)^2/10^-3))</f>
        <v>5132.808</v>
      </c>
      <c r="CE245" s="152"/>
      <c r="CF245" s="145">
        <f>(Table7[[#This Row],[R_AC (mW)]]+Table7[[#This Row],[R_SR (mW)]]+Table7[[#This Row],[Inductor Loss (mW)]])/10^3</f>
        <v>12.230443258979207</v>
      </c>
      <c r="CG245" s="145" t="e">
        <f ca="1">Table7[[#This Row],[Total TI (mW)]]/10^3</f>
        <v>#VALUE!</v>
      </c>
      <c r="CH245" s="145" t="e">
        <f ca="1">Table7[[#This Row],[Total Sense Loss]]+Table7[[#This Row],[Total MOSFET Loss]]</f>
        <v>#VALUE!</v>
      </c>
      <c r="CI245" s="149" t="e">
        <f ca="1">IF(Table7[[#This Row],[POUT (W)]]=0,0,(Table7[[#This Row],[POUT (W)]])/(Table7[[#This Row],[POUT (W)]]+Table7[[#This Row],[Total Power Loss (W)]]))*100</f>
        <v>#VALUE!</v>
      </c>
      <c r="CJ245" s="153"/>
      <c r="CK245" s="145">
        <f>(Table7[[#This Row],[R_AC (mW)]]+Table7[[#This Row],[R_SR (mW)]]+Table7[[#This Row],[Inductor Loss (mW)]])/10^3</f>
        <v>12.230443258979207</v>
      </c>
      <c r="CL245" s="145">
        <f>Table7[[#This Row],[Total (mW) C]]/10^3</f>
        <v>3.3601672052874649</v>
      </c>
      <c r="CM245" s="145">
        <f>Table7[[#This Row],[Total Sense Loss C]]+Table7[[#This Row],[Total MOSFET Loss C]]</f>
        <v>15.590610464266671</v>
      </c>
      <c r="CN245" s="149">
        <f>IF(Table7[[#This Row],[POUT (W)]]=0,0,(Table7[[#This Row],[POUT (W)]])/(Table7[[#This Row],[POUT (W)]]+Table7[[#This Row],[Total Power Loss (W) C]]))*100</f>
        <v>98.694977952125925</v>
      </c>
      <c r="CO245" s="153"/>
      <c r="CP245" s="149">
        <f>IF(MOSFET_S=Custom_MOSFET,Table7[[#This Row],[Total Sense Loss C]],Table7[[#This Row],[Total Sense Loss]])</f>
        <v>12.230443258979207</v>
      </c>
      <c r="CQ245" s="149">
        <f>IF(MOSFET_S=Custom_MOSFET,Table7[[#This Row],[Total MOSFET Loss C]],Table7[[#This Row],[Total MOSFET Loss]])</f>
        <v>3.3601672052874649</v>
      </c>
      <c r="CR245" s="149">
        <f>IF(MOSFET_S=Custom_MOSFET,Table7[[#This Row],[Efficiency C]],Table7[[#This Row],[Efficiency]])</f>
        <v>98.694977952125925</v>
      </c>
      <c r="CS245" s="153"/>
      <c r="CT245" s="149">
        <f>IF(MOSFET_S=Compare_MOSFET, Table7[[#This Row],[Total Sense Loss C]], -100)</f>
        <v>-100</v>
      </c>
      <c r="CU245" s="149">
        <f>IF(MOSFET_S=Compare_MOSFET, Table7[[#This Row],[Total MOSFET Loss C]], -100)</f>
        <v>-100</v>
      </c>
      <c r="CV245" s="149">
        <f>IF(MOSFET_S=Compare_MOSFET, Table7[[#This Row],[Efficiency C]], -100)</f>
        <v>-100</v>
      </c>
      <c r="CW245" s="153"/>
      <c r="CX245" s="149">
        <f ca="1">IF(Save_Sel=CLR_Save,  Table7[[#This Row],[Total Sense Loss P1]], Table7[[#This Row],[Total Sense Loss P1 Saved]])</f>
        <v>12.230443258979207</v>
      </c>
      <c r="CY245" s="149">
        <f ca="1">IF(Save_Sel=CLR_Save,  Table7[[#This Row],[Total MOSFET Loss P1]], Table7[[#This Row],[Total MOSFET Loss P1 Saved]] )</f>
        <v>3.3601672052874649</v>
      </c>
      <c r="CZ245" s="149">
        <f ca="1">IF(Save_Sel=CLR_Save, Table7[[#This Row],[Efficiency P1]], Table7[[#This Row],[Efficiency P1 Saved]])</f>
        <v>98.694977952125925</v>
      </c>
      <c r="DA245" s="153"/>
      <c r="DB245" s="149">
        <f ca="1">IF(Save_Sel=CLR_Save,  Table7[[#This Row],[Total Sense Loss P2]], Table7[[#This Row],[Total Sense Loss P2 Saved]])</f>
        <v>-100</v>
      </c>
      <c r="DC245" s="149">
        <f ca="1">IF(Save_Sel=CLR_Save,  Table7[[#This Row],[Total MOSFET Loss P2]], Table7[[#This Row],[Total MOSFET Loss P2 Saved]] )</f>
        <v>-100</v>
      </c>
      <c r="DD245" s="149">
        <f ca="1">IF(Save_Sel=CLR_Save, Table7[[#This Row],[Efficiency P2]], Table7[[#This Row],[Efficiency P2 Saved]])</f>
        <v>-100</v>
      </c>
      <c r="DE245" s="153"/>
      <c r="DF245" s="19"/>
      <c r="DG245" s="19"/>
      <c r="DH245" s="19"/>
      <c r="DI245" s="19"/>
      <c r="DJ245" s="19"/>
      <c r="DK245" s="19"/>
      <c r="DL245" s="19"/>
      <c r="DM245" s="19"/>
      <c r="DN245" s="19"/>
      <c r="DO245" s="19"/>
      <c r="DP245" s="19"/>
      <c r="DQ245" s="19"/>
      <c r="DR245" s="19"/>
      <c r="DS245" s="19"/>
      <c r="DT245" s="19"/>
      <c r="DU245" s="19"/>
      <c r="DV245" s="19"/>
      <c r="DW245" s="19"/>
      <c r="DX245" s="19"/>
      <c r="DY245" s="19"/>
      <c r="DZ245" s="19"/>
      <c r="EA245" s="19"/>
      <c r="EB245" s="19"/>
      <c r="EC245" s="19"/>
      <c r="ED245" s="19"/>
      <c r="EE245" s="19"/>
      <c r="EF245" s="19"/>
      <c r="EG245" s="19"/>
      <c r="EH245" s="19"/>
      <c r="EI245" s="19"/>
      <c r="EJ245" s="19"/>
      <c r="EK245" s="19"/>
      <c r="EL245" s="19"/>
      <c r="EM245" s="19"/>
      <c r="EN245" s="19"/>
      <c r="EO245" s="19"/>
      <c r="EP245" s="19"/>
      <c r="EQ245" s="19"/>
      <c r="ER245" s="19"/>
      <c r="ES245" s="19"/>
      <c r="ET245" s="19"/>
      <c r="EU245" s="19"/>
      <c r="EV245" s="19"/>
      <c r="EW245" s="19"/>
      <c r="EX245" s="19"/>
      <c r="EY245" s="19"/>
      <c r="EZ245" s="19"/>
      <c r="FA245" s="19"/>
      <c r="FB245" s="19"/>
      <c r="FC245" s="19"/>
      <c r="FD245" s="19"/>
      <c r="FE245" s="19"/>
      <c r="FF245" s="19"/>
      <c r="FG245" s="19"/>
      <c r="FH245" s="19"/>
      <c r="FI245" s="19"/>
    </row>
    <row r="246" spans="1:165" x14ac:dyDescent="0.25">
      <c r="A246" s="67"/>
      <c r="B246" s="67"/>
      <c r="C246" s="67"/>
      <c r="D246" s="67"/>
      <c r="E246" s="67"/>
      <c r="F246" s="67"/>
      <c r="G246" s="67"/>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43">
        <f t="shared" si="54"/>
        <v>90</v>
      </c>
      <c r="AG246" s="143">
        <f t="shared" si="53"/>
        <v>32.4</v>
      </c>
      <c r="AH246" s="144">
        <f t="shared" si="42"/>
        <v>1192.32</v>
      </c>
      <c r="AI246" s="145">
        <f t="shared" si="43"/>
        <v>0.97826086956521752</v>
      </c>
      <c r="AJ246" s="145">
        <f t="shared" si="44"/>
        <v>31.695652173913047</v>
      </c>
      <c r="AK246" s="145">
        <f t="shared" si="40"/>
        <v>0.39130434782608459</v>
      </c>
      <c r="AL246" s="145">
        <f t="shared" si="41"/>
        <v>31.695853461518659</v>
      </c>
      <c r="AM246" s="146"/>
      <c r="AN246" s="145">
        <f>MAX(0,Table7[[#This Row],[I_L]]-0.5*Table7[[#This Row],[I_L pkpk]])</f>
        <v>31.500000000000004</v>
      </c>
      <c r="AO246" s="145">
        <f>Table7[[#This Row],[I_L]]+0.5*Table7[[#This Row],[I_L pkpk]]</f>
        <v>31.89130434782609</v>
      </c>
      <c r="AP246" s="145">
        <f ca="1">IF(VACnom&gt;Vbat, (VGS_S-(TI_MOSFET_S_VTH_H_BU+Table7[[#This Row],[I_L]]/TI_MOSFET_S_gFS_H_BU))/3.4, (VGS_S-(TI_MOSFET_S_VTH_L_BO+Table7[[#This Row],[I_L]]/TI_MOSFET_S_gFS_L_BO))/3.4 )</f>
        <v>2.9429962620499706</v>
      </c>
      <c r="AQ246" s="145">
        <f ca="1">IF(VACnom&gt;Vbat, ((TI_MOSFET_S_VTH_H_BU+Table7[[#This Row],[I_L]]/TI_MOSFET_S_gFS_H_BU))/1, ((TI_MOSFET_S_VTH_L_BO+Table7[[#This Row],[I_L]]/TI_MOSFET_S_gFS_L_BO))/1 )</f>
        <v>1.9938127090301003</v>
      </c>
      <c r="AR246" s="145">
        <f ca="1">IF(VACnom&gt;Vbat, (TI_MOSFET_S_QGD_H_BU+TI_MOSFET_S_QGS_H_BU)*10^-9/Table7[[#This Row],[Ion (A)]], (TI_MOSFET_S_QGD_L_BO+TI_MOSFET_S_QGS_L_BO)*10^-9/Table7[[#This Row],[Ion (A)]])/10^-9</f>
        <v>9.785945150993534</v>
      </c>
      <c r="AS246" s="145">
        <f ca="1">IF(VACnom&gt;Vbat, (TI_MOSFET_S_QGD_H_BU+TI_MOSFET_S_QGS_H_BU)*10^-9/Table7[[#This Row],[Ioff (A)]], (TI_MOSFET_S_QGD_L_BO+TI_MOSFET_S_QGS_L_BO)*10^-9/Table7[[#This Row],[Ioff (A)]])/10^-9</f>
        <v>14.444686739914452</v>
      </c>
      <c r="AT246" s="145">
        <f ca="1" xml:space="preserve"> 0.5*VACnom*Table7[[#This Row],[Ivalley (A)]]*Table7[[#This Row],[ton (ns)]]*10^-9*Fsw*10^3+0.5*VACnom*Table7[[#This Row],[Ipeak (A)]]*Table7[[#This Row],[toff (ns)]]*10^-9*Fsw*10^3/10^-3</f>
        <v>1696.3628225582636</v>
      </c>
      <c r="AU246" s="145">
        <f t="shared" ca="1" si="45"/>
        <v>268.64000000000004</v>
      </c>
      <c r="AV246" s="145" t="e">
        <f t="shared" si="46"/>
        <v>#VALUE!</v>
      </c>
      <c r="AW246" s="145">
        <f t="shared" ca="1" si="47"/>
        <v>566.72000000000025</v>
      </c>
      <c r="AX246" s="145">
        <f ca="1">IF(VACnom&gt;Vbat, TI_MOSFET_S_VSD_L_BU*Table7[[#This Row],[Ivalley (A)]]*Fsw*10^3*40*10^-9+TI_MOSFET_S_VSD_L_BU*Table7[[#This Row],[Ipeak (A)]]*Fsw*10^3*30*10^-9, TI_MOSFET_S_VSD_H_BO*Table7[[#This Row],[Ivalley (A)]]*Fsw*10^3*40*10^-9+TI_MOSFET_S_VSD_H_BO*Table7[[#This Row],[Ipeak (A)]]*Fsw*10^3*30*10^-9)/10^-3</f>
        <v>319.21043478260879</v>
      </c>
      <c r="AY246" s="145" t="e">
        <f t="shared" si="48"/>
        <v>#VALUE!</v>
      </c>
      <c r="AZ246" s="145" t="e">
        <f>IF(VACnom&lt;Vbat, Table7[[#This Row],[Duty Cycle]]*Table7[[#This Row],[I_L RMS]]^2*TI_MOSFET_S_RDSON_H_BU*10^-3, (1-Table7[[#This Row],[Duty Cycle]])*Table7[[#This Row],[I_L RMS]]^2*TI_MOSFET_S_RDSON_H_BO*10^-3)/10^-3</f>
        <v>#VALUE!</v>
      </c>
      <c r="BA246" s="145" t="e">
        <f ca="1">IF(VACnom&gt;Vbat, Table7[[#This Row],[PIV (mW)]]+Table7[[#This Row],[Pqoss (mW)]]+Table7[[#This Row],[Pgate_top (mW)]], Table7[[#This Row],[PRR (mW)]]+Table7[[#This Row],[Pdead (mW)]]+Table7[[#This Row],[Pgate_top (mW)]])</f>
        <v>#VALUE!</v>
      </c>
      <c r="BB246" s="145" t="e">
        <f ca="1">Table7[[#This Row],[Pcon_top (mW)]]+Table7[[#This Row],[Psw_top (mW)]]</f>
        <v>#VALUE!</v>
      </c>
      <c r="BC246" s="145" t="e">
        <f>IF(VACnom&gt;Vbat, (1-Table7[[#This Row],[Duty Cycle]])*Table7[[#This Row],[I_L RMS]]^2*TI_MOSFET_S_RDSON_L_BU*10^-3, Table7[[#This Row],[Duty Cycle]]*Table7[[#This Row],[I_L RMS]]^2*TI_MOSFET_S_RDSON_L_BO*10^-3)/10^-3</f>
        <v>#VALUE!</v>
      </c>
      <c r="BD246" s="145" t="e">
        <f ca="1">IF(VACnom&gt;Vbat, Table7[[#This Row],[PRR (mW)]]+Table7[[#This Row],[Pdead (mW)]]+Table7[[#This Row],[Pgate_bottom (mW)]], Table7[[#This Row],[PIV (mW)]]+Table7[[#This Row],[Pqoss (mW)]]+Table7[[#This Row],[Pgate_bottom (mW)]])</f>
        <v>#VALUE!</v>
      </c>
      <c r="BE246" s="147" t="e">
        <f ca="1">Table7[[#This Row],[Pcon_bottom (mW)]]+Table7[[#This Row],[Psw_bottom (mW)]]</f>
        <v>#VALUE!</v>
      </c>
      <c r="BF246" s="145" t="e">
        <f ca="1">Table7[[#This Row],[Pbottom (mW)]]+Table7[[#This Row],[Ptop (mW)]]</f>
        <v>#VALUE!</v>
      </c>
      <c r="BG246" s="142"/>
      <c r="BH246" s="145">
        <f>MAX(0,Table7[[#This Row],[I_L]]-0.5*Table7[[#This Row],[I_L pkpk]])</f>
        <v>31.500000000000004</v>
      </c>
      <c r="BI246" s="145">
        <f>Table7[[#This Row],[I_L]]+0.5*Table7[[#This Row],[I_L pkpk]]</f>
        <v>31.89130434782609</v>
      </c>
      <c r="BJ246" s="145">
        <f>IF(VACnom&gt;Vbat, (VGS_S-(C_MOSFET_S_VTH_H_BU+Table7[[#This Row],[I_L]]/C_MOSFET_S_gFS_H_BU))/3.4, (VGS_S-(C_MOSFET_S_VTH_L_BO+Table7[[#This Row],[I_L]]/C_MOSFET_S_gFS_L_BO))/3.4 )</f>
        <v>2.890224005644237</v>
      </c>
      <c r="BK246" s="145">
        <f>IF(VACnom&gt;Vbat, ((C_MOSFET_S_VTH_H_BU+Table7[[#This Row],[I_L]]/C_MOSFET_S_gFS_H_BU))/1, ((C_MOSFET_S_VTH_L_BO+Table7[[#This Row],[I_L]]/C_MOSFET_S_gFS_L_BO))/1 )</f>
        <v>2.173238380809595</v>
      </c>
      <c r="BL246" s="145">
        <f>IF(VACnom&gt;Vbat, (C_MOSFET_S_QGD_H_BU+C_MOSFET_S_QGS_H_BU)*10^-9/Table7[[#This Row],[Ion (A) C]], (C_MOSFET_S_QGD_L_BO+C_MOSFET_S_QGS_L_BO)*10^-9/Table7[[#This Row],[Ion (A) C]])/10^-9</f>
        <v>5.3629061172180723</v>
      </c>
      <c r="BM246" s="145">
        <f>IF(VACnom&gt;Vbat, (C_MOSFET_S_QGD_H_BU+C_MOSFET_S_QGS_H_BU)*10^-9/Table7[[#This Row],[Ioff (A) C]], (C_MOSFET_S_QGD_L_BO+C_MOSFET_S_QGS_L_BO)*10^-9/Table7[[#This Row],[Ioff (A) C]])/10^-9</f>
        <v>7.1322134455520683</v>
      </c>
      <c r="BN246" s="145">
        <f xml:space="preserve"> 0.5*VACnom*Table7[[#This Row],[Ivalley (A) C]]*Table7[[#This Row],[ton (ns) C]]*10^-9*Fsw*10^3+0.5*VACnom*Table7[[#This Row],[Ipeak (A) C]]*Table7[[#This Row],[toff (ns) C]]*10^-9*Fsw*10^3/10^-3</f>
        <v>837.65823804709885</v>
      </c>
      <c r="BO246" s="145">
        <f t="shared" si="49"/>
        <v>305.44000000000011</v>
      </c>
      <c r="BP246" s="145">
        <f t="shared" si="50"/>
        <v>357.69600000000014</v>
      </c>
      <c r="BQ246" s="145">
        <f t="shared" si="51"/>
        <v>1067.2000000000003</v>
      </c>
      <c r="BR246" s="145">
        <f>IF(VACnom&gt;Vbat, C_MOSFET_S_VSD_L_BU*Table7[[#This Row],[Ivalley (A) C]]*Fsw*10^3*40*10^-9+C_MOSFET_S_VSD_L_BU*Table7[[#This Row],[Ipeak (A) C]]*Fsw*10^3*30*10^-9, C_MOSFET_S_VSD_H_BO*Table7[[#This Row],[Ivalley (A) C]]*Fsw*10^3*40*10^-9+C_MOSFET_S_VSD_H_BO*Table7[[#This Row],[Ipeak (A) C]]*Fsw*10^3*30*10^-9)/10^-3</f>
        <v>354.67826086956535</v>
      </c>
      <c r="BS246" s="145">
        <f t="shared" si="52"/>
        <v>357.69600000000014</v>
      </c>
      <c r="BT246" s="145">
        <f>IF(VACnom&lt;Vbat, Table7[[#This Row],[Duty Cycle]]*Table7[[#This Row],[I_L RMS]]^2*C_MOSFET_S_RDSON_H_BU*10^-3, (1-Table7[[#This Row],[Duty Cycle]])*Table7[[#This Row],[I_L RMS]]^2*C_MOSFET_S_RDSON_H_BO*10^-3)/10^-3</f>
        <v>56.783272376098964</v>
      </c>
      <c r="BU246" s="145">
        <f>IF(VACnom&gt;Vbat, Table7[[#This Row],[PIV (mW) C]]+Table7[[#This Row],[PQoss (mW) C]]+Table7[[#This Row],[Pgate_top (mW) C]], Table7[[#This Row],[PRR (mW) C]]+Table7[[#This Row],[Pdead (mW) C]]+Table7[[#This Row],[Pgate_top (mW) C]])</f>
        <v>1500.794238047099</v>
      </c>
      <c r="BV246" s="145">
        <f>Table7[[#This Row],[Pcon_top (mW) C]]+Table7[[#This Row],[Psw_top (mW) C]]</f>
        <v>1557.577510423198</v>
      </c>
      <c r="BW246" s="145">
        <f>IF(VACnom&gt;Vbat, (1-Table7[[#This Row],[Duty Cycle]])*Table7[[#This Row],[I_L RMS]]^2*C_MOSFET_S_RDSON_L_BU*10^-3, Table7[[#This Row],[Duty Cycle]]*Table7[[#This Row],[I_L RMS]]^2*C_MOSFET_S_RDSON_L_BO*10^-3)/10^-3</f>
        <v>37.127524245910863</v>
      </c>
      <c r="BX246" s="145">
        <f>IF(VACnom&gt;Vbat, Table7[[#This Row],[PRR (mW) C]]+Table7[[#This Row],[Pdead (mW) C]]+Table7[[#This Row],[Pgate_bottom (mW) C]], Table7[[#This Row],[PIV (mW) C]]+Table7[[#This Row],[PQoss (mW) C]]+Table7[[#This Row],[Pgate_bottom (mW) C]])</f>
        <v>1779.5742608695657</v>
      </c>
      <c r="BY246" s="145">
        <f>Table7[[#This Row],[Pcon_bottom (mW) C]]+Table7[[#This Row],[Psw_bottom (mV) C]]</f>
        <v>1816.7017851154765</v>
      </c>
      <c r="BZ246" s="145">
        <f>Table7[[#This Row],[Pbottom (mW) C]]+Table7[[#This Row],[Ptop (mW) C]]</f>
        <v>3374.2792955386744</v>
      </c>
      <c r="CA246" s="148"/>
      <c r="CB246" s="144">
        <f>(RAC_SNS*10^-3*(Table7[[#This Row],[IOUT (A)]]*Vbat/VACnom)^2/10^-3)</f>
        <v>2009.2287334593575</v>
      </c>
      <c r="CC246" s="144">
        <f>(RBAT_SNS*10^-3*Table7[[#This Row],[IOUT (A)]]^2)/10^-3</f>
        <v>5248.8</v>
      </c>
      <c r="CD246" s="144">
        <f>IF(VACnom&gt;Vbat,(L_DRC*10^-3*(Table7[[#This Row],[IOUT (A)]])^2/10^-3),(L_DRC*10^-3*(Table7[[#This Row],[IOUT (A)]]*Vbat/VACnom)^2/10^-3))</f>
        <v>5248.8</v>
      </c>
      <c r="CE246" s="152"/>
      <c r="CF246" s="145">
        <f>(Table7[[#This Row],[R_AC (mW)]]+Table7[[#This Row],[R_SR (mW)]]+Table7[[#This Row],[Inductor Loss (mW)]])/10^3</f>
        <v>12.50682873345936</v>
      </c>
      <c r="CG246" s="145" t="e">
        <f ca="1">Table7[[#This Row],[Total TI (mW)]]/10^3</f>
        <v>#VALUE!</v>
      </c>
      <c r="CH246" s="145" t="e">
        <f ca="1">Table7[[#This Row],[Total Sense Loss]]+Table7[[#This Row],[Total MOSFET Loss]]</f>
        <v>#VALUE!</v>
      </c>
      <c r="CI246" s="149" t="e">
        <f ca="1">IF(Table7[[#This Row],[POUT (W)]]=0,0,(Table7[[#This Row],[POUT (W)]])/(Table7[[#This Row],[POUT (W)]]+Table7[[#This Row],[Total Power Loss (W)]]))*100</f>
        <v>#VALUE!</v>
      </c>
      <c r="CJ246" s="153"/>
      <c r="CK246" s="145">
        <f>(Table7[[#This Row],[R_AC (mW)]]+Table7[[#This Row],[R_SR (mW)]]+Table7[[#This Row],[Inductor Loss (mW)]])/10^3</f>
        <v>12.50682873345936</v>
      </c>
      <c r="CL246" s="145">
        <f>Table7[[#This Row],[Total (mW) C]]/10^3</f>
        <v>3.3742792955386745</v>
      </c>
      <c r="CM246" s="145">
        <f>Table7[[#This Row],[Total Sense Loss C]]+Table7[[#This Row],[Total MOSFET Loss C]]</f>
        <v>15.881108028998034</v>
      </c>
      <c r="CN246" s="149">
        <f>IF(Table7[[#This Row],[POUT (W)]]=0,0,(Table7[[#This Row],[POUT (W)]])/(Table7[[#This Row],[POUT (W)]]+Table7[[#This Row],[Total Power Loss (W) C]]))*100</f>
        <v>98.685557567903089</v>
      </c>
      <c r="CO246" s="153"/>
      <c r="CP246" s="149">
        <f>IF(MOSFET_S=Custom_MOSFET,Table7[[#This Row],[Total Sense Loss C]],Table7[[#This Row],[Total Sense Loss]])</f>
        <v>12.50682873345936</v>
      </c>
      <c r="CQ246" s="149">
        <f>IF(MOSFET_S=Custom_MOSFET,Table7[[#This Row],[Total MOSFET Loss C]],Table7[[#This Row],[Total MOSFET Loss]])</f>
        <v>3.3742792955386745</v>
      </c>
      <c r="CR246" s="149">
        <f>IF(MOSFET_S=Custom_MOSFET,Table7[[#This Row],[Efficiency C]],Table7[[#This Row],[Efficiency]])</f>
        <v>98.685557567903089</v>
      </c>
      <c r="CS246" s="153"/>
      <c r="CT246" s="149">
        <f>IF(MOSFET_S=Compare_MOSFET, Table7[[#This Row],[Total Sense Loss C]], -100)</f>
        <v>-100</v>
      </c>
      <c r="CU246" s="149">
        <f>IF(MOSFET_S=Compare_MOSFET, Table7[[#This Row],[Total MOSFET Loss C]], -100)</f>
        <v>-100</v>
      </c>
      <c r="CV246" s="149">
        <f>IF(MOSFET_S=Compare_MOSFET, Table7[[#This Row],[Efficiency C]], -100)</f>
        <v>-100</v>
      </c>
      <c r="CW246" s="153"/>
      <c r="CX246" s="149">
        <f ca="1">IF(Save_Sel=CLR_Save,  Table7[[#This Row],[Total Sense Loss P1]], Table7[[#This Row],[Total Sense Loss P1 Saved]])</f>
        <v>12.50682873345936</v>
      </c>
      <c r="CY246" s="149">
        <f ca="1">IF(Save_Sel=CLR_Save,  Table7[[#This Row],[Total MOSFET Loss P1]], Table7[[#This Row],[Total MOSFET Loss P1 Saved]] )</f>
        <v>3.3742792955386745</v>
      </c>
      <c r="CZ246" s="149">
        <f ca="1">IF(Save_Sel=CLR_Save, Table7[[#This Row],[Efficiency P1]], Table7[[#This Row],[Efficiency P1 Saved]])</f>
        <v>98.685557567903089</v>
      </c>
      <c r="DA246" s="153"/>
      <c r="DB246" s="149">
        <f ca="1">IF(Save_Sel=CLR_Save,  Table7[[#This Row],[Total Sense Loss P2]], Table7[[#This Row],[Total Sense Loss P2 Saved]])</f>
        <v>-100</v>
      </c>
      <c r="DC246" s="149">
        <f ca="1">IF(Save_Sel=CLR_Save,  Table7[[#This Row],[Total MOSFET Loss P2]], Table7[[#This Row],[Total MOSFET Loss P2 Saved]] )</f>
        <v>-100</v>
      </c>
      <c r="DD246" s="149">
        <f ca="1">IF(Save_Sel=CLR_Save, Table7[[#This Row],[Efficiency P2]], Table7[[#This Row],[Efficiency P2 Saved]])</f>
        <v>-100</v>
      </c>
      <c r="DE246" s="153"/>
      <c r="DF246" s="19"/>
      <c r="DG246" s="19"/>
      <c r="DH246" s="19"/>
      <c r="DI246" s="19"/>
      <c r="DJ246" s="19"/>
      <c r="DK246" s="19"/>
      <c r="DL246" s="19"/>
      <c r="DM246" s="19"/>
      <c r="DN246" s="19"/>
      <c r="DO246" s="19"/>
      <c r="DP246" s="19"/>
      <c r="DQ246" s="19"/>
      <c r="DR246" s="19"/>
      <c r="DS246" s="19"/>
      <c r="DT246" s="19"/>
      <c r="DU246" s="19"/>
      <c r="DV246" s="19"/>
      <c r="DW246" s="19"/>
      <c r="DX246" s="19"/>
      <c r="DY246" s="19"/>
      <c r="DZ246" s="19"/>
      <c r="EA246" s="19"/>
      <c r="EB246" s="19"/>
      <c r="EC246" s="19"/>
      <c r="ED246" s="19"/>
      <c r="EE246" s="19"/>
      <c r="EF246" s="19"/>
      <c r="EG246" s="19"/>
      <c r="EH246" s="19"/>
      <c r="EI246" s="19"/>
      <c r="EJ246" s="19"/>
      <c r="EK246" s="19"/>
      <c r="EL246" s="19"/>
      <c r="EM246" s="19"/>
      <c r="EN246" s="19"/>
      <c r="EO246" s="19"/>
      <c r="EP246" s="19"/>
      <c r="EQ246" s="19"/>
      <c r="ER246" s="19"/>
      <c r="ES246" s="19"/>
      <c r="ET246" s="19"/>
      <c r="EU246" s="19"/>
      <c r="EV246" s="19"/>
      <c r="EW246" s="19"/>
      <c r="EX246" s="19"/>
      <c r="EY246" s="19"/>
      <c r="EZ246" s="19"/>
      <c r="FA246" s="19"/>
      <c r="FB246" s="19"/>
      <c r="FC246" s="19"/>
      <c r="FD246" s="19"/>
      <c r="FE246" s="19"/>
      <c r="FF246" s="19"/>
      <c r="FG246" s="19"/>
      <c r="FH246" s="19"/>
      <c r="FI246" s="19"/>
    </row>
    <row r="247" spans="1:165" x14ac:dyDescent="0.25">
      <c r="A247" s="67"/>
      <c r="B247" s="67"/>
      <c r="C247" s="67"/>
      <c r="D247" s="67"/>
      <c r="E247" s="67"/>
      <c r="F247" s="67"/>
      <c r="G247" s="67"/>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43">
        <f t="shared" si="54"/>
        <v>91</v>
      </c>
      <c r="AG247" s="143">
        <f t="shared" si="53"/>
        <v>32.76</v>
      </c>
      <c r="AH247" s="144">
        <f t="shared" si="42"/>
        <v>1205.5679999999998</v>
      </c>
      <c r="AI247" s="145">
        <f t="shared" si="43"/>
        <v>0.97826086956521752</v>
      </c>
      <c r="AJ247" s="145">
        <f t="shared" si="44"/>
        <v>32.047826086956526</v>
      </c>
      <c r="AK247" s="145">
        <f t="shared" si="40"/>
        <v>0.39130434782608459</v>
      </c>
      <c r="AL247" s="145">
        <f t="shared" si="41"/>
        <v>32.048025162624249</v>
      </c>
      <c r="AM247" s="146"/>
      <c r="AN247" s="145">
        <f>MAX(0,Table7[[#This Row],[I_L]]-0.5*Table7[[#This Row],[I_L pkpk]])</f>
        <v>31.852173913043483</v>
      </c>
      <c r="AO247" s="145">
        <f>Table7[[#This Row],[I_L]]+0.5*Table7[[#This Row],[I_L pkpk]]</f>
        <v>32.243478260869566</v>
      </c>
      <c r="AP247" s="145">
        <f ca="1">IF(VACnom&gt;Vbat, (VGS_S-(TI_MOSFET_S_VTH_H_BU+Table7[[#This Row],[I_L]]/TI_MOSFET_S_gFS_H_BU))/3.4, (VGS_S-(TI_MOSFET_S_VTH_L_BO+Table7[[#This Row],[I_L]]/TI_MOSFET_S_gFS_L_BO))/3.4 )</f>
        <v>2.9421994884910485</v>
      </c>
      <c r="AQ247" s="145">
        <f ca="1">IF(VACnom&gt;Vbat, ((TI_MOSFET_S_VTH_H_BU+Table7[[#This Row],[I_L]]/TI_MOSFET_S_gFS_H_BU))/1, ((TI_MOSFET_S_VTH_L_BO+Table7[[#This Row],[I_L]]/TI_MOSFET_S_gFS_L_BO))/1 )</f>
        <v>1.9965217391304348</v>
      </c>
      <c r="AR247" s="145">
        <f ca="1">IF(VACnom&gt;Vbat, (TI_MOSFET_S_QGD_H_BU+TI_MOSFET_S_QGS_H_BU)*10^-9/Table7[[#This Row],[Ion (A)]], (TI_MOSFET_S_QGD_L_BO+TI_MOSFET_S_QGS_L_BO)*10^-9/Table7[[#This Row],[Ion (A)]])/10^-9</f>
        <v>9.7885952712100153</v>
      </c>
      <c r="AS247" s="145">
        <f ca="1">IF(VACnom&gt;Vbat, (TI_MOSFET_S_QGD_H_BU+TI_MOSFET_S_QGS_H_BU)*10^-9/Table7[[#This Row],[Ioff (A)]], (TI_MOSFET_S_QGD_L_BO+TI_MOSFET_S_QGS_L_BO)*10^-9/Table7[[#This Row],[Ioff (A)]])/10^-9</f>
        <v>14.425087108013939</v>
      </c>
      <c r="AT247" s="145">
        <f ca="1" xml:space="preserve"> 0.5*VACnom*Table7[[#This Row],[Ivalley (A)]]*Table7[[#This Row],[ton (ns)]]*10^-9*Fsw*10^3+0.5*VACnom*Table7[[#This Row],[Ipeak (A)]]*Table7[[#This Row],[toff (ns)]]*10^-9*Fsw*10^3/10^-3</f>
        <v>1712.7705158718127</v>
      </c>
      <c r="AU247" s="145">
        <f t="shared" ca="1" si="45"/>
        <v>268.64000000000004</v>
      </c>
      <c r="AV247" s="145" t="e">
        <f t="shared" si="46"/>
        <v>#VALUE!</v>
      </c>
      <c r="AW247" s="145">
        <f t="shared" ca="1" si="47"/>
        <v>566.72000000000025</v>
      </c>
      <c r="AX247" s="145">
        <f ca="1">IF(VACnom&gt;Vbat, TI_MOSFET_S_VSD_L_BU*Table7[[#This Row],[Ivalley (A)]]*Fsw*10^3*40*10^-9+TI_MOSFET_S_VSD_L_BU*Table7[[#This Row],[Ipeak (A)]]*Fsw*10^3*30*10^-9, TI_MOSFET_S_VSD_H_BO*Table7[[#This Row],[Ivalley (A)]]*Fsw*10^3*40*10^-9+TI_MOSFET_S_VSD_H_BO*Table7[[#This Row],[Ipeak (A)]]*Fsw*10^3*30*10^-9)/10^-3</f>
        <v>322.76034782608707</v>
      </c>
      <c r="AY247" s="145" t="e">
        <f t="shared" si="48"/>
        <v>#VALUE!</v>
      </c>
      <c r="AZ247" s="145" t="e">
        <f>IF(VACnom&lt;Vbat, Table7[[#This Row],[Duty Cycle]]*Table7[[#This Row],[I_L RMS]]^2*TI_MOSFET_S_RDSON_H_BU*10^-3, (1-Table7[[#This Row],[Duty Cycle]])*Table7[[#This Row],[I_L RMS]]^2*TI_MOSFET_S_RDSON_H_BO*10^-3)/10^-3</f>
        <v>#VALUE!</v>
      </c>
      <c r="BA247" s="145" t="e">
        <f ca="1">IF(VACnom&gt;Vbat, Table7[[#This Row],[PIV (mW)]]+Table7[[#This Row],[Pqoss (mW)]]+Table7[[#This Row],[Pgate_top (mW)]], Table7[[#This Row],[PRR (mW)]]+Table7[[#This Row],[Pdead (mW)]]+Table7[[#This Row],[Pgate_top (mW)]])</f>
        <v>#VALUE!</v>
      </c>
      <c r="BB247" s="145" t="e">
        <f ca="1">Table7[[#This Row],[Pcon_top (mW)]]+Table7[[#This Row],[Psw_top (mW)]]</f>
        <v>#VALUE!</v>
      </c>
      <c r="BC247" s="145" t="e">
        <f>IF(VACnom&gt;Vbat, (1-Table7[[#This Row],[Duty Cycle]])*Table7[[#This Row],[I_L RMS]]^2*TI_MOSFET_S_RDSON_L_BU*10^-3, Table7[[#This Row],[Duty Cycle]]*Table7[[#This Row],[I_L RMS]]^2*TI_MOSFET_S_RDSON_L_BO*10^-3)/10^-3</f>
        <v>#VALUE!</v>
      </c>
      <c r="BD247" s="145" t="e">
        <f ca="1">IF(VACnom&gt;Vbat, Table7[[#This Row],[PRR (mW)]]+Table7[[#This Row],[Pdead (mW)]]+Table7[[#This Row],[Pgate_bottom (mW)]], Table7[[#This Row],[PIV (mW)]]+Table7[[#This Row],[Pqoss (mW)]]+Table7[[#This Row],[Pgate_bottom (mW)]])</f>
        <v>#VALUE!</v>
      </c>
      <c r="BE247" s="147" t="e">
        <f ca="1">Table7[[#This Row],[Pcon_bottom (mW)]]+Table7[[#This Row],[Psw_bottom (mW)]]</f>
        <v>#VALUE!</v>
      </c>
      <c r="BF247" s="145" t="e">
        <f ca="1">Table7[[#This Row],[Pbottom (mW)]]+Table7[[#This Row],[Ptop (mW)]]</f>
        <v>#VALUE!</v>
      </c>
      <c r="BG247" s="142"/>
      <c r="BH247" s="145">
        <f>MAX(0,Table7[[#This Row],[I_L]]-0.5*Table7[[#This Row],[I_L pkpk]])</f>
        <v>31.852173913043483</v>
      </c>
      <c r="BI247" s="145">
        <f>Table7[[#This Row],[I_L]]+0.5*Table7[[#This Row],[I_L pkpk]]</f>
        <v>32.243478260869566</v>
      </c>
      <c r="BJ247" s="145">
        <f>IF(VACnom&gt;Vbat, (VGS_S-(C_MOSFET_S_VTH_H_BU+Table7[[#This Row],[I_L]]/C_MOSFET_S_gFS_H_BU))/3.4, (VGS_S-(C_MOSFET_S_VTH_L_BO+Table7[[#This Row],[I_L]]/C_MOSFET_S_gFS_L_BO))/3.4 )</f>
        <v>2.8893310697592383</v>
      </c>
      <c r="BK247" s="145">
        <f>IF(VACnom&gt;Vbat, ((C_MOSFET_S_VTH_H_BU+Table7[[#This Row],[I_L]]/C_MOSFET_S_gFS_H_BU))/1, ((C_MOSFET_S_VTH_L_BO+Table7[[#This Row],[I_L]]/C_MOSFET_S_gFS_L_BO))/1 )</f>
        <v>2.1762743628185905</v>
      </c>
      <c r="BL247" s="145">
        <f>IF(VACnom&gt;Vbat, (C_MOSFET_S_QGD_H_BU+C_MOSFET_S_QGS_H_BU)*10^-9/Table7[[#This Row],[Ion (A) C]], (C_MOSFET_S_QGD_L_BO+C_MOSFET_S_QGS_L_BO)*10^-9/Table7[[#This Row],[Ion (A) C]])/10^-9</f>
        <v>5.3645635012991368</v>
      </c>
      <c r="BM247" s="145">
        <f>IF(VACnom&gt;Vbat, (C_MOSFET_S_QGD_H_BU+C_MOSFET_S_QGS_H_BU)*10^-9/Table7[[#This Row],[Ioff (A) C]], (C_MOSFET_S_QGD_L_BO+C_MOSFET_S_QGS_L_BO)*10^-9/Table7[[#This Row],[Ioff (A) C]])/10^-9</f>
        <v>7.1222637479978639</v>
      </c>
      <c r="BN247" s="145">
        <f xml:space="preserve"> 0.5*VACnom*Table7[[#This Row],[Ivalley (A) C]]*Table7[[#This Row],[ton (ns) C]]*10^-9*Fsw*10^3+0.5*VACnom*Table7[[#This Row],[Ipeak (A) C]]*Table7[[#This Row],[toff (ns) C]]*10^-9*Fsw*10^3/10^-3</f>
        <v>845.72813995780302</v>
      </c>
      <c r="BO247" s="145">
        <f t="shared" si="49"/>
        <v>305.44000000000011</v>
      </c>
      <c r="BP247" s="145">
        <f t="shared" si="50"/>
        <v>357.69600000000014</v>
      </c>
      <c r="BQ247" s="145">
        <f t="shared" si="51"/>
        <v>1067.2000000000003</v>
      </c>
      <c r="BR247" s="145">
        <f>IF(VACnom&gt;Vbat, C_MOSFET_S_VSD_L_BU*Table7[[#This Row],[Ivalley (A) C]]*Fsw*10^3*40*10^-9+C_MOSFET_S_VSD_L_BU*Table7[[#This Row],[Ipeak (A) C]]*Fsw*10^3*30*10^-9, C_MOSFET_S_VSD_H_BO*Table7[[#This Row],[Ivalley (A) C]]*Fsw*10^3*40*10^-9+C_MOSFET_S_VSD_H_BO*Table7[[#This Row],[Ipeak (A) C]]*Fsw*10^3*30*10^-9)/10^-3</f>
        <v>358.62260869565245</v>
      </c>
      <c r="BS247" s="145">
        <f t="shared" si="52"/>
        <v>357.69600000000014</v>
      </c>
      <c r="BT247" s="145">
        <f>IF(VACnom&lt;Vbat, Table7[[#This Row],[Duty Cycle]]*Table7[[#This Row],[I_L RMS]]^2*C_MOSFET_S_RDSON_H_BU*10^-3, (1-Table7[[#This Row],[Duty Cycle]])*Table7[[#This Row],[I_L RMS]]^2*C_MOSFET_S_RDSON_H_BO*10^-3)/10^-3</f>
        <v>58.052117037889069</v>
      </c>
      <c r="BU247" s="145">
        <f>IF(VACnom&gt;Vbat, Table7[[#This Row],[PIV (mW) C]]+Table7[[#This Row],[PQoss (mW) C]]+Table7[[#This Row],[Pgate_top (mW) C]], Table7[[#This Row],[PRR (mW) C]]+Table7[[#This Row],[Pdead (mW) C]]+Table7[[#This Row],[Pgate_top (mW) C]])</f>
        <v>1508.8641399578032</v>
      </c>
      <c r="BV247" s="145">
        <f>Table7[[#This Row],[Pcon_top (mW) C]]+Table7[[#This Row],[Psw_top (mW) C]]</f>
        <v>1566.9162569956923</v>
      </c>
      <c r="BW247" s="145">
        <f>IF(VACnom&gt;Vbat, (1-Table7[[#This Row],[Duty Cycle]])*Table7[[#This Row],[I_L RMS]]^2*C_MOSFET_S_RDSON_L_BU*10^-3, Table7[[#This Row],[Duty Cycle]]*Table7[[#This Row],[I_L RMS]]^2*C_MOSFET_S_RDSON_L_BO*10^-3)/10^-3</f>
        <v>37.957153447850544</v>
      </c>
      <c r="BX247" s="145">
        <f>IF(VACnom&gt;Vbat, Table7[[#This Row],[PRR (mW) C]]+Table7[[#This Row],[Pdead (mW) C]]+Table7[[#This Row],[Pgate_bottom (mW) C]], Table7[[#This Row],[PIV (mW) C]]+Table7[[#This Row],[PQoss (mW) C]]+Table7[[#This Row],[Pgate_bottom (mW) C]])</f>
        <v>1783.5186086956528</v>
      </c>
      <c r="BY247" s="145">
        <f>Table7[[#This Row],[Pcon_bottom (mW) C]]+Table7[[#This Row],[Psw_bottom (mV) C]]</f>
        <v>1821.4757621435033</v>
      </c>
      <c r="BZ247" s="145">
        <f>Table7[[#This Row],[Pbottom (mW) C]]+Table7[[#This Row],[Ptop (mW) C]]</f>
        <v>3388.3920191391953</v>
      </c>
      <c r="CA247" s="148"/>
      <c r="CB247" s="144">
        <f>(RAC_SNS*10^-3*(Table7[[#This Row],[IOUT (A)]]*Vbat/VACnom)^2/10^-3)</f>
        <v>2054.1263137996216</v>
      </c>
      <c r="CC247" s="144">
        <f>(RBAT_SNS*10^-3*Table7[[#This Row],[IOUT (A)]]^2)/10^-3</f>
        <v>5366.0879999999997</v>
      </c>
      <c r="CD247" s="144">
        <f>IF(VACnom&gt;Vbat,(L_DRC*10^-3*(Table7[[#This Row],[IOUT (A)]])^2/10^-3),(L_DRC*10^-3*(Table7[[#This Row],[IOUT (A)]]*Vbat/VACnom)^2/10^-3))</f>
        <v>5366.0879999999997</v>
      </c>
      <c r="CE247" s="152"/>
      <c r="CF247" s="145">
        <f>(Table7[[#This Row],[R_AC (mW)]]+Table7[[#This Row],[R_SR (mW)]]+Table7[[#This Row],[Inductor Loss (mW)]])/10^3</f>
        <v>12.78630231379962</v>
      </c>
      <c r="CG247" s="145" t="e">
        <f ca="1">Table7[[#This Row],[Total TI (mW)]]/10^3</f>
        <v>#VALUE!</v>
      </c>
      <c r="CH247" s="145" t="e">
        <f ca="1">Table7[[#This Row],[Total Sense Loss]]+Table7[[#This Row],[Total MOSFET Loss]]</f>
        <v>#VALUE!</v>
      </c>
      <c r="CI247" s="149" t="e">
        <f ca="1">IF(Table7[[#This Row],[POUT (W)]]=0,0,(Table7[[#This Row],[POUT (W)]])/(Table7[[#This Row],[POUT (W)]]+Table7[[#This Row],[Total Power Loss (W)]]))*100</f>
        <v>#VALUE!</v>
      </c>
      <c r="CJ247" s="153"/>
      <c r="CK247" s="145">
        <f>(Table7[[#This Row],[R_AC (mW)]]+Table7[[#This Row],[R_SR (mW)]]+Table7[[#This Row],[Inductor Loss (mW)]])/10^3</f>
        <v>12.78630231379962</v>
      </c>
      <c r="CL247" s="145">
        <f>Table7[[#This Row],[Total (mW) C]]/10^3</f>
        <v>3.3883920191391952</v>
      </c>
      <c r="CM247" s="145">
        <f>Table7[[#This Row],[Total Sense Loss C]]+Table7[[#This Row],[Total MOSFET Loss C]]</f>
        <v>16.174694332938817</v>
      </c>
      <c r="CN247" s="149">
        <f>IF(Table7[[#This Row],[POUT (W)]]=0,0,(Table7[[#This Row],[POUT (W)]])/(Table7[[#This Row],[POUT (W)]]+Table7[[#This Row],[Total Power Loss (W) C]]))*100</f>
        <v>98.676096496589238</v>
      </c>
      <c r="CO247" s="153"/>
      <c r="CP247" s="149">
        <f>IF(MOSFET_S=Custom_MOSFET,Table7[[#This Row],[Total Sense Loss C]],Table7[[#This Row],[Total Sense Loss]])</f>
        <v>12.78630231379962</v>
      </c>
      <c r="CQ247" s="149">
        <f>IF(MOSFET_S=Custom_MOSFET,Table7[[#This Row],[Total MOSFET Loss C]],Table7[[#This Row],[Total MOSFET Loss]])</f>
        <v>3.3883920191391952</v>
      </c>
      <c r="CR247" s="149">
        <f>IF(MOSFET_S=Custom_MOSFET,Table7[[#This Row],[Efficiency C]],Table7[[#This Row],[Efficiency]])</f>
        <v>98.676096496589238</v>
      </c>
      <c r="CS247" s="153"/>
      <c r="CT247" s="149">
        <f>IF(MOSFET_S=Compare_MOSFET, Table7[[#This Row],[Total Sense Loss C]], -100)</f>
        <v>-100</v>
      </c>
      <c r="CU247" s="149">
        <f>IF(MOSFET_S=Compare_MOSFET, Table7[[#This Row],[Total MOSFET Loss C]], -100)</f>
        <v>-100</v>
      </c>
      <c r="CV247" s="149">
        <f>IF(MOSFET_S=Compare_MOSFET, Table7[[#This Row],[Efficiency C]], -100)</f>
        <v>-100</v>
      </c>
      <c r="CW247" s="153"/>
      <c r="CX247" s="149">
        <f ca="1">IF(Save_Sel=CLR_Save,  Table7[[#This Row],[Total Sense Loss P1]], Table7[[#This Row],[Total Sense Loss P1 Saved]])</f>
        <v>12.78630231379962</v>
      </c>
      <c r="CY247" s="149">
        <f ca="1">IF(Save_Sel=CLR_Save,  Table7[[#This Row],[Total MOSFET Loss P1]], Table7[[#This Row],[Total MOSFET Loss P1 Saved]] )</f>
        <v>3.3883920191391952</v>
      </c>
      <c r="CZ247" s="149">
        <f ca="1">IF(Save_Sel=CLR_Save, Table7[[#This Row],[Efficiency P1]], Table7[[#This Row],[Efficiency P1 Saved]])</f>
        <v>98.676096496589238</v>
      </c>
      <c r="DA247" s="153"/>
      <c r="DB247" s="149">
        <f ca="1">IF(Save_Sel=CLR_Save,  Table7[[#This Row],[Total Sense Loss P2]], Table7[[#This Row],[Total Sense Loss P2 Saved]])</f>
        <v>-100</v>
      </c>
      <c r="DC247" s="149">
        <f ca="1">IF(Save_Sel=CLR_Save,  Table7[[#This Row],[Total MOSFET Loss P2]], Table7[[#This Row],[Total MOSFET Loss P2 Saved]] )</f>
        <v>-100</v>
      </c>
      <c r="DD247" s="149">
        <f ca="1">IF(Save_Sel=CLR_Save, Table7[[#This Row],[Efficiency P2]], Table7[[#This Row],[Efficiency P2 Saved]])</f>
        <v>-100</v>
      </c>
      <c r="DE247" s="153"/>
      <c r="DF247" s="19"/>
      <c r="DG247" s="19"/>
      <c r="DH247" s="19"/>
      <c r="DI247" s="19"/>
      <c r="DJ247" s="19"/>
      <c r="DK247" s="19"/>
      <c r="DL247" s="19"/>
      <c r="DM247" s="19"/>
      <c r="DN247" s="19"/>
      <c r="DO247" s="19"/>
      <c r="DP247" s="19"/>
      <c r="DQ247" s="19"/>
      <c r="DR247" s="19"/>
      <c r="DS247" s="19"/>
      <c r="DT247" s="19"/>
      <c r="DU247" s="19"/>
      <c r="DV247" s="19"/>
      <c r="DW247" s="19"/>
      <c r="DX247" s="19"/>
      <c r="DY247" s="19"/>
      <c r="DZ247" s="19"/>
      <c r="EA247" s="19"/>
      <c r="EB247" s="19"/>
      <c r="EC247" s="19"/>
      <c r="ED247" s="19"/>
      <c r="EE247" s="19"/>
      <c r="EF247" s="19"/>
      <c r="EG247" s="19"/>
      <c r="EH247" s="19"/>
      <c r="EI247" s="19"/>
      <c r="EJ247" s="19"/>
      <c r="EK247" s="19"/>
      <c r="EL247" s="19"/>
      <c r="EM247" s="19"/>
      <c r="EN247" s="19"/>
      <c r="EO247" s="19"/>
      <c r="EP247" s="19"/>
      <c r="EQ247" s="19"/>
      <c r="ER247" s="19"/>
      <c r="ES247" s="19"/>
      <c r="ET247" s="19"/>
      <c r="EU247" s="19"/>
      <c r="EV247" s="19"/>
      <c r="EW247" s="19"/>
      <c r="EX247" s="19"/>
      <c r="EY247" s="19"/>
      <c r="EZ247" s="19"/>
      <c r="FA247" s="19"/>
      <c r="FB247" s="19"/>
      <c r="FC247" s="19"/>
      <c r="FD247" s="19"/>
      <c r="FE247" s="19"/>
      <c r="FF247" s="19"/>
      <c r="FG247" s="19"/>
      <c r="FH247" s="19"/>
      <c r="FI247" s="19"/>
    </row>
    <row r="248" spans="1:165" x14ac:dyDescent="0.25">
      <c r="A248" s="67"/>
      <c r="B248" s="67"/>
      <c r="C248" s="67"/>
      <c r="D248" s="67"/>
      <c r="E248" s="67"/>
      <c r="F248" s="67"/>
      <c r="G248" s="67"/>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43">
        <f t="shared" si="54"/>
        <v>92</v>
      </c>
      <c r="AG248" s="143">
        <f t="shared" si="53"/>
        <v>33.119999999999997</v>
      </c>
      <c r="AH248" s="144">
        <f t="shared" si="42"/>
        <v>1218.8159999999998</v>
      </c>
      <c r="AI248" s="145">
        <f t="shared" si="43"/>
        <v>0.97826086956521752</v>
      </c>
      <c r="AJ248" s="145">
        <f t="shared" si="44"/>
        <v>32.4</v>
      </c>
      <c r="AK248" s="145">
        <f t="shared" si="40"/>
        <v>0.39130434782608459</v>
      </c>
      <c r="AL248" s="145">
        <f t="shared" si="41"/>
        <v>32.400196911814987</v>
      </c>
      <c r="AM248" s="146"/>
      <c r="AN248" s="145">
        <f>MAX(0,Table7[[#This Row],[I_L]]-0.5*Table7[[#This Row],[I_L pkpk]])</f>
        <v>32.204347826086959</v>
      </c>
      <c r="AO248" s="145">
        <f>Table7[[#This Row],[I_L]]+0.5*Table7[[#This Row],[I_L pkpk]]</f>
        <v>32.595652173913038</v>
      </c>
      <c r="AP248" s="145">
        <f ca="1">IF(VACnom&gt;Vbat, (VGS_S-(TI_MOSFET_S_VTH_H_BU+Table7[[#This Row],[I_L]]/TI_MOSFET_S_gFS_H_BU))/3.4, (VGS_S-(TI_MOSFET_S_VTH_L_BO+Table7[[#This Row],[I_L]]/TI_MOSFET_S_gFS_L_BO))/3.4 )</f>
        <v>2.9414027149321269</v>
      </c>
      <c r="AQ248" s="145">
        <f ca="1">IF(VACnom&gt;Vbat, ((TI_MOSFET_S_VTH_H_BU+Table7[[#This Row],[I_L]]/TI_MOSFET_S_gFS_H_BU))/1, ((TI_MOSFET_S_VTH_L_BO+Table7[[#This Row],[I_L]]/TI_MOSFET_S_gFS_L_BO))/1 )</f>
        <v>1.9992307692307691</v>
      </c>
      <c r="AR248" s="145">
        <f ca="1">IF(VACnom&gt;Vbat, (TI_MOSFET_S_QGD_H_BU+TI_MOSFET_S_QGS_H_BU)*10^-9/Table7[[#This Row],[Ion (A)]], (TI_MOSFET_S_QGD_L_BO+TI_MOSFET_S_QGS_L_BO)*10^-9/Table7[[#This Row],[Ion (A)]])/10^-9</f>
        <v>9.7912468271671411</v>
      </c>
      <c r="AS248" s="145">
        <f ca="1">IF(VACnom&gt;Vbat, (TI_MOSFET_S_QGD_H_BU+TI_MOSFET_S_QGS_H_BU)*10^-9/Table7[[#This Row],[Ioff (A)]], (TI_MOSFET_S_QGD_L_BO+TI_MOSFET_S_QGS_L_BO)*10^-9/Table7[[#This Row],[Ioff (A)]])/10^-9</f>
        <v>14.405540592535592</v>
      </c>
      <c r="AT248" s="145">
        <f ca="1" xml:space="preserve"> 0.5*VACnom*Table7[[#This Row],[Ivalley (A)]]*Table7[[#This Row],[ton (ns)]]*10^-9*Fsw*10^3+0.5*VACnom*Table7[[#This Row],[Ipeak (A)]]*Table7[[#This Row],[toff (ns)]]*10^-9*Fsw*10^3/10^-3</f>
        <v>1729.1337853998111</v>
      </c>
      <c r="AU248" s="145">
        <f t="shared" ca="1" si="45"/>
        <v>268.64000000000004</v>
      </c>
      <c r="AV248" s="145" t="e">
        <f t="shared" si="46"/>
        <v>#VALUE!</v>
      </c>
      <c r="AW248" s="145">
        <f t="shared" ca="1" si="47"/>
        <v>566.72000000000025</v>
      </c>
      <c r="AX248" s="145">
        <f ca="1">IF(VACnom&gt;Vbat, TI_MOSFET_S_VSD_L_BU*Table7[[#This Row],[Ivalley (A)]]*Fsw*10^3*40*10^-9+TI_MOSFET_S_VSD_L_BU*Table7[[#This Row],[Ipeak (A)]]*Fsw*10^3*30*10^-9, TI_MOSFET_S_VSD_H_BO*Table7[[#This Row],[Ivalley (A)]]*Fsw*10^3*40*10^-9+TI_MOSFET_S_VSD_H_BO*Table7[[#This Row],[Ipeak (A)]]*Fsw*10^3*30*10^-9)/10^-3</f>
        <v>326.31026086956524</v>
      </c>
      <c r="AY248" s="145" t="e">
        <f t="shared" si="48"/>
        <v>#VALUE!</v>
      </c>
      <c r="AZ248" s="145" t="e">
        <f>IF(VACnom&lt;Vbat, Table7[[#This Row],[Duty Cycle]]*Table7[[#This Row],[I_L RMS]]^2*TI_MOSFET_S_RDSON_H_BU*10^-3, (1-Table7[[#This Row],[Duty Cycle]])*Table7[[#This Row],[I_L RMS]]^2*TI_MOSFET_S_RDSON_H_BO*10^-3)/10^-3</f>
        <v>#VALUE!</v>
      </c>
      <c r="BA248" s="145" t="e">
        <f ca="1">IF(VACnom&gt;Vbat, Table7[[#This Row],[PIV (mW)]]+Table7[[#This Row],[Pqoss (mW)]]+Table7[[#This Row],[Pgate_top (mW)]], Table7[[#This Row],[PRR (mW)]]+Table7[[#This Row],[Pdead (mW)]]+Table7[[#This Row],[Pgate_top (mW)]])</f>
        <v>#VALUE!</v>
      </c>
      <c r="BB248" s="145" t="e">
        <f ca="1">Table7[[#This Row],[Pcon_top (mW)]]+Table7[[#This Row],[Psw_top (mW)]]</f>
        <v>#VALUE!</v>
      </c>
      <c r="BC248" s="145" t="e">
        <f>IF(VACnom&gt;Vbat, (1-Table7[[#This Row],[Duty Cycle]])*Table7[[#This Row],[I_L RMS]]^2*TI_MOSFET_S_RDSON_L_BU*10^-3, Table7[[#This Row],[Duty Cycle]]*Table7[[#This Row],[I_L RMS]]^2*TI_MOSFET_S_RDSON_L_BO*10^-3)/10^-3</f>
        <v>#VALUE!</v>
      </c>
      <c r="BD248" s="145" t="e">
        <f ca="1">IF(VACnom&gt;Vbat, Table7[[#This Row],[PRR (mW)]]+Table7[[#This Row],[Pdead (mW)]]+Table7[[#This Row],[Pgate_bottom (mW)]], Table7[[#This Row],[PIV (mW)]]+Table7[[#This Row],[Pqoss (mW)]]+Table7[[#This Row],[Pgate_bottom (mW)]])</f>
        <v>#VALUE!</v>
      </c>
      <c r="BE248" s="147" t="e">
        <f ca="1">Table7[[#This Row],[Pcon_bottom (mW)]]+Table7[[#This Row],[Psw_bottom (mW)]]</f>
        <v>#VALUE!</v>
      </c>
      <c r="BF248" s="145" t="e">
        <f ca="1">Table7[[#This Row],[Pbottom (mW)]]+Table7[[#This Row],[Ptop (mW)]]</f>
        <v>#VALUE!</v>
      </c>
      <c r="BG248" s="142"/>
      <c r="BH248" s="145">
        <f>MAX(0,Table7[[#This Row],[I_L]]-0.5*Table7[[#This Row],[I_L pkpk]])</f>
        <v>32.204347826086959</v>
      </c>
      <c r="BI248" s="145">
        <f>Table7[[#This Row],[I_L]]+0.5*Table7[[#This Row],[I_L pkpk]]</f>
        <v>32.595652173913038</v>
      </c>
      <c r="BJ248" s="145">
        <f>IF(VACnom&gt;Vbat, (VGS_S-(C_MOSFET_S_VTH_H_BU+Table7[[#This Row],[I_L]]/C_MOSFET_S_gFS_H_BU))/3.4, (VGS_S-(C_MOSFET_S_VTH_L_BO+Table7[[#This Row],[I_L]]/C_MOSFET_S_gFS_L_BO))/3.4 )</f>
        <v>2.8884381338742395</v>
      </c>
      <c r="BK248" s="145">
        <f>IF(VACnom&gt;Vbat, ((C_MOSFET_S_VTH_H_BU+Table7[[#This Row],[I_L]]/C_MOSFET_S_gFS_H_BU))/1, ((C_MOSFET_S_VTH_L_BO+Table7[[#This Row],[I_L]]/C_MOSFET_S_gFS_L_BO))/1 )</f>
        <v>2.1793103448275861</v>
      </c>
      <c r="BL248" s="145">
        <f>IF(VACnom&gt;Vbat, (C_MOSFET_S_QGD_H_BU+C_MOSFET_S_QGS_H_BU)*10^-9/Table7[[#This Row],[Ion (A) C]], (C_MOSFET_S_QGD_L_BO+C_MOSFET_S_QGS_L_BO)*10^-9/Table7[[#This Row],[Ion (A) C]])/10^-9</f>
        <v>5.3662219101123592</v>
      </c>
      <c r="BM248" s="145">
        <f>IF(VACnom&gt;Vbat, (C_MOSFET_S_QGD_H_BU+C_MOSFET_S_QGS_H_BU)*10^-9/Table7[[#This Row],[Ioff (A) C]], (C_MOSFET_S_QGD_L_BO+C_MOSFET_S_QGS_L_BO)*10^-9/Table7[[#This Row],[Ioff (A) C]])/10^-9</f>
        <v>7.1123417721518987</v>
      </c>
      <c r="BN248" s="145">
        <f xml:space="preserve"> 0.5*VACnom*Table7[[#This Row],[Ivalley (A) C]]*Table7[[#This Row],[ton (ns) C]]*10^-9*Fsw*10^3+0.5*VACnom*Table7[[#This Row],[Ipeak (A) C]]*Table7[[#This Row],[toff (ns) C]]*10^-9*Fsw*10^3/10^-3</f>
        <v>853.77558194417588</v>
      </c>
      <c r="BO248" s="145">
        <f t="shared" si="49"/>
        <v>305.44000000000011</v>
      </c>
      <c r="BP248" s="145">
        <f t="shared" si="50"/>
        <v>357.69600000000014</v>
      </c>
      <c r="BQ248" s="145">
        <f t="shared" si="51"/>
        <v>1067.2000000000003</v>
      </c>
      <c r="BR248" s="145">
        <f>IF(VACnom&gt;Vbat, C_MOSFET_S_VSD_L_BU*Table7[[#This Row],[Ivalley (A) C]]*Fsw*10^3*40*10^-9+C_MOSFET_S_VSD_L_BU*Table7[[#This Row],[Ipeak (A) C]]*Fsw*10^3*30*10^-9, C_MOSFET_S_VSD_H_BO*Table7[[#This Row],[Ivalley (A) C]]*Fsw*10^3*40*10^-9+C_MOSFET_S_VSD_H_BO*Table7[[#This Row],[Ipeak (A) C]]*Fsw*10^3*30*10^-9)/10^-3</f>
        <v>362.5669565217392</v>
      </c>
      <c r="BS248" s="145">
        <f t="shared" si="52"/>
        <v>357.69600000000014</v>
      </c>
      <c r="BT248" s="145">
        <f>IF(VACnom&lt;Vbat, Table7[[#This Row],[Duty Cycle]]*Table7[[#This Row],[I_L RMS]]^2*C_MOSFET_S_RDSON_H_BU*10^-3, (1-Table7[[#This Row],[Duty Cycle]])*Table7[[#This Row],[I_L RMS]]^2*C_MOSFET_S_RDSON_H_BO*10^-3)/10^-3</f>
        <v>59.334982082682309</v>
      </c>
      <c r="BU248" s="145">
        <f>IF(VACnom&gt;Vbat, Table7[[#This Row],[PIV (mW) C]]+Table7[[#This Row],[PQoss (mW) C]]+Table7[[#This Row],[Pgate_top (mW) C]], Table7[[#This Row],[PRR (mW) C]]+Table7[[#This Row],[Pdead (mW) C]]+Table7[[#This Row],[Pgate_top (mW) C]])</f>
        <v>1516.9115819441761</v>
      </c>
      <c r="BV248" s="145">
        <f>Table7[[#This Row],[Pcon_top (mW) C]]+Table7[[#This Row],[Psw_top (mW) C]]</f>
        <v>1576.2465640268583</v>
      </c>
      <c r="BW248" s="145">
        <f>IF(VACnom&gt;Vbat, (1-Table7[[#This Row],[Duty Cycle]])*Table7[[#This Row],[I_L RMS]]^2*C_MOSFET_S_RDSON_L_BU*10^-3, Table7[[#This Row],[Duty Cycle]]*Table7[[#This Row],[I_L RMS]]^2*C_MOSFET_S_RDSON_L_BO*10^-3)/10^-3</f>
        <v>38.795949823292275</v>
      </c>
      <c r="BX248" s="145">
        <f>IF(VACnom&gt;Vbat, Table7[[#This Row],[PRR (mW) C]]+Table7[[#This Row],[Pdead (mW) C]]+Table7[[#This Row],[Pgate_bottom (mW) C]], Table7[[#This Row],[PIV (mW) C]]+Table7[[#This Row],[PQoss (mW) C]]+Table7[[#This Row],[Pgate_bottom (mW) C]])</f>
        <v>1787.4629565217397</v>
      </c>
      <c r="BY248" s="145">
        <f>Table7[[#This Row],[Pcon_bottom (mW) C]]+Table7[[#This Row],[Psw_bottom (mV) C]]</f>
        <v>1826.2589063450318</v>
      </c>
      <c r="BZ248" s="145">
        <f>Table7[[#This Row],[Pbottom (mW) C]]+Table7[[#This Row],[Ptop (mW) C]]</f>
        <v>3402.5054703718902</v>
      </c>
      <c r="CA248" s="148"/>
      <c r="CB248" s="144">
        <f>(RAC_SNS*10^-3*(Table7[[#This Row],[IOUT (A)]]*Vbat/VACnom)^2/10^-3)</f>
        <v>2099.52</v>
      </c>
      <c r="CC248" s="144">
        <f>(RBAT_SNS*10^-3*Table7[[#This Row],[IOUT (A)]]^2)/10^-3</f>
        <v>5484.6719999999996</v>
      </c>
      <c r="CD248" s="144">
        <f>IF(VACnom&gt;Vbat,(L_DRC*10^-3*(Table7[[#This Row],[IOUT (A)]])^2/10^-3),(L_DRC*10^-3*(Table7[[#This Row],[IOUT (A)]]*Vbat/VACnom)^2/10^-3))</f>
        <v>5484.6719999999996</v>
      </c>
      <c r="CE248" s="152"/>
      <c r="CF248" s="145">
        <f>(Table7[[#This Row],[R_AC (mW)]]+Table7[[#This Row],[R_SR (mW)]]+Table7[[#This Row],[Inductor Loss (mW)]])/10^3</f>
        <v>13.068863999999998</v>
      </c>
      <c r="CG248" s="145" t="e">
        <f ca="1">Table7[[#This Row],[Total TI (mW)]]/10^3</f>
        <v>#VALUE!</v>
      </c>
      <c r="CH248" s="145" t="e">
        <f ca="1">Table7[[#This Row],[Total Sense Loss]]+Table7[[#This Row],[Total MOSFET Loss]]</f>
        <v>#VALUE!</v>
      </c>
      <c r="CI248" s="149" t="e">
        <f ca="1">IF(Table7[[#This Row],[POUT (W)]]=0,0,(Table7[[#This Row],[POUT (W)]])/(Table7[[#This Row],[POUT (W)]]+Table7[[#This Row],[Total Power Loss (W)]]))*100</f>
        <v>#VALUE!</v>
      </c>
      <c r="CJ248" s="153"/>
      <c r="CK248" s="145">
        <f>(Table7[[#This Row],[R_AC (mW)]]+Table7[[#This Row],[R_SR (mW)]]+Table7[[#This Row],[Inductor Loss (mW)]])/10^3</f>
        <v>13.068863999999998</v>
      </c>
      <c r="CL248" s="145">
        <f>Table7[[#This Row],[Total (mW) C]]/10^3</f>
        <v>3.40250547037189</v>
      </c>
      <c r="CM248" s="145">
        <f>Table7[[#This Row],[Total Sense Loss C]]+Table7[[#This Row],[Total MOSFET Loss C]]</f>
        <v>16.471369470371886</v>
      </c>
      <c r="CN248" s="149">
        <f>IF(Table7[[#This Row],[POUT (W)]]=0,0,(Table7[[#This Row],[POUT (W)]])/(Table7[[#This Row],[POUT (W)]]+Table7[[#This Row],[Total Power Loss (W) C]]))*100</f>
        <v>98.6665961396955</v>
      </c>
      <c r="CO248" s="153"/>
      <c r="CP248" s="149">
        <f>IF(MOSFET_S=Custom_MOSFET,Table7[[#This Row],[Total Sense Loss C]],Table7[[#This Row],[Total Sense Loss]])</f>
        <v>13.068863999999998</v>
      </c>
      <c r="CQ248" s="149">
        <f>IF(MOSFET_S=Custom_MOSFET,Table7[[#This Row],[Total MOSFET Loss C]],Table7[[#This Row],[Total MOSFET Loss]])</f>
        <v>3.40250547037189</v>
      </c>
      <c r="CR248" s="149">
        <f>IF(MOSFET_S=Custom_MOSFET,Table7[[#This Row],[Efficiency C]],Table7[[#This Row],[Efficiency]])</f>
        <v>98.6665961396955</v>
      </c>
      <c r="CS248" s="153"/>
      <c r="CT248" s="149">
        <f>IF(MOSFET_S=Compare_MOSFET, Table7[[#This Row],[Total Sense Loss C]], -100)</f>
        <v>-100</v>
      </c>
      <c r="CU248" s="149">
        <f>IF(MOSFET_S=Compare_MOSFET, Table7[[#This Row],[Total MOSFET Loss C]], -100)</f>
        <v>-100</v>
      </c>
      <c r="CV248" s="149">
        <f>IF(MOSFET_S=Compare_MOSFET, Table7[[#This Row],[Efficiency C]], -100)</f>
        <v>-100</v>
      </c>
      <c r="CW248" s="153"/>
      <c r="CX248" s="149">
        <f ca="1">IF(Save_Sel=CLR_Save,  Table7[[#This Row],[Total Sense Loss P1]], Table7[[#This Row],[Total Sense Loss P1 Saved]])</f>
        <v>13.068863999999998</v>
      </c>
      <c r="CY248" s="149">
        <f ca="1">IF(Save_Sel=CLR_Save,  Table7[[#This Row],[Total MOSFET Loss P1]], Table7[[#This Row],[Total MOSFET Loss P1 Saved]] )</f>
        <v>3.40250547037189</v>
      </c>
      <c r="CZ248" s="149">
        <f ca="1">IF(Save_Sel=CLR_Save, Table7[[#This Row],[Efficiency P1]], Table7[[#This Row],[Efficiency P1 Saved]])</f>
        <v>98.6665961396955</v>
      </c>
      <c r="DA248" s="153"/>
      <c r="DB248" s="149">
        <f ca="1">IF(Save_Sel=CLR_Save,  Table7[[#This Row],[Total Sense Loss P2]], Table7[[#This Row],[Total Sense Loss P2 Saved]])</f>
        <v>-100</v>
      </c>
      <c r="DC248" s="149">
        <f ca="1">IF(Save_Sel=CLR_Save,  Table7[[#This Row],[Total MOSFET Loss P2]], Table7[[#This Row],[Total MOSFET Loss P2 Saved]] )</f>
        <v>-100</v>
      </c>
      <c r="DD248" s="149">
        <f ca="1">IF(Save_Sel=CLR_Save, Table7[[#This Row],[Efficiency P2]], Table7[[#This Row],[Efficiency P2 Saved]])</f>
        <v>-100</v>
      </c>
      <c r="DE248" s="153"/>
      <c r="DF248" s="19"/>
      <c r="DG248" s="19"/>
      <c r="DH248" s="19"/>
      <c r="DI248" s="19"/>
      <c r="DJ248" s="19"/>
      <c r="DK248" s="19"/>
      <c r="DL248" s="19"/>
      <c r="DM248" s="19"/>
      <c r="DN248" s="19"/>
      <c r="DO248" s="19"/>
      <c r="DP248" s="19"/>
      <c r="DQ248" s="19"/>
      <c r="DR248" s="19"/>
      <c r="DS248" s="19"/>
      <c r="DT248" s="19"/>
      <c r="DU248" s="19"/>
      <c r="DV248" s="19"/>
      <c r="DW248" s="19"/>
      <c r="DX248" s="19"/>
      <c r="DY248" s="19"/>
      <c r="DZ248" s="19"/>
      <c r="EA248" s="19"/>
      <c r="EB248" s="19"/>
      <c r="EC248" s="19"/>
      <c r="ED248" s="19"/>
      <c r="EE248" s="19"/>
      <c r="EF248" s="19"/>
      <c r="EG248" s="19"/>
      <c r="EH248" s="19"/>
      <c r="EI248" s="19"/>
      <c r="EJ248" s="19"/>
      <c r="EK248" s="19"/>
      <c r="EL248" s="19"/>
      <c r="EM248" s="19"/>
      <c r="EN248" s="19"/>
      <c r="EO248" s="19"/>
      <c r="EP248" s="19"/>
      <c r="EQ248" s="19"/>
      <c r="ER248" s="19"/>
      <c r="ES248" s="19"/>
      <c r="ET248" s="19"/>
      <c r="EU248" s="19"/>
      <c r="EV248" s="19"/>
      <c r="EW248" s="19"/>
      <c r="EX248" s="19"/>
      <c r="EY248" s="19"/>
      <c r="EZ248" s="19"/>
      <c r="FA248" s="19"/>
      <c r="FB248" s="19"/>
      <c r="FC248" s="19"/>
      <c r="FD248" s="19"/>
      <c r="FE248" s="19"/>
      <c r="FF248" s="19"/>
      <c r="FG248" s="19"/>
      <c r="FH248" s="19"/>
      <c r="FI248" s="19"/>
    </row>
    <row r="249" spans="1:165" x14ac:dyDescent="0.25">
      <c r="A249" s="67"/>
      <c r="B249" s="67"/>
      <c r="C249" s="67"/>
      <c r="D249" s="67"/>
      <c r="E249" s="67"/>
      <c r="F249" s="67"/>
      <c r="G249" s="67"/>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43">
        <f t="shared" si="54"/>
        <v>93</v>
      </c>
      <c r="AG249" s="143">
        <f t="shared" si="53"/>
        <v>33.479999999999997</v>
      </c>
      <c r="AH249" s="144">
        <f t="shared" si="42"/>
        <v>1232.0639999999999</v>
      </c>
      <c r="AI249" s="145">
        <f t="shared" si="43"/>
        <v>0.97826086956521752</v>
      </c>
      <c r="AJ249" s="145">
        <f t="shared" si="44"/>
        <v>32.752173913043478</v>
      </c>
      <c r="AK249" s="145">
        <f t="shared" ref="AK249:AK256" si="55">Ipkpk_VACnom</f>
        <v>0.39130434782608459</v>
      </c>
      <c r="AL249" s="145">
        <f t="shared" ref="AL249:AL256" si="56">SQRT(AJ249^2+AK249^2/12)</f>
        <v>32.752368707539787</v>
      </c>
      <c r="AM249" s="146"/>
      <c r="AN249" s="145">
        <f>MAX(0,Table7[[#This Row],[I_L]]-0.5*Table7[[#This Row],[I_L pkpk]])</f>
        <v>32.556521739130439</v>
      </c>
      <c r="AO249" s="145">
        <f>Table7[[#This Row],[I_L]]+0.5*Table7[[#This Row],[I_L pkpk]]</f>
        <v>32.947826086956518</v>
      </c>
      <c r="AP249" s="145">
        <f ca="1">IF(VACnom&gt;Vbat, (VGS_S-(TI_MOSFET_S_VTH_H_BU+Table7[[#This Row],[I_L]]/TI_MOSFET_S_gFS_H_BU))/3.4, (VGS_S-(TI_MOSFET_S_VTH_L_BO+Table7[[#This Row],[I_L]]/TI_MOSFET_S_gFS_L_BO))/3.4 )</f>
        <v>2.9406059413732044</v>
      </c>
      <c r="AQ249" s="145">
        <f ca="1">IF(VACnom&gt;Vbat, ((TI_MOSFET_S_VTH_H_BU+Table7[[#This Row],[I_L]]/TI_MOSFET_S_gFS_H_BU))/1, ((TI_MOSFET_S_VTH_L_BO+Table7[[#This Row],[I_L]]/TI_MOSFET_S_gFS_L_BO))/1 )</f>
        <v>2.0019397993311037</v>
      </c>
      <c r="AR249" s="145">
        <f ca="1">IF(VACnom&gt;Vbat, (TI_MOSFET_S_QGD_H_BU+TI_MOSFET_S_QGS_H_BU)*10^-9/Table7[[#This Row],[Ion (A)]], (TI_MOSFET_S_QGD_L_BO+TI_MOSFET_S_QGS_L_BO)*10^-9/Table7[[#This Row],[Ion (A)]])/10^-9</f>
        <v>9.7938998200319798</v>
      </c>
      <c r="AS249" s="145">
        <f ca="1">IF(VACnom&gt;Vbat, (TI_MOSFET_S_QGD_H_BU+TI_MOSFET_S_QGS_H_BU)*10^-9/Table7[[#This Row],[Ioff (A)]], (TI_MOSFET_S_QGD_L_BO+TI_MOSFET_S_QGS_L_BO)*10^-9/Table7[[#This Row],[Ioff (A)]])/10^-9</f>
        <v>14.386046977847574</v>
      </c>
      <c r="AT249" s="145">
        <f ca="1" xml:space="preserve"> 0.5*VACnom*Table7[[#This Row],[Ivalley (A)]]*Table7[[#This Row],[ton (ns)]]*10^-9*Fsw*10^3+0.5*VACnom*Table7[[#This Row],[Ipeak (A)]]*Table7[[#This Row],[toff (ns)]]*10^-9*Fsw*10^3/10^-3</f>
        <v>1745.4528115197011</v>
      </c>
      <c r="AU249" s="145">
        <f t="shared" ca="1" si="45"/>
        <v>268.64000000000004</v>
      </c>
      <c r="AV249" s="145" t="e">
        <f t="shared" si="46"/>
        <v>#VALUE!</v>
      </c>
      <c r="AW249" s="145">
        <f t="shared" ca="1" si="47"/>
        <v>566.72000000000025</v>
      </c>
      <c r="AX249" s="145">
        <f ca="1">IF(VACnom&gt;Vbat, TI_MOSFET_S_VSD_L_BU*Table7[[#This Row],[Ivalley (A)]]*Fsw*10^3*40*10^-9+TI_MOSFET_S_VSD_L_BU*Table7[[#This Row],[Ipeak (A)]]*Fsw*10^3*30*10^-9, TI_MOSFET_S_VSD_H_BO*Table7[[#This Row],[Ivalley (A)]]*Fsw*10^3*40*10^-9+TI_MOSFET_S_VSD_H_BO*Table7[[#This Row],[Ipeak (A)]]*Fsw*10^3*30*10^-9)/10^-3</f>
        <v>329.86017391304358</v>
      </c>
      <c r="AY249" s="145" t="e">
        <f t="shared" si="48"/>
        <v>#VALUE!</v>
      </c>
      <c r="AZ249" s="145" t="e">
        <f>IF(VACnom&lt;Vbat, Table7[[#This Row],[Duty Cycle]]*Table7[[#This Row],[I_L RMS]]^2*TI_MOSFET_S_RDSON_H_BU*10^-3, (1-Table7[[#This Row],[Duty Cycle]])*Table7[[#This Row],[I_L RMS]]^2*TI_MOSFET_S_RDSON_H_BO*10^-3)/10^-3</f>
        <v>#VALUE!</v>
      </c>
      <c r="BA249" s="145" t="e">
        <f ca="1">IF(VACnom&gt;Vbat, Table7[[#This Row],[PIV (mW)]]+Table7[[#This Row],[Pqoss (mW)]]+Table7[[#This Row],[Pgate_top (mW)]], Table7[[#This Row],[PRR (mW)]]+Table7[[#This Row],[Pdead (mW)]]+Table7[[#This Row],[Pgate_top (mW)]])</f>
        <v>#VALUE!</v>
      </c>
      <c r="BB249" s="145" t="e">
        <f ca="1">Table7[[#This Row],[Pcon_top (mW)]]+Table7[[#This Row],[Psw_top (mW)]]</f>
        <v>#VALUE!</v>
      </c>
      <c r="BC249" s="145" t="e">
        <f>IF(VACnom&gt;Vbat, (1-Table7[[#This Row],[Duty Cycle]])*Table7[[#This Row],[I_L RMS]]^2*TI_MOSFET_S_RDSON_L_BU*10^-3, Table7[[#This Row],[Duty Cycle]]*Table7[[#This Row],[I_L RMS]]^2*TI_MOSFET_S_RDSON_L_BO*10^-3)/10^-3</f>
        <v>#VALUE!</v>
      </c>
      <c r="BD249" s="145" t="e">
        <f ca="1">IF(VACnom&gt;Vbat, Table7[[#This Row],[PRR (mW)]]+Table7[[#This Row],[Pdead (mW)]]+Table7[[#This Row],[Pgate_bottom (mW)]], Table7[[#This Row],[PIV (mW)]]+Table7[[#This Row],[Pqoss (mW)]]+Table7[[#This Row],[Pgate_bottom (mW)]])</f>
        <v>#VALUE!</v>
      </c>
      <c r="BE249" s="147" t="e">
        <f ca="1">Table7[[#This Row],[Pcon_bottom (mW)]]+Table7[[#This Row],[Psw_bottom (mW)]]</f>
        <v>#VALUE!</v>
      </c>
      <c r="BF249" s="145" t="e">
        <f ca="1">Table7[[#This Row],[Pbottom (mW)]]+Table7[[#This Row],[Ptop (mW)]]</f>
        <v>#VALUE!</v>
      </c>
      <c r="BG249" s="142"/>
      <c r="BH249" s="145">
        <f>MAX(0,Table7[[#This Row],[I_L]]-0.5*Table7[[#This Row],[I_L pkpk]])</f>
        <v>32.556521739130439</v>
      </c>
      <c r="BI249" s="145">
        <f>Table7[[#This Row],[I_L]]+0.5*Table7[[#This Row],[I_L pkpk]]</f>
        <v>32.947826086956518</v>
      </c>
      <c r="BJ249" s="145">
        <f>IF(VACnom&gt;Vbat, (VGS_S-(C_MOSFET_S_VTH_H_BU+Table7[[#This Row],[I_L]]/C_MOSFET_S_gFS_H_BU))/3.4, (VGS_S-(C_MOSFET_S_VTH_L_BO+Table7[[#This Row],[I_L]]/C_MOSFET_S_gFS_L_BO))/3.4 )</f>
        <v>2.8875451979892408</v>
      </c>
      <c r="BK249" s="145">
        <f>IF(VACnom&gt;Vbat, ((C_MOSFET_S_VTH_H_BU+Table7[[#This Row],[I_L]]/C_MOSFET_S_gFS_H_BU))/1, ((C_MOSFET_S_VTH_L_BO+Table7[[#This Row],[I_L]]/C_MOSFET_S_gFS_L_BO))/1 )</f>
        <v>2.1823463268365817</v>
      </c>
      <c r="BL249" s="145">
        <f>IF(VACnom&gt;Vbat, (C_MOSFET_S_QGD_H_BU+C_MOSFET_S_QGS_H_BU)*10^-9/Table7[[#This Row],[Ion (A) C]], (C_MOSFET_S_QGD_L_BO+C_MOSFET_S_QGS_L_BO)*10^-9/Table7[[#This Row],[Ion (A) C]])/10^-9</f>
        <v>5.3678813446083948</v>
      </c>
      <c r="BM249" s="145">
        <f>IF(VACnom&gt;Vbat, (C_MOSFET_S_QGD_H_BU+C_MOSFET_S_QGS_H_BU)*10^-9/Table7[[#This Row],[Ioff (A) C]], (C_MOSFET_S_QGD_L_BO+C_MOSFET_S_QGS_L_BO)*10^-9/Table7[[#This Row],[Ioff (A) C]])/10^-9</f>
        <v>7.1024474023185906</v>
      </c>
      <c r="BN249" s="145">
        <f xml:space="preserve"> 0.5*VACnom*Table7[[#This Row],[Ivalley (A) C]]*Table7[[#This Row],[ton (ns) C]]*10^-9*Fsw*10^3+0.5*VACnom*Table7[[#This Row],[Ipeak (A) C]]*Table7[[#This Row],[toff (ns) C]]*10^-9*Fsw*10^3/10^-3</f>
        <v>861.8006577644594</v>
      </c>
      <c r="BO249" s="145">
        <f t="shared" si="49"/>
        <v>305.44000000000011</v>
      </c>
      <c r="BP249" s="145">
        <f t="shared" si="50"/>
        <v>357.69600000000014</v>
      </c>
      <c r="BQ249" s="145">
        <f t="shared" si="51"/>
        <v>1067.2000000000003</v>
      </c>
      <c r="BR249" s="145">
        <f>IF(VACnom&gt;Vbat, C_MOSFET_S_VSD_L_BU*Table7[[#This Row],[Ivalley (A) C]]*Fsw*10^3*40*10^-9+C_MOSFET_S_VSD_L_BU*Table7[[#This Row],[Ipeak (A) C]]*Fsw*10^3*30*10^-9, C_MOSFET_S_VSD_H_BO*Table7[[#This Row],[Ivalley (A) C]]*Fsw*10^3*40*10^-9+C_MOSFET_S_VSD_H_BO*Table7[[#This Row],[Ipeak (A) C]]*Fsw*10^3*30*10^-9)/10^-3</f>
        <v>366.51130434782618</v>
      </c>
      <c r="BS249" s="145">
        <f t="shared" si="52"/>
        <v>357.69600000000014</v>
      </c>
      <c r="BT249" s="145">
        <f>IF(VACnom&lt;Vbat, Table7[[#This Row],[Duty Cycle]]*Table7[[#This Row],[I_L RMS]]^2*C_MOSFET_S_RDSON_H_BU*10^-3, (1-Table7[[#This Row],[Duty Cycle]])*Table7[[#This Row],[I_L RMS]]^2*C_MOSFET_S_RDSON_H_BO*10^-3)/10^-3</f>
        <v>60.63186751047882</v>
      </c>
      <c r="BU249" s="145">
        <f>IF(VACnom&gt;Vbat, Table7[[#This Row],[PIV (mW) C]]+Table7[[#This Row],[PQoss (mW) C]]+Table7[[#This Row],[Pgate_top (mW) C]], Table7[[#This Row],[PRR (mW) C]]+Table7[[#This Row],[Pdead (mW) C]]+Table7[[#This Row],[Pgate_top (mW) C]])</f>
        <v>1524.9366577644596</v>
      </c>
      <c r="BV249" s="145">
        <f>Table7[[#This Row],[Pcon_top (mW) C]]+Table7[[#This Row],[Psw_top (mW) C]]</f>
        <v>1585.5685252749383</v>
      </c>
      <c r="BW249" s="145">
        <f>IF(VACnom&gt;Vbat, (1-Table7[[#This Row],[Duty Cycle]])*Table7[[#This Row],[I_L RMS]]^2*C_MOSFET_S_RDSON_L_BU*10^-3, Table7[[#This Row],[Duty Cycle]]*Table7[[#This Row],[I_L RMS]]^2*C_MOSFET_S_RDSON_L_BO*10^-3)/10^-3</f>
        <v>39.643913372236149</v>
      </c>
      <c r="BX249" s="145">
        <f>IF(VACnom&gt;Vbat, Table7[[#This Row],[PRR (mW) C]]+Table7[[#This Row],[Pdead (mW) C]]+Table7[[#This Row],[Pgate_bottom (mW) C]], Table7[[#This Row],[PIV (mW) C]]+Table7[[#This Row],[PQoss (mW) C]]+Table7[[#This Row],[Pgate_bottom (mW) C]])</f>
        <v>1791.4073043478265</v>
      </c>
      <c r="BY249" s="145">
        <f>Table7[[#This Row],[Pcon_bottom (mW) C]]+Table7[[#This Row],[Psw_bottom (mV) C]]</f>
        <v>1831.0512177200626</v>
      </c>
      <c r="BZ249" s="145">
        <f>Table7[[#This Row],[Pbottom (mW) C]]+Table7[[#This Row],[Ptop (mW) C]]</f>
        <v>3416.6197429950007</v>
      </c>
      <c r="CA249" s="148"/>
      <c r="CB249" s="144">
        <f>(RAC_SNS*10^-3*(Table7[[#This Row],[IOUT (A)]]*Vbat/VACnom)^2/10^-3)</f>
        <v>2145.4097920604913</v>
      </c>
      <c r="CC249" s="144">
        <f>(RBAT_SNS*10^-3*Table7[[#This Row],[IOUT (A)]]^2)/10^-3</f>
        <v>5604.5519999999988</v>
      </c>
      <c r="CD249" s="144">
        <f>IF(VACnom&gt;Vbat,(L_DRC*10^-3*(Table7[[#This Row],[IOUT (A)]])^2/10^-3),(L_DRC*10^-3*(Table7[[#This Row],[IOUT (A)]]*Vbat/VACnom)^2/10^-3))</f>
        <v>5604.5519999999988</v>
      </c>
      <c r="CE249" s="152"/>
      <c r="CF249" s="145">
        <f>(Table7[[#This Row],[R_AC (mW)]]+Table7[[#This Row],[R_SR (mW)]]+Table7[[#This Row],[Inductor Loss (mW)]])/10^3</f>
        <v>13.354513792060491</v>
      </c>
      <c r="CG249" s="145" t="e">
        <f ca="1">Table7[[#This Row],[Total TI (mW)]]/10^3</f>
        <v>#VALUE!</v>
      </c>
      <c r="CH249" s="145" t="e">
        <f ca="1">Table7[[#This Row],[Total Sense Loss]]+Table7[[#This Row],[Total MOSFET Loss]]</f>
        <v>#VALUE!</v>
      </c>
      <c r="CI249" s="149" t="e">
        <f ca="1">IF(Table7[[#This Row],[POUT (W)]]=0,0,(Table7[[#This Row],[POUT (W)]])/(Table7[[#This Row],[POUT (W)]]+Table7[[#This Row],[Total Power Loss (W)]]))*100</f>
        <v>#VALUE!</v>
      </c>
      <c r="CJ249" s="153"/>
      <c r="CK249" s="145">
        <f>(Table7[[#This Row],[R_AC (mW)]]+Table7[[#This Row],[R_SR (mW)]]+Table7[[#This Row],[Inductor Loss (mW)]])/10^3</f>
        <v>13.354513792060491</v>
      </c>
      <c r="CL249" s="145">
        <f>Table7[[#This Row],[Total (mW) C]]/10^3</f>
        <v>3.4166197429950005</v>
      </c>
      <c r="CM249" s="145">
        <f>Table7[[#This Row],[Total Sense Loss C]]+Table7[[#This Row],[Total MOSFET Loss C]]</f>
        <v>16.77113353505549</v>
      </c>
      <c r="CN249" s="149">
        <f>IF(Table7[[#This Row],[POUT (W)]]=0,0,(Table7[[#This Row],[POUT (W)]])/(Table7[[#This Row],[POUT (W)]]+Table7[[#This Row],[Total Power Loss (W) C]]))*100</f>
        <v>98.657057838564981</v>
      </c>
      <c r="CO249" s="153"/>
      <c r="CP249" s="149">
        <f>IF(MOSFET_S=Custom_MOSFET,Table7[[#This Row],[Total Sense Loss C]],Table7[[#This Row],[Total Sense Loss]])</f>
        <v>13.354513792060491</v>
      </c>
      <c r="CQ249" s="149">
        <f>IF(MOSFET_S=Custom_MOSFET,Table7[[#This Row],[Total MOSFET Loss C]],Table7[[#This Row],[Total MOSFET Loss]])</f>
        <v>3.4166197429950005</v>
      </c>
      <c r="CR249" s="149">
        <f>IF(MOSFET_S=Custom_MOSFET,Table7[[#This Row],[Efficiency C]],Table7[[#This Row],[Efficiency]])</f>
        <v>98.657057838564981</v>
      </c>
      <c r="CS249" s="153"/>
      <c r="CT249" s="149">
        <f>IF(MOSFET_S=Compare_MOSFET, Table7[[#This Row],[Total Sense Loss C]], -100)</f>
        <v>-100</v>
      </c>
      <c r="CU249" s="149">
        <f>IF(MOSFET_S=Compare_MOSFET, Table7[[#This Row],[Total MOSFET Loss C]], -100)</f>
        <v>-100</v>
      </c>
      <c r="CV249" s="149">
        <f>IF(MOSFET_S=Compare_MOSFET, Table7[[#This Row],[Efficiency C]], -100)</f>
        <v>-100</v>
      </c>
      <c r="CW249" s="153"/>
      <c r="CX249" s="149">
        <f ca="1">IF(Save_Sel=CLR_Save,  Table7[[#This Row],[Total Sense Loss P1]], Table7[[#This Row],[Total Sense Loss P1 Saved]])</f>
        <v>13.354513792060491</v>
      </c>
      <c r="CY249" s="149">
        <f ca="1">IF(Save_Sel=CLR_Save,  Table7[[#This Row],[Total MOSFET Loss P1]], Table7[[#This Row],[Total MOSFET Loss P1 Saved]] )</f>
        <v>3.4166197429950005</v>
      </c>
      <c r="CZ249" s="149">
        <f ca="1">IF(Save_Sel=CLR_Save, Table7[[#This Row],[Efficiency P1]], Table7[[#This Row],[Efficiency P1 Saved]])</f>
        <v>98.657057838564981</v>
      </c>
      <c r="DA249" s="153"/>
      <c r="DB249" s="149">
        <f ca="1">IF(Save_Sel=CLR_Save,  Table7[[#This Row],[Total Sense Loss P2]], Table7[[#This Row],[Total Sense Loss P2 Saved]])</f>
        <v>-100</v>
      </c>
      <c r="DC249" s="149">
        <f ca="1">IF(Save_Sel=CLR_Save,  Table7[[#This Row],[Total MOSFET Loss P2]], Table7[[#This Row],[Total MOSFET Loss P2 Saved]] )</f>
        <v>-100</v>
      </c>
      <c r="DD249" s="149">
        <f ca="1">IF(Save_Sel=CLR_Save, Table7[[#This Row],[Efficiency P2]], Table7[[#This Row],[Efficiency P2 Saved]])</f>
        <v>-100</v>
      </c>
      <c r="DE249" s="153"/>
      <c r="DF249" s="19"/>
      <c r="DG249" s="19"/>
      <c r="DH249" s="19"/>
      <c r="DI249" s="19"/>
      <c r="DJ249" s="19"/>
      <c r="DK249" s="19"/>
      <c r="DL249" s="19"/>
      <c r="DM249" s="19"/>
      <c r="DN249" s="19"/>
      <c r="DO249" s="19"/>
      <c r="DP249" s="19"/>
      <c r="DQ249" s="19"/>
      <c r="DR249" s="19"/>
      <c r="DS249" s="19"/>
      <c r="DT249" s="19"/>
      <c r="DU249" s="19"/>
      <c r="DV249" s="19"/>
      <c r="DW249" s="19"/>
      <c r="DX249" s="19"/>
      <c r="DY249" s="19"/>
      <c r="DZ249" s="19"/>
      <c r="EA249" s="19"/>
      <c r="EB249" s="19"/>
      <c r="EC249" s="19"/>
      <c r="ED249" s="19"/>
      <c r="EE249" s="19"/>
      <c r="EF249" s="19"/>
      <c r="EG249" s="19"/>
      <c r="EH249" s="19"/>
      <c r="EI249" s="19"/>
      <c r="EJ249" s="19"/>
      <c r="EK249" s="19"/>
      <c r="EL249" s="19"/>
      <c r="EM249" s="19"/>
      <c r="EN249" s="19"/>
      <c r="EO249" s="19"/>
      <c r="EP249" s="19"/>
      <c r="EQ249" s="19"/>
      <c r="ER249" s="19"/>
      <c r="ES249" s="19"/>
      <c r="ET249" s="19"/>
      <c r="EU249" s="19"/>
      <c r="EV249" s="19"/>
      <c r="EW249" s="19"/>
      <c r="EX249" s="19"/>
      <c r="EY249" s="19"/>
      <c r="EZ249" s="19"/>
      <c r="FA249" s="19"/>
      <c r="FB249" s="19"/>
      <c r="FC249" s="19"/>
      <c r="FD249" s="19"/>
      <c r="FE249" s="19"/>
      <c r="FF249" s="19"/>
      <c r="FG249" s="19"/>
      <c r="FH249" s="19"/>
      <c r="FI249" s="19"/>
    </row>
    <row r="250" spans="1:165" x14ac:dyDescent="0.25">
      <c r="A250" s="67"/>
      <c r="B250" s="67"/>
      <c r="C250" s="67"/>
      <c r="D250" s="67"/>
      <c r="E250" s="67"/>
      <c r="F250" s="67"/>
      <c r="G250" s="67"/>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43">
        <f t="shared" si="54"/>
        <v>94</v>
      </c>
      <c r="AG250" s="143">
        <f t="shared" si="53"/>
        <v>33.840000000000003</v>
      </c>
      <c r="AH250" s="144">
        <f t="shared" si="42"/>
        <v>1245.3120000000001</v>
      </c>
      <c r="AI250" s="145">
        <f t="shared" si="43"/>
        <v>0.97826086956521752</v>
      </c>
      <c r="AJ250" s="145">
        <f t="shared" si="44"/>
        <v>33.104347826086965</v>
      </c>
      <c r="AK250" s="145">
        <f t="shared" si="55"/>
        <v>0.39130434782608459</v>
      </c>
      <c r="AL250" s="145">
        <f t="shared" si="56"/>
        <v>33.104540548313523</v>
      </c>
      <c r="AM250" s="146"/>
      <c r="AN250" s="145">
        <f>MAX(0,Table7[[#This Row],[I_L]]-0.5*Table7[[#This Row],[I_L pkpk]])</f>
        <v>32.908695652173925</v>
      </c>
      <c r="AO250" s="145">
        <f>Table7[[#This Row],[I_L]]+0.5*Table7[[#This Row],[I_L pkpk]]</f>
        <v>33.300000000000004</v>
      </c>
      <c r="AP250" s="145">
        <f ca="1">IF(VACnom&gt;Vbat, (VGS_S-(TI_MOSFET_S_VTH_H_BU+Table7[[#This Row],[I_L]]/TI_MOSFET_S_gFS_H_BU))/3.4, (VGS_S-(TI_MOSFET_S_VTH_L_BO+Table7[[#This Row],[I_L]]/TI_MOSFET_S_gFS_L_BO))/3.4 )</f>
        <v>2.9398091678142828</v>
      </c>
      <c r="AQ250" s="145">
        <f ca="1">IF(VACnom&gt;Vbat, ((TI_MOSFET_S_VTH_H_BU+Table7[[#This Row],[I_L]]/TI_MOSFET_S_gFS_H_BU))/1, ((TI_MOSFET_S_VTH_L_BO+Table7[[#This Row],[I_L]]/TI_MOSFET_S_gFS_L_BO))/1 )</f>
        <v>2.0046488294314382</v>
      </c>
      <c r="AR250" s="145">
        <f ca="1">IF(VACnom&gt;Vbat, (TI_MOSFET_S_QGD_H_BU+TI_MOSFET_S_QGS_H_BU)*10^-9/Table7[[#This Row],[Ion (A)]], (TI_MOSFET_S_QGD_L_BO+TI_MOSFET_S_QGS_L_BO)*10^-9/Table7[[#This Row],[Ion (A)]])/10^-9</f>
        <v>9.7965542509728607</v>
      </c>
      <c r="AS250" s="145">
        <f ca="1">IF(VACnom&gt;Vbat, (TI_MOSFET_S_QGD_H_BU+TI_MOSFET_S_QGS_H_BU)*10^-9/Table7[[#This Row],[Ioff (A)]], (TI_MOSFET_S_QGD_L_BO+TI_MOSFET_S_QGS_L_BO)*10^-9/Table7[[#This Row],[Ioff (A)]])/10^-9</f>
        <v>14.366606049483641</v>
      </c>
      <c r="AT250" s="145">
        <f ca="1" xml:space="preserve"> 0.5*VACnom*Table7[[#This Row],[Ivalley (A)]]*Table7[[#This Row],[ton (ns)]]*10^-9*Fsw*10^3+0.5*VACnom*Table7[[#This Row],[Ipeak (A)]]*Table7[[#This Row],[toff (ns)]]*10^-9*Fsw*10^3/10^-3</f>
        <v>1761.7277736339338</v>
      </c>
      <c r="AU250" s="145">
        <f t="shared" ca="1" si="45"/>
        <v>268.64000000000004</v>
      </c>
      <c r="AV250" s="145" t="e">
        <f t="shared" si="46"/>
        <v>#VALUE!</v>
      </c>
      <c r="AW250" s="145">
        <f t="shared" ca="1" si="47"/>
        <v>566.72000000000025</v>
      </c>
      <c r="AX250" s="145">
        <f ca="1">IF(VACnom&gt;Vbat, TI_MOSFET_S_VSD_L_BU*Table7[[#This Row],[Ivalley (A)]]*Fsw*10^3*40*10^-9+TI_MOSFET_S_VSD_L_BU*Table7[[#This Row],[Ipeak (A)]]*Fsw*10^3*30*10^-9, TI_MOSFET_S_VSD_H_BO*Table7[[#This Row],[Ivalley (A)]]*Fsw*10^3*40*10^-9+TI_MOSFET_S_VSD_H_BO*Table7[[#This Row],[Ipeak (A)]]*Fsw*10^3*30*10^-9)/10^-3</f>
        <v>333.41008695652198</v>
      </c>
      <c r="AY250" s="145" t="e">
        <f t="shared" si="48"/>
        <v>#VALUE!</v>
      </c>
      <c r="AZ250" s="145" t="e">
        <f>IF(VACnom&lt;Vbat, Table7[[#This Row],[Duty Cycle]]*Table7[[#This Row],[I_L RMS]]^2*TI_MOSFET_S_RDSON_H_BU*10^-3, (1-Table7[[#This Row],[Duty Cycle]])*Table7[[#This Row],[I_L RMS]]^2*TI_MOSFET_S_RDSON_H_BO*10^-3)/10^-3</f>
        <v>#VALUE!</v>
      </c>
      <c r="BA250" s="145" t="e">
        <f ca="1">IF(VACnom&gt;Vbat, Table7[[#This Row],[PIV (mW)]]+Table7[[#This Row],[Pqoss (mW)]]+Table7[[#This Row],[Pgate_top (mW)]], Table7[[#This Row],[PRR (mW)]]+Table7[[#This Row],[Pdead (mW)]]+Table7[[#This Row],[Pgate_top (mW)]])</f>
        <v>#VALUE!</v>
      </c>
      <c r="BB250" s="145" t="e">
        <f ca="1">Table7[[#This Row],[Pcon_top (mW)]]+Table7[[#This Row],[Psw_top (mW)]]</f>
        <v>#VALUE!</v>
      </c>
      <c r="BC250" s="145" t="e">
        <f>IF(VACnom&gt;Vbat, (1-Table7[[#This Row],[Duty Cycle]])*Table7[[#This Row],[I_L RMS]]^2*TI_MOSFET_S_RDSON_L_BU*10^-3, Table7[[#This Row],[Duty Cycle]]*Table7[[#This Row],[I_L RMS]]^2*TI_MOSFET_S_RDSON_L_BO*10^-3)/10^-3</f>
        <v>#VALUE!</v>
      </c>
      <c r="BD250" s="145" t="e">
        <f ca="1">IF(VACnom&gt;Vbat, Table7[[#This Row],[PRR (mW)]]+Table7[[#This Row],[Pdead (mW)]]+Table7[[#This Row],[Pgate_bottom (mW)]], Table7[[#This Row],[PIV (mW)]]+Table7[[#This Row],[Pqoss (mW)]]+Table7[[#This Row],[Pgate_bottom (mW)]])</f>
        <v>#VALUE!</v>
      </c>
      <c r="BE250" s="147" t="e">
        <f ca="1">Table7[[#This Row],[Pcon_bottom (mW)]]+Table7[[#This Row],[Psw_bottom (mW)]]</f>
        <v>#VALUE!</v>
      </c>
      <c r="BF250" s="145" t="e">
        <f ca="1">Table7[[#This Row],[Pbottom (mW)]]+Table7[[#This Row],[Ptop (mW)]]</f>
        <v>#VALUE!</v>
      </c>
      <c r="BG250" s="142"/>
      <c r="BH250" s="145">
        <f>MAX(0,Table7[[#This Row],[I_L]]-0.5*Table7[[#This Row],[I_L pkpk]])</f>
        <v>32.908695652173925</v>
      </c>
      <c r="BI250" s="145">
        <f>Table7[[#This Row],[I_L]]+0.5*Table7[[#This Row],[I_L pkpk]]</f>
        <v>33.300000000000004</v>
      </c>
      <c r="BJ250" s="145">
        <f>IF(VACnom&gt;Vbat, (VGS_S-(C_MOSFET_S_VTH_H_BU+Table7[[#This Row],[I_L]]/C_MOSFET_S_gFS_H_BU))/3.4, (VGS_S-(C_MOSFET_S_VTH_L_BO+Table7[[#This Row],[I_L]]/C_MOSFET_S_gFS_L_BO))/3.4 )</f>
        <v>2.8866522621042421</v>
      </c>
      <c r="BK250" s="145">
        <f>IF(VACnom&gt;Vbat, ((C_MOSFET_S_VTH_H_BU+Table7[[#This Row],[I_L]]/C_MOSFET_S_gFS_H_BU))/1, ((C_MOSFET_S_VTH_L_BO+Table7[[#This Row],[I_L]]/C_MOSFET_S_gFS_L_BO))/1 )</f>
        <v>2.1853823088455773</v>
      </c>
      <c r="BL250" s="145">
        <f>IF(VACnom&gt;Vbat, (C_MOSFET_S_QGD_H_BU+C_MOSFET_S_QGS_H_BU)*10^-9/Table7[[#This Row],[Ion (A) C]], (C_MOSFET_S_QGD_L_BO+C_MOSFET_S_QGS_L_BO)*10^-9/Table7[[#This Row],[Ion (A) C]])/10^-9</f>
        <v>5.3695418057390754</v>
      </c>
      <c r="BM250" s="145">
        <f>IF(VACnom&gt;Vbat, (C_MOSFET_S_QGD_H_BU+C_MOSFET_S_QGS_H_BU)*10^-9/Table7[[#This Row],[Ioff (A) C]], (C_MOSFET_S_QGD_L_BO+C_MOSFET_S_QGS_L_BO)*10^-9/Table7[[#This Row],[Ioff (A) C]])/10^-9</f>
        <v>7.092580523445271</v>
      </c>
      <c r="BN250" s="145">
        <f xml:space="preserve"> 0.5*VACnom*Table7[[#This Row],[Ivalley (A) C]]*Table7[[#This Row],[ton (ns) C]]*10^-9*Fsw*10^3+0.5*VACnom*Table7[[#This Row],[Ipeak (A) C]]*Table7[[#This Row],[toff (ns) C]]*10^-9*Fsw*10^3/10^-3</f>
        <v>869.80346065591993</v>
      </c>
      <c r="BO250" s="145">
        <f t="shared" si="49"/>
        <v>305.44000000000011</v>
      </c>
      <c r="BP250" s="145">
        <f t="shared" si="50"/>
        <v>357.69600000000014</v>
      </c>
      <c r="BQ250" s="145">
        <f t="shared" si="51"/>
        <v>1067.2000000000003</v>
      </c>
      <c r="BR250" s="145">
        <f>IF(VACnom&gt;Vbat, C_MOSFET_S_VSD_L_BU*Table7[[#This Row],[Ivalley (A) C]]*Fsw*10^3*40*10^-9+C_MOSFET_S_VSD_L_BU*Table7[[#This Row],[Ipeak (A) C]]*Fsw*10^3*30*10^-9, C_MOSFET_S_VSD_H_BO*Table7[[#This Row],[Ivalley (A) C]]*Fsw*10^3*40*10^-9+C_MOSFET_S_VSD_H_BO*Table7[[#This Row],[Ipeak (A) C]]*Fsw*10^3*30*10^-9)/10^-3</f>
        <v>370.45565217391328</v>
      </c>
      <c r="BS250" s="145">
        <f t="shared" si="52"/>
        <v>357.69600000000014</v>
      </c>
      <c r="BT250" s="145">
        <f>IF(VACnom&lt;Vbat, Table7[[#This Row],[Duty Cycle]]*Table7[[#This Row],[I_L RMS]]^2*C_MOSFET_S_RDSON_H_BU*10^-3, (1-Table7[[#This Row],[Duty Cycle]])*Table7[[#This Row],[I_L RMS]]^2*C_MOSFET_S_RDSON_H_BO*10^-3)/10^-3</f>
        <v>61.94277332127853</v>
      </c>
      <c r="BU250" s="145">
        <f>IF(VACnom&gt;Vbat, Table7[[#This Row],[PIV (mW) C]]+Table7[[#This Row],[PQoss (mW) C]]+Table7[[#This Row],[Pgate_top (mW) C]], Table7[[#This Row],[PRR (mW) C]]+Table7[[#This Row],[Pdead (mW) C]]+Table7[[#This Row],[Pgate_top (mW) C]])</f>
        <v>1532.9394606559201</v>
      </c>
      <c r="BV250" s="145">
        <f>Table7[[#This Row],[Pcon_top (mW) C]]+Table7[[#This Row],[Psw_top (mW) C]]</f>
        <v>1594.8822339771987</v>
      </c>
      <c r="BW250" s="145">
        <f>IF(VACnom&gt;Vbat, (1-Table7[[#This Row],[Duty Cycle]])*Table7[[#This Row],[I_L RMS]]^2*C_MOSFET_S_RDSON_L_BU*10^-3, Table7[[#This Row],[Duty Cycle]]*Table7[[#This Row],[I_L RMS]]^2*C_MOSFET_S_RDSON_L_BO*10^-3)/10^-3</f>
        <v>40.501044094682115</v>
      </c>
      <c r="BX250" s="145">
        <f>IF(VACnom&gt;Vbat, Table7[[#This Row],[PRR (mW) C]]+Table7[[#This Row],[Pdead (mW) C]]+Table7[[#This Row],[Pgate_bottom (mW) C]], Table7[[#This Row],[PIV (mW) C]]+Table7[[#This Row],[PQoss (mW) C]]+Table7[[#This Row],[Pgate_bottom (mW) C]])</f>
        <v>1795.3516521739136</v>
      </c>
      <c r="BY250" s="145">
        <f>Table7[[#This Row],[Pcon_bottom (mW) C]]+Table7[[#This Row],[Psw_bottom (mV) C]]</f>
        <v>1835.8526962685958</v>
      </c>
      <c r="BZ250" s="145">
        <f>Table7[[#This Row],[Pbottom (mW) C]]+Table7[[#This Row],[Ptop (mW) C]]</f>
        <v>3430.7349302457942</v>
      </c>
      <c r="CA250" s="148"/>
      <c r="CB250" s="144">
        <f>(RAC_SNS*10^-3*(Table7[[#This Row],[IOUT (A)]]*Vbat/VACnom)^2/10^-3)</f>
        <v>2191.7956899810974</v>
      </c>
      <c r="CC250" s="144">
        <f>(RBAT_SNS*10^-3*Table7[[#This Row],[IOUT (A)]]^2)/10^-3</f>
        <v>5725.7280000000019</v>
      </c>
      <c r="CD250" s="144">
        <f>IF(VACnom&gt;Vbat,(L_DRC*10^-3*(Table7[[#This Row],[IOUT (A)]])^2/10^-3),(L_DRC*10^-3*(Table7[[#This Row],[IOUT (A)]]*Vbat/VACnom)^2/10^-3))</f>
        <v>5725.7280000000019</v>
      </c>
      <c r="CE250" s="152"/>
      <c r="CF250" s="145">
        <f>(Table7[[#This Row],[R_AC (mW)]]+Table7[[#This Row],[R_SR (mW)]]+Table7[[#This Row],[Inductor Loss (mW)]])/10^3</f>
        <v>13.643251689981101</v>
      </c>
      <c r="CG250" s="145" t="e">
        <f ca="1">Table7[[#This Row],[Total TI (mW)]]/10^3</f>
        <v>#VALUE!</v>
      </c>
      <c r="CH250" s="145" t="e">
        <f ca="1">Table7[[#This Row],[Total Sense Loss]]+Table7[[#This Row],[Total MOSFET Loss]]</f>
        <v>#VALUE!</v>
      </c>
      <c r="CI250" s="149" t="e">
        <f ca="1">IF(Table7[[#This Row],[POUT (W)]]=0,0,(Table7[[#This Row],[POUT (W)]])/(Table7[[#This Row],[POUT (W)]]+Table7[[#This Row],[Total Power Loss (W)]]))*100</f>
        <v>#VALUE!</v>
      </c>
      <c r="CJ250" s="153"/>
      <c r="CK250" s="145">
        <f>(Table7[[#This Row],[R_AC (mW)]]+Table7[[#This Row],[R_SR (mW)]]+Table7[[#This Row],[Inductor Loss (mW)]])/10^3</f>
        <v>13.643251689981101</v>
      </c>
      <c r="CL250" s="145">
        <f>Table7[[#This Row],[Total (mW) C]]/10^3</f>
        <v>3.4307349302457943</v>
      </c>
      <c r="CM250" s="145">
        <f>Table7[[#This Row],[Total Sense Loss C]]+Table7[[#This Row],[Total MOSFET Loss C]]</f>
        <v>17.073986620226897</v>
      </c>
      <c r="CN250" s="149">
        <f>IF(Table7[[#This Row],[POUT (W)]]=0,0,(Table7[[#This Row],[POUT (W)]])/(Table7[[#This Row],[POUT (W)]]+Table7[[#This Row],[Total Power Loss (W) C]]))*100</f>
        <v>98.647482877567512</v>
      </c>
      <c r="CO250" s="153"/>
      <c r="CP250" s="149">
        <f>IF(MOSFET_S=Custom_MOSFET,Table7[[#This Row],[Total Sense Loss C]],Table7[[#This Row],[Total Sense Loss]])</f>
        <v>13.643251689981101</v>
      </c>
      <c r="CQ250" s="149">
        <f>IF(MOSFET_S=Custom_MOSFET,Table7[[#This Row],[Total MOSFET Loss C]],Table7[[#This Row],[Total MOSFET Loss]])</f>
        <v>3.4307349302457943</v>
      </c>
      <c r="CR250" s="149">
        <f>IF(MOSFET_S=Custom_MOSFET,Table7[[#This Row],[Efficiency C]],Table7[[#This Row],[Efficiency]])</f>
        <v>98.647482877567512</v>
      </c>
      <c r="CS250" s="153"/>
      <c r="CT250" s="149">
        <f>IF(MOSFET_S=Compare_MOSFET, Table7[[#This Row],[Total Sense Loss C]], -100)</f>
        <v>-100</v>
      </c>
      <c r="CU250" s="149">
        <f>IF(MOSFET_S=Compare_MOSFET, Table7[[#This Row],[Total MOSFET Loss C]], -100)</f>
        <v>-100</v>
      </c>
      <c r="CV250" s="149">
        <f>IF(MOSFET_S=Compare_MOSFET, Table7[[#This Row],[Efficiency C]], -100)</f>
        <v>-100</v>
      </c>
      <c r="CW250" s="153"/>
      <c r="CX250" s="149">
        <f ca="1">IF(Save_Sel=CLR_Save,  Table7[[#This Row],[Total Sense Loss P1]], Table7[[#This Row],[Total Sense Loss P1 Saved]])</f>
        <v>13.643251689981101</v>
      </c>
      <c r="CY250" s="149">
        <f ca="1">IF(Save_Sel=CLR_Save,  Table7[[#This Row],[Total MOSFET Loss P1]], Table7[[#This Row],[Total MOSFET Loss P1 Saved]] )</f>
        <v>3.4307349302457943</v>
      </c>
      <c r="CZ250" s="149">
        <f ca="1">IF(Save_Sel=CLR_Save, Table7[[#This Row],[Efficiency P1]], Table7[[#This Row],[Efficiency P1 Saved]])</f>
        <v>98.647482877567512</v>
      </c>
      <c r="DA250" s="153"/>
      <c r="DB250" s="149">
        <f ca="1">IF(Save_Sel=CLR_Save,  Table7[[#This Row],[Total Sense Loss P2]], Table7[[#This Row],[Total Sense Loss P2 Saved]])</f>
        <v>-100</v>
      </c>
      <c r="DC250" s="149">
        <f ca="1">IF(Save_Sel=CLR_Save,  Table7[[#This Row],[Total MOSFET Loss P2]], Table7[[#This Row],[Total MOSFET Loss P2 Saved]] )</f>
        <v>-100</v>
      </c>
      <c r="DD250" s="149">
        <f ca="1">IF(Save_Sel=CLR_Save, Table7[[#This Row],[Efficiency P2]], Table7[[#This Row],[Efficiency P2 Saved]])</f>
        <v>-100</v>
      </c>
      <c r="DE250" s="153"/>
      <c r="DF250" s="19"/>
      <c r="DG250" s="19"/>
      <c r="DH250" s="19"/>
      <c r="DI250" s="19"/>
      <c r="DJ250" s="19"/>
      <c r="DK250" s="19"/>
      <c r="DL250" s="19"/>
      <c r="DM250" s="19"/>
      <c r="DN250" s="19"/>
      <c r="DO250" s="19"/>
      <c r="DP250" s="19"/>
      <c r="DQ250" s="19"/>
      <c r="DR250" s="19"/>
      <c r="DS250" s="19"/>
      <c r="DT250" s="19"/>
      <c r="DU250" s="19"/>
      <c r="DV250" s="19"/>
      <c r="DW250" s="19"/>
      <c r="DX250" s="19"/>
      <c r="DY250" s="19"/>
      <c r="DZ250" s="19"/>
      <c r="EA250" s="19"/>
      <c r="EB250" s="19"/>
      <c r="EC250" s="19"/>
      <c r="ED250" s="19"/>
      <c r="EE250" s="19"/>
      <c r="EF250" s="19"/>
      <c r="EG250" s="19"/>
      <c r="EH250" s="19"/>
      <c r="EI250" s="19"/>
      <c r="EJ250" s="19"/>
      <c r="EK250" s="19"/>
      <c r="EL250" s="19"/>
      <c r="EM250" s="19"/>
      <c r="EN250" s="19"/>
      <c r="EO250" s="19"/>
      <c r="EP250" s="19"/>
      <c r="EQ250" s="19"/>
      <c r="ER250" s="19"/>
      <c r="ES250" s="19"/>
      <c r="ET250" s="19"/>
      <c r="EU250" s="19"/>
      <c r="EV250" s="19"/>
      <c r="EW250" s="19"/>
      <c r="EX250" s="19"/>
      <c r="EY250" s="19"/>
      <c r="EZ250" s="19"/>
      <c r="FA250" s="19"/>
      <c r="FB250" s="19"/>
      <c r="FC250" s="19"/>
      <c r="FD250" s="19"/>
      <c r="FE250" s="19"/>
      <c r="FF250" s="19"/>
      <c r="FG250" s="19"/>
      <c r="FH250" s="19"/>
      <c r="FI250" s="19"/>
    </row>
    <row r="251" spans="1:165" x14ac:dyDescent="0.25">
      <c r="A251" s="67"/>
      <c r="B251" s="67"/>
      <c r="C251" s="67"/>
      <c r="D251" s="67"/>
      <c r="E251" s="67"/>
      <c r="F251" s="67"/>
      <c r="G251" s="67"/>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43">
        <f t="shared" si="54"/>
        <v>95</v>
      </c>
      <c r="AG251" s="143">
        <f t="shared" si="53"/>
        <v>34.200000000000003</v>
      </c>
      <c r="AH251" s="144">
        <f t="shared" si="42"/>
        <v>1258.56</v>
      </c>
      <c r="AI251" s="145">
        <f t="shared" si="43"/>
        <v>0.97826086956521752</v>
      </c>
      <c r="AJ251" s="145">
        <f t="shared" si="44"/>
        <v>33.456521739130444</v>
      </c>
      <c r="AK251" s="145">
        <f t="shared" si="55"/>
        <v>0.39130434782608459</v>
      </c>
      <c r="AL251" s="145">
        <f t="shared" si="56"/>
        <v>33.456712432713616</v>
      </c>
      <c r="AM251" s="146"/>
      <c r="AN251" s="145">
        <f>MAX(0,Table7[[#This Row],[I_L]]-0.5*Table7[[#This Row],[I_L pkpk]])</f>
        <v>33.260869565217405</v>
      </c>
      <c r="AO251" s="145">
        <f>Table7[[#This Row],[I_L]]+0.5*Table7[[#This Row],[I_L pkpk]]</f>
        <v>33.652173913043484</v>
      </c>
      <c r="AP251" s="145">
        <f ca="1">IF(VACnom&gt;Vbat, (VGS_S-(TI_MOSFET_S_VTH_H_BU+Table7[[#This Row],[I_L]]/TI_MOSFET_S_gFS_H_BU))/3.4, (VGS_S-(TI_MOSFET_S_VTH_L_BO+Table7[[#This Row],[I_L]]/TI_MOSFET_S_gFS_L_BO))/3.4 )</f>
        <v>2.9390123942553612</v>
      </c>
      <c r="AQ251" s="145">
        <f ca="1">IF(VACnom&gt;Vbat, ((TI_MOSFET_S_VTH_H_BU+Table7[[#This Row],[I_L]]/TI_MOSFET_S_gFS_H_BU))/1, ((TI_MOSFET_S_VTH_L_BO+Table7[[#This Row],[I_L]]/TI_MOSFET_S_gFS_L_BO))/1 )</f>
        <v>2.0073578595317727</v>
      </c>
      <c r="AR251" s="145">
        <f ca="1">IF(VACnom&gt;Vbat, (TI_MOSFET_S_QGD_H_BU+TI_MOSFET_S_QGS_H_BU)*10^-9/Table7[[#This Row],[Ion (A)]], (TI_MOSFET_S_QGD_L_BO+TI_MOSFET_S_QGS_L_BO)*10^-9/Table7[[#This Row],[Ion (A)]])/10^-9</f>
        <v>9.7992101211593816</v>
      </c>
      <c r="AS251" s="145">
        <f ca="1">IF(VACnom&gt;Vbat, (TI_MOSFET_S_QGD_H_BU+TI_MOSFET_S_QGS_H_BU)*10^-9/Table7[[#This Row],[Ioff (A)]], (TI_MOSFET_S_QGD_L_BO+TI_MOSFET_S_QGS_L_BO)*10^-9/Table7[[#This Row],[Ioff (A)]])/10^-9</f>
        <v>14.347217594135287</v>
      </c>
      <c r="AT251" s="145">
        <f ca="1" xml:space="preserve"> 0.5*VACnom*Table7[[#This Row],[Ivalley (A)]]*Table7[[#This Row],[ton (ns)]]*10^-9*Fsw*10^3+0.5*VACnom*Table7[[#This Row],[Ipeak (A)]]*Table7[[#This Row],[toff (ns)]]*10^-9*Fsw*10^3/10^-3</f>
        <v>1777.9588501765447</v>
      </c>
      <c r="AU251" s="145">
        <f t="shared" ca="1" si="45"/>
        <v>268.64000000000004</v>
      </c>
      <c r="AV251" s="145" t="e">
        <f t="shared" si="46"/>
        <v>#VALUE!</v>
      </c>
      <c r="AW251" s="145">
        <f t="shared" ca="1" si="47"/>
        <v>566.72000000000025</v>
      </c>
      <c r="AX251" s="145">
        <f ca="1">IF(VACnom&gt;Vbat, TI_MOSFET_S_VSD_L_BU*Table7[[#This Row],[Ivalley (A)]]*Fsw*10^3*40*10^-9+TI_MOSFET_S_VSD_L_BU*Table7[[#This Row],[Ipeak (A)]]*Fsw*10^3*30*10^-9, TI_MOSFET_S_VSD_H_BO*Table7[[#This Row],[Ivalley (A)]]*Fsw*10^3*40*10^-9+TI_MOSFET_S_VSD_H_BO*Table7[[#This Row],[Ipeak (A)]]*Fsw*10^3*30*10^-9)/10^-3</f>
        <v>336.96000000000021</v>
      </c>
      <c r="AY251" s="145" t="e">
        <f t="shared" si="48"/>
        <v>#VALUE!</v>
      </c>
      <c r="AZ251" s="145" t="e">
        <f>IF(VACnom&lt;Vbat, Table7[[#This Row],[Duty Cycle]]*Table7[[#This Row],[I_L RMS]]^2*TI_MOSFET_S_RDSON_H_BU*10^-3, (1-Table7[[#This Row],[Duty Cycle]])*Table7[[#This Row],[I_L RMS]]^2*TI_MOSFET_S_RDSON_H_BO*10^-3)/10^-3</f>
        <v>#VALUE!</v>
      </c>
      <c r="BA251" s="145" t="e">
        <f ca="1">IF(VACnom&gt;Vbat, Table7[[#This Row],[PIV (mW)]]+Table7[[#This Row],[Pqoss (mW)]]+Table7[[#This Row],[Pgate_top (mW)]], Table7[[#This Row],[PRR (mW)]]+Table7[[#This Row],[Pdead (mW)]]+Table7[[#This Row],[Pgate_top (mW)]])</f>
        <v>#VALUE!</v>
      </c>
      <c r="BB251" s="145" t="e">
        <f ca="1">Table7[[#This Row],[Pcon_top (mW)]]+Table7[[#This Row],[Psw_top (mW)]]</f>
        <v>#VALUE!</v>
      </c>
      <c r="BC251" s="145" t="e">
        <f>IF(VACnom&gt;Vbat, (1-Table7[[#This Row],[Duty Cycle]])*Table7[[#This Row],[I_L RMS]]^2*TI_MOSFET_S_RDSON_L_BU*10^-3, Table7[[#This Row],[Duty Cycle]]*Table7[[#This Row],[I_L RMS]]^2*TI_MOSFET_S_RDSON_L_BO*10^-3)/10^-3</f>
        <v>#VALUE!</v>
      </c>
      <c r="BD251" s="145" t="e">
        <f ca="1">IF(VACnom&gt;Vbat, Table7[[#This Row],[PRR (mW)]]+Table7[[#This Row],[Pdead (mW)]]+Table7[[#This Row],[Pgate_bottom (mW)]], Table7[[#This Row],[PIV (mW)]]+Table7[[#This Row],[Pqoss (mW)]]+Table7[[#This Row],[Pgate_bottom (mW)]])</f>
        <v>#VALUE!</v>
      </c>
      <c r="BE251" s="147" t="e">
        <f ca="1">Table7[[#This Row],[Pcon_bottom (mW)]]+Table7[[#This Row],[Psw_bottom (mW)]]</f>
        <v>#VALUE!</v>
      </c>
      <c r="BF251" s="145" t="e">
        <f ca="1">Table7[[#This Row],[Pbottom (mW)]]+Table7[[#This Row],[Ptop (mW)]]</f>
        <v>#VALUE!</v>
      </c>
      <c r="BG251" s="142"/>
      <c r="BH251" s="145">
        <f>MAX(0,Table7[[#This Row],[I_L]]-0.5*Table7[[#This Row],[I_L pkpk]])</f>
        <v>33.260869565217405</v>
      </c>
      <c r="BI251" s="145">
        <f>Table7[[#This Row],[I_L]]+0.5*Table7[[#This Row],[I_L pkpk]]</f>
        <v>33.652173913043484</v>
      </c>
      <c r="BJ251" s="145">
        <f>IF(VACnom&gt;Vbat, (VGS_S-(C_MOSFET_S_VTH_H_BU+Table7[[#This Row],[I_L]]/C_MOSFET_S_gFS_H_BU))/3.4, (VGS_S-(C_MOSFET_S_VTH_L_BO+Table7[[#This Row],[I_L]]/C_MOSFET_S_gFS_L_BO))/3.4 )</f>
        <v>2.8857593262192434</v>
      </c>
      <c r="BK251" s="145">
        <f>IF(VACnom&gt;Vbat, ((C_MOSFET_S_VTH_H_BU+Table7[[#This Row],[I_L]]/C_MOSFET_S_gFS_H_BU))/1, ((C_MOSFET_S_VTH_L_BO+Table7[[#This Row],[I_L]]/C_MOSFET_S_gFS_L_BO))/1 )</f>
        <v>2.1884182908545728</v>
      </c>
      <c r="BL251" s="145">
        <f>IF(VACnom&gt;Vbat, (C_MOSFET_S_QGD_H_BU+C_MOSFET_S_QGS_H_BU)*10^-9/Table7[[#This Row],[Ion (A) C]], (C_MOSFET_S_QGD_L_BO+C_MOSFET_S_QGS_L_BO)*10^-9/Table7[[#This Row],[Ion (A) C]])/10^-9</f>
        <v>5.3712032944574117</v>
      </c>
      <c r="BM251" s="145">
        <f>IF(VACnom&gt;Vbat, (C_MOSFET_S_QGD_H_BU+C_MOSFET_S_QGS_H_BU)*10^-9/Table7[[#This Row],[Ioff (A) C]], (C_MOSFET_S_QGD_L_BO+C_MOSFET_S_QGS_L_BO)*10^-9/Table7[[#This Row],[Ioff (A) C]])/10^-9</f>
        <v>7.0827410211177133</v>
      </c>
      <c r="BN251" s="145">
        <f xml:space="preserve"> 0.5*VACnom*Table7[[#This Row],[Ivalley (A) C]]*Table7[[#This Row],[ton (ns) C]]*10^-9*Fsw*10^3+0.5*VACnom*Table7[[#This Row],[Ipeak (A) C]]*Table7[[#This Row],[toff (ns) C]]*10^-9*Fsw*10^3/10^-3</f>
        <v>877.78408333845948</v>
      </c>
      <c r="BO251" s="145">
        <f t="shared" si="49"/>
        <v>305.44000000000011</v>
      </c>
      <c r="BP251" s="145">
        <f t="shared" si="50"/>
        <v>357.69600000000014</v>
      </c>
      <c r="BQ251" s="145">
        <f t="shared" si="51"/>
        <v>1067.2000000000003</v>
      </c>
      <c r="BR251" s="145">
        <f>IF(VACnom&gt;Vbat, C_MOSFET_S_VSD_L_BU*Table7[[#This Row],[Ivalley (A) C]]*Fsw*10^3*40*10^-9+C_MOSFET_S_VSD_L_BU*Table7[[#This Row],[Ipeak (A) C]]*Fsw*10^3*30*10^-9, C_MOSFET_S_VSD_H_BO*Table7[[#This Row],[Ivalley (A) C]]*Fsw*10^3*40*10^-9+C_MOSFET_S_VSD_H_BO*Table7[[#This Row],[Ipeak (A) C]]*Fsw*10^3*30*10^-9)/10^-3</f>
        <v>374.40000000000026</v>
      </c>
      <c r="BS251" s="145">
        <f t="shared" si="52"/>
        <v>357.69600000000014</v>
      </c>
      <c r="BT251" s="145">
        <f>IF(VACnom&lt;Vbat, Table7[[#This Row],[Duty Cycle]]*Table7[[#This Row],[I_L RMS]]^2*C_MOSFET_S_RDSON_H_BU*10^-3, (1-Table7[[#This Row],[Duty Cycle]])*Table7[[#This Row],[I_L RMS]]^2*C_MOSFET_S_RDSON_H_BO*10^-3)/10^-3</f>
        <v>63.267699515081475</v>
      </c>
      <c r="BU251" s="145">
        <f>IF(VACnom&gt;Vbat, Table7[[#This Row],[PIV (mW) C]]+Table7[[#This Row],[PQoss (mW) C]]+Table7[[#This Row],[Pgate_top (mW) C]], Table7[[#This Row],[PRR (mW) C]]+Table7[[#This Row],[Pdead (mW) C]]+Table7[[#This Row],[Pgate_top (mW) C]])</f>
        <v>1540.9200833384598</v>
      </c>
      <c r="BV251" s="145">
        <f>Table7[[#This Row],[Pcon_top (mW) C]]+Table7[[#This Row],[Psw_top (mW) C]]</f>
        <v>1604.1877828535412</v>
      </c>
      <c r="BW251" s="145">
        <f>IF(VACnom&gt;Vbat, (1-Table7[[#This Row],[Duty Cycle]])*Table7[[#This Row],[I_L RMS]]^2*C_MOSFET_S_RDSON_L_BU*10^-3, Table7[[#This Row],[Duty Cycle]]*Table7[[#This Row],[I_L RMS]]^2*C_MOSFET_S_RDSON_L_BO*10^-3)/10^-3</f>
        <v>41.367341990630187</v>
      </c>
      <c r="BX251" s="145">
        <f>IF(VACnom&gt;Vbat, Table7[[#This Row],[PRR (mW) C]]+Table7[[#This Row],[Pdead (mW) C]]+Table7[[#This Row],[Pgate_bottom (mW) C]], Table7[[#This Row],[PIV (mW) C]]+Table7[[#This Row],[PQoss (mW) C]]+Table7[[#This Row],[Pgate_bottom (mW) C]])</f>
        <v>1799.2960000000007</v>
      </c>
      <c r="BY251" s="145">
        <f>Table7[[#This Row],[Pcon_bottom (mW) C]]+Table7[[#This Row],[Psw_bottom (mV) C]]</f>
        <v>1840.6633419906309</v>
      </c>
      <c r="BZ251" s="145">
        <f>Table7[[#This Row],[Pbottom (mW) C]]+Table7[[#This Row],[Ptop (mW) C]]</f>
        <v>3444.8511248441719</v>
      </c>
      <c r="CA251" s="148"/>
      <c r="CB251" s="144">
        <f>(RAC_SNS*10^-3*(Table7[[#This Row],[IOUT (A)]]*Vbat/VACnom)^2/10^-3)</f>
        <v>2238.6776937618151</v>
      </c>
      <c r="CC251" s="144">
        <f>(RBAT_SNS*10^-3*Table7[[#This Row],[IOUT (A)]]^2)/10^-3</f>
        <v>5848.2</v>
      </c>
      <c r="CD251" s="144">
        <f>IF(VACnom&gt;Vbat,(L_DRC*10^-3*(Table7[[#This Row],[IOUT (A)]])^2/10^-3),(L_DRC*10^-3*(Table7[[#This Row],[IOUT (A)]]*Vbat/VACnom)^2/10^-3))</f>
        <v>5848.2</v>
      </c>
      <c r="CE251" s="152"/>
      <c r="CF251" s="145">
        <f>(Table7[[#This Row],[R_AC (mW)]]+Table7[[#This Row],[R_SR (mW)]]+Table7[[#This Row],[Inductor Loss (mW)]])/10^3</f>
        <v>13.935077693761814</v>
      </c>
      <c r="CG251" s="145" t="e">
        <f ca="1">Table7[[#This Row],[Total TI (mW)]]/10^3</f>
        <v>#VALUE!</v>
      </c>
      <c r="CH251" s="145" t="e">
        <f ca="1">Table7[[#This Row],[Total Sense Loss]]+Table7[[#This Row],[Total MOSFET Loss]]</f>
        <v>#VALUE!</v>
      </c>
      <c r="CI251" s="149" t="e">
        <f ca="1">IF(Table7[[#This Row],[POUT (W)]]=0,0,(Table7[[#This Row],[POUT (W)]])/(Table7[[#This Row],[POUT (W)]]+Table7[[#This Row],[Total Power Loss (W)]]))*100</f>
        <v>#VALUE!</v>
      </c>
      <c r="CJ251" s="153"/>
      <c r="CK251" s="145">
        <f>(Table7[[#This Row],[R_AC (mW)]]+Table7[[#This Row],[R_SR (mW)]]+Table7[[#This Row],[Inductor Loss (mW)]])/10^3</f>
        <v>13.935077693761814</v>
      </c>
      <c r="CL251" s="145">
        <f>Table7[[#This Row],[Total (mW) C]]/10^3</f>
        <v>3.4448511248441718</v>
      </c>
      <c r="CM251" s="145">
        <f>Table7[[#This Row],[Total Sense Loss C]]+Table7[[#This Row],[Total MOSFET Loss C]]</f>
        <v>17.379928818605986</v>
      </c>
      <c r="CN251" s="149">
        <f>IF(Table7[[#This Row],[POUT (W)]]=0,0,(Table7[[#This Row],[POUT (W)]])/(Table7[[#This Row],[POUT (W)]]+Table7[[#This Row],[Total Power Loss (W) C]]))*100</f>
        <v>98.637872487092864</v>
      </c>
      <c r="CO251" s="153"/>
      <c r="CP251" s="149">
        <f>IF(MOSFET_S=Custom_MOSFET,Table7[[#This Row],[Total Sense Loss C]],Table7[[#This Row],[Total Sense Loss]])</f>
        <v>13.935077693761814</v>
      </c>
      <c r="CQ251" s="149">
        <f>IF(MOSFET_S=Custom_MOSFET,Table7[[#This Row],[Total MOSFET Loss C]],Table7[[#This Row],[Total MOSFET Loss]])</f>
        <v>3.4448511248441718</v>
      </c>
      <c r="CR251" s="149">
        <f>IF(MOSFET_S=Custom_MOSFET,Table7[[#This Row],[Efficiency C]],Table7[[#This Row],[Efficiency]])</f>
        <v>98.637872487092864</v>
      </c>
      <c r="CS251" s="153"/>
      <c r="CT251" s="149">
        <f>IF(MOSFET_S=Compare_MOSFET, Table7[[#This Row],[Total Sense Loss C]], -100)</f>
        <v>-100</v>
      </c>
      <c r="CU251" s="149">
        <f>IF(MOSFET_S=Compare_MOSFET, Table7[[#This Row],[Total MOSFET Loss C]], -100)</f>
        <v>-100</v>
      </c>
      <c r="CV251" s="149">
        <f>IF(MOSFET_S=Compare_MOSFET, Table7[[#This Row],[Efficiency C]], -100)</f>
        <v>-100</v>
      </c>
      <c r="CW251" s="153"/>
      <c r="CX251" s="149">
        <f ca="1">IF(Save_Sel=CLR_Save,  Table7[[#This Row],[Total Sense Loss P1]], Table7[[#This Row],[Total Sense Loss P1 Saved]])</f>
        <v>13.935077693761814</v>
      </c>
      <c r="CY251" s="149">
        <f ca="1">IF(Save_Sel=CLR_Save,  Table7[[#This Row],[Total MOSFET Loss P1]], Table7[[#This Row],[Total MOSFET Loss P1 Saved]] )</f>
        <v>3.4448511248441718</v>
      </c>
      <c r="CZ251" s="149">
        <f ca="1">IF(Save_Sel=CLR_Save, Table7[[#This Row],[Efficiency P1]], Table7[[#This Row],[Efficiency P1 Saved]])</f>
        <v>98.637872487092864</v>
      </c>
      <c r="DA251" s="153"/>
      <c r="DB251" s="149">
        <f ca="1">IF(Save_Sel=CLR_Save,  Table7[[#This Row],[Total Sense Loss P2]], Table7[[#This Row],[Total Sense Loss P2 Saved]])</f>
        <v>-100</v>
      </c>
      <c r="DC251" s="149">
        <f ca="1">IF(Save_Sel=CLR_Save,  Table7[[#This Row],[Total MOSFET Loss P2]], Table7[[#This Row],[Total MOSFET Loss P2 Saved]] )</f>
        <v>-100</v>
      </c>
      <c r="DD251" s="149">
        <f ca="1">IF(Save_Sel=CLR_Save, Table7[[#This Row],[Efficiency P2]], Table7[[#This Row],[Efficiency P2 Saved]])</f>
        <v>-100</v>
      </c>
      <c r="DE251" s="153"/>
      <c r="DF251" s="19"/>
      <c r="DG251" s="19"/>
      <c r="DH251" s="19"/>
      <c r="DI251" s="19"/>
      <c r="DJ251" s="19"/>
      <c r="DK251" s="19"/>
      <c r="DL251" s="19"/>
      <c r="DM251" s="19"/>
      <c r="DN251" s="19"/>
      <c r="DO251" s="19"/>
      <c r="DP251" s="19"/>
      <c r="DQ251" s="19"/>
      <c r="DR251" s="19"/>
      <c r="DS251" s="19"/>
      <c r="DT251" s="19"/>
      <c r="DU251" s="19"/>
      <c r="DV251" s="19"/>
      <c r="DW251" s="19"/>
      <c r="DX251" s="19"/>
      <c r="DY251" s="19"/>
      <c r="DZ251" s="19"/>
      <c r="EA251" s="19"/>
      <c r="EB251" s="19"/>
      <c r="EC251" s="19"/>
      <c r="ED251" s="19"/>
      <c r="EE251" s="19"/>
      <c r="EF251" s="19"/>
      <c r="EG251" s="19"/>
      <c r="EH251" s="19"/>
      <c r="EI251" s="19"/>
      <c r="EJ251" s="19"/>
      <c r="EK251" s="19"/>
      <c r="EL251" s="19"/>
      <c r="EM251" s="19"/>
      <c r="EN251" s="19"/>
      <c r="EO251" s="19"/>
      <c r="EP251" s="19"/>
      <c r="EQ251" s="19"/>
      <c r="ER251" s="19"/>
      <c r="ES251" s="19"/>
      <c r="ET251" s="19"/>
      <c r="EU251" s="19"/>
      <c r="EV251" s="19"/>
      <c r="EW251" s="19"/>
      <c r="EX251" s="19"/>
      <c r="EY251" s="19"/>
      <c r="EZ251" s="19"/>
      <c r="FA251" s="19"/>
      <c r="FB251" s="19"/>
      <c r="FC251" s="19"/>
      <c r="FD251" s="19"/>
      <c r="FE251" s="19"/>
      <c r="FF251" s="19"/>
      <c r="FG251" s="19"/>
      <c r="FH251" s="19"/>
      <c r="FI251" s="19"/>
    </row>
    <row r="252" spans="1:165" x14ac:dyDescent="0.25">
      <c r="A252" s="67"/>
      <c r="B252" s="67"/>
      <c r="C252" s="67"/>
      <c r="D252" s="67"/>
      <c r="E252" s="67"/>
      <c r="F252" s="67"/>
      <c r="G252" s="67"/>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43">
        <f t="shared" si="54"/>
        <v>96</v>
      </c>
      <c r="AG252" s="143">
        <f t="shared" si="53"/>
        <v>34.56</v>
      </c>
      <c r="AH252" s="144">
        <f t="shared" ref="AH252:AH256" si="57">AG252*VACnom</f>
        <v>1271.808</v>
      </c>
      <c r="AI252" s="145">
        <f t="shared" si="43"/>
        <v>0.97826086956521752</v>
      </c>
      <c r="AJ252" s="145">
        <f t="shared" ref="AJ252:AJ256" si="58">IF(VACnom&lt;Vbat, AG252/(1-AI252), AG252*AI252)</f>
        <v>33.808695652173917</v>
      </c>
      <c r="AK252" s="145">
        <f t="shared" si="55"/>
        <v>0.39130434782608459</v>
      </c>
      <c r="AL252" s="145">
        <f t="shared" si="56"/>
        <v>33.808884359376741</v>
      </c>
      <c r="AM252" s="146"/>
      <c r="AN252" s="145">
        <f>MAX(0,Table7[[#This Row],[I_L]]-0.5*Table7[[#This Row],[I_L pkpk]])</f>
        <v>33.613043478260877</v>
      </c>
      <c r="AO252" s="145">
        <f>Table7[[#This Row],[I_L]]+0.5*Table7[[#This Row],[I_L pkpk]]</f>
        <v>34.004347826086956</v>
      </c>
      <c r="AP252" s="145">
        <f ca="1">IF(VACnom&gt;Vbat, (VGS_S-(TI_MOSFET_S_VTH_H_BU+Table7[[#This Row],[I_L]]/TI_MOSFET_S_gFS_H_BU))/3.4, (VGS_S-(TI_MOSFET_S_VTH_L_BO+Table7[[#This Row],[I_L]]/TI_MOSFET_S_gFS_L_BO))/3.4 )</f>
        <v>2.9382156206964392</v>
      </c>
      <c r="AQ252" s="145">
        <f ca="1">IF(VACnom&gt;Vbat, ((TI_MOSFET_S_VTH_H_BU+Table7[[#This Row],[I_L]]/TI_MOSFET_S_gFS_H_BU))/1, ((TI_MOSFET_S_VTH_L_BO+Table7[[#This Row],[I_L]]/TI_MOSFET_S_gFS_L_BO))/1 )</f>
        <v>2.0100668896321072</v>
      </c>
      <c r="AR252" s="145">
        <f ca="1">IF(VACnom&gt;Vbat, (TI_MOSFET_S_QGD_H_BU+TI_MOSFET_S_QGS_H_BU)*10^-9/Table7[[#This Row],[Ion (A)]], (TI_MOSFET_S_QGD_L_BO+TI_MOSFET_S_QGS_L_BO)*10^-9/Table7[[#This Row],[Ion (A)]])/10^-9</f>
        <v>9.8018674317624104</v>
      </c>
      <c r="AS252" s="145">
        <f ca="1">IF(VACnom&gt;Vbat, (TI_MOSFET_S_QGD_H_BU+TI_MOSFET_S_QGS_H_BU)*10^-9/Table7[[#This Row],[Ioff (A)]], (TI_MOSFET_S_QGD_L_BO+TI_MOSFET_S_QGS_L_BO)*10^-9/Table7[[#This Row],[Ioff (A)]])/10^-9</f>
        <v>14.327881399643932</v>
      </c>
      <c r="AT252" s="145">
        <f ca="1" xml:space="preserve"> 0.5*VACnom*Table7[[#This Row],[Ivalley (A)]]*Table7[[#This Row],[ton (ns)]]*10^-9*Fsw*10^3+0.5*VACnom*Table7[[#This Row],[Ipeak (A)]]*Table7[[#This Row],[toff (ns)]]*10^-9*Fsw*10^3/10^-3</f>
        <v>1794.1462186196829</v>
      </c>
      <c r="AU252" s="145">
        <f t="shared" ca="1" si="45"/>
        <v>268.64000000000004</v>
      </c>
      <c r="AV252" s="145" t="e">
        <f t="shared" si="46"/>
        <v>#VALUE!</v>
      </c>
      <c r="AW252" s="145">
        <f t="shared" ca="1" si="47"/>
        <v>566.72000000000025</v>
      </c>
      <c r="AX252" s="145">
        <f ca="1">IF(VACnom&gt;Vbat, TI_MOSFET_S_VSD_L_BU*Table7[[#This Row],[Ivalley (A)]]*Fsw*10^3*40*10^-9+TI_MOSFET_S_VSD_L_BU*Table7[[#This Row],[Ipeak (A)]]*Fsw*10^3*30*10^-9, TI_MOSFET_S_VSD_H_BO*Table7[[#This Row],[Ivalley (A)]]*Fsw*10^3*40*10^-9+TI_MOSFET_S_VSD_H_BO*Table7[[#This Row],[Ipeak (A)]]*Fsw*10^3*30*10^-9)/10^-3</f>
        <v>340.50991304347838</v>
      </c>
      <c r="AY252" s="145" t="e">
        <f t="shared" si="48"/>
        <v>#VALUE!</v>
      </c>
      <c r="AZ252" s="145" t="e">
        <f>IF(VACnom&lt;Vbat, Table7[[#This Row],[Duty Cycle]]*Table7[[#This Row],[I_L RMS]]^2*TI_MOSFET_S_RDSON_H_BU*10^-3, (1-Table7[[#This Row],[Duty Cycle]])*Table7[[#This Row],[I_L RMS]]^2*TI_MOSFET_S_RDSON_H_BO*10^-3)/10^-3</f>
        <v>#VALUE!</v>
      </c>
      <c r="BA252" s="145" t="e">
        <f ca="1">IF(VACnom&gt;Vbat, Table7[[#This Row],[PIV (mW)]]+Table7[[#This Row],[Pqoss (mW)]]+Table7[[#This Row],[Pgate_top (mW)]], Table7[[#This Row],[PRR (mW)]]+Table7[[#This Row],[Pdead (mW)]]+Table7[[#This Row],[Pgate_top (mW)]])</f>
        <v>#VALUE!</v>
      </c>
      <c r="BB252" s="145" t="e">
        <f ca="1">Table7[[#This Row],[Pcon_top (mW)]]+Table7[[#This Row],[Psw_top (mW)]]</f>
        <v>#VALUE!</v>
      </c>
      <c r="BC252" s="145" t="e">
        <f>IF(VACnom&gt;Vbat, (1-Table7[[#This Row],[Duty Cycle]])*Table7[[#This Row],[I_L RMS]]^2*TI_MOSFET_S_RDSON_L_BU*10^-3, Table7[[#This Row],[Duty Cycle]]*Table7[[#This Row],[I_L RMS]]^2*TI_MOSFET_S_RDSON_L_BO*10^-3)/10^-3</f>
        <v>#VALUE!</v>
      </c>
      <c r="BD252" s="145" t="e">
        <f ca="1">IF(VACnom&gt;Vbat, Table7[[#This Row],[PRR (mW)]]+Table7[[#This Row],[Pdead (mW)]]+Table7[[#This Row],[Pgate_bottom (mW)]], Table7[[#This Row],[PIV (mW)]]+Table7[[#This Row],[Pqoss (mW)]]+Table7[[#This Row],[Pgate_bottom (mW)]])</f>
        <v>#VALUE!</v>
      </c>
      <c r="BE252" s="147" t="e">
        <f ca="1">Table7[[#This Row],[Pcon_bottom (mW)]]+Table7[[#This Row],[Psw_bottom (mW)]]</f>
        <v>#VALUE!</v>
      </c>
      <c r="BF252" s="145" t="e">
        <f ca="1">Table7[[#This Row],[Pbottom (mW)]]+Table7[[#This Row],[Ptop (mW)]]</f>
        <v>#VALUE!</v>
      </c>
      <c r="BG252" s="142"/>
      <c r="BH252" s="145">
        <f>MAX(0,Table7[[#This Row],[I_L]]-0.5*Table7[[#This Row],[I_L pkpk]])</f>
        <v>33.613043478260877</v>
      </c>
      <c r="BI252" s="145">
        <f>Table7[[#This Row],[I_L]]+0.5*Table7[[#This Row],[I_L pkpk]]</f>
        <v>34.004347826086956</v>
      </c>
      <c r="BJ252" s="145">
        <f>IF(VACnom&gt;Vbat, (VGS_S-(C_MOSFET_S_VTH_H_BU+Table7[[#This Row],[I_L]]/C_MOSFET_S_gFS_H_BU))/3.4, (VGS_S-(C_MOSFET_S_VTH_L_BO+Table7[[#This Row],[I_L]]/C_MOSFET_S_gFS_L_BO))/3.4 )</f>
        <v>2.8848663903342446</v>
      </c>
      <c r="BK252" s="145">
        <f>IF(VACnom&gt;Vbat, ((C_MOSFET_S_VTH_H_BU+Table7[[#This Row],[I_L]]/C_MOSFET_S_gFS_H_BU))/1, ((C_MOSFET_S_VTH_L_BO+Table7[[#This Row],[I_L]]/C_MOSFET_S_gFS_L_BO))/1 )</f>
        <v>2.191454272863568</v>
      </c>
      <c r="BL252" s="145">
        <f>IF(VACnom&gt;Vbat, (C_MOSFET_S_QGD_H_BU+C_MOSFET_S_QGS_H_BU)*10^-9/Table7[[#This Row],[Ion (A) C]], (C_MOSFET_S_QGD_L_BO+C_MOSFET_S_QGS_L_BO)*10^-9/Table7[[#This Row],[Ion (A) C]])/10^-9</f>
        <v>5.3728658117175909</v>
      </c>
      <c r="BM252" s="145">
        <f>IF(VACnom&gt;Vbat, (C_MOSFET_S_QGD_H_BU+C_MOSFET_S_QGS_H_BU)*10^-9/Table7[[#This Row],[Ioff (A) C]], (C_MOSFET_S_QGD_L_BO+C_MOSFET_S_QGS_L_BO)*10^-9/Table7[[#This Row],[Ioff (A) C]])/10^-9</f>
        <v>7.0729287815557225</v>
      </c>
      <c r="BN252" s="145">
        <f xml:space="preserve"> 0.5*VACnom*Table7[[#This Row],[Ivalley (A) C]]*Table7[[#This Row],[ton (ns) C]]*10^-9*Fsw*10^3+0.5*VACnom*Table7[[#This Row],[Ipeak (A) C]]*Table7[[#This Row],[toff (ns) C]]*10^-9*Fsw*10^3/10^-3</f>
        <v>885.7426180182033</v>
      </c>
      <c r="BO252" s="145">
        <f t="shared" si="49"/>
        <v>305.44000000000011</v>
      </c>
      <c r="BP252" s="145">
        <f t="shared" si="50"/>
        <v>357.69600000000014</v>
      </c>
      <c r="BQ252" s="145">
        <f t="shared" si="51"/>
        <v>1067.2000000000003</v>
      </c>
      <c r="BR252" s="145">
        <f>IF(VACnom&gt;Vbat, C_MOSFET_S_VSD_L_BU*Table7[[#This Row],[Ivalley (A) C]]*Fsw*10^3*40*10^-9+C_MOSFET_S_VSD_L_BU*Table7[[#This Row],[Ipeak (A) C]]*Fsw*10^3*30*10^-9, C_MOSFET_S_VSD_H_BO*Table7[[#This Row],[Ivalley (A) C]]*Fsw*10^3*40*10^-9+C_MOSFET_S_VSD_H_BO*Table7[[#This Row],[Ipeak (A) C]]*Fsw*10^3*30*10^-9)/10^-3</f>
        <v>378.34434782608719</v>
      </c>
      <c r="BS252" s="145">
        <f t="shared" si="52"/>
        <v>357.69600000000014</v>
      </c>
      <c r="BT252" s="145">
        <f>IF(VACnom&lt;Vbat, Table7[[#This Row],[Duty Cycle]]*Table7[[#This Row],[I_L RMS]]^2*C_MOSFET_S_RDSON_H_BU*10^-3, (1-Table7[[#This Row],[Duty Cycle]])*Table7[[#This Row],[I_L RMS]]^2*C_MOSFET_S_RDSON_H_BO*10^-3)/10^-3</f>
        <v>64.606646091887541</v>
      </c>
      <c r="BU252" s="145">
        <f>IF(VACnom&gt;Vbat, Table7[[#This Row],[PIV (mW) C]]+Table7[[#This Row],[PQoss (mW) C]]+Table7[[#This Row],[Pgate_top (mW) C]], Table7[[#This Row],[PRR (mW) C]]+Table7[[#This Row],[Pdead (mW) C]]+Table7[[#This Row],[Pgate_top (mW) C]])</f>
        <v>1548.8786180182035</v>
      </c>
      <c r="BV252" s="145">
        <f>Table7[[#This Row],[Pcon_top (mW) C]]+Table7[[#This Row],[Psw_top (mW) C]]</f>
        <v>1613.4852641100911</v>
      </c>
      <c r="BW252" s="145">
        <f>IF(VACnom&gt;Vbat, (1-Table7[[#This Row],[Duty Cycle]])*Table7[[#This Row],[I_L RMS]]^2*C_MOSFET_S_RDSON_L_BU*10^-3, Table7[[#This Row],[Duty Cycle]]*Table7[[#This Row],[I_L RMS]]^2*C_MOSFET_S_RDSON_L_BO*10^-3)/10^-3</f>
        <v>42.24280706008031</v>
      </c>
      <c r="BX252" s="145">
        <f>IF(VACnom&gt;Vbat, Table7[[#This Row],[PRR (mW) C]]+Table7[[#This Row],[Pdead (mW) C]]+Table7[[#This Row],[Pgate_bottom (mW) C]], Table7[[#This Row],[PIV (mW) C]]+Table7[[#This Row],[PQoss (mW) C]]+Table7[[#This Row],[Pgate_bottom (mW) C]])</f>
        <v>1803.2403478260876</v>
      </c>
      <c r="BY252" s="145">
        <f>Table7[[#This Row],[Pcon_bottom (mW) C]]+Table7[[#This Row],[Psw_bottom (mV) C]]</f>
        <v>1845.483154886168</v>
      </c>
      <c r="BZ252" s="145">
        <f>Table7[[#This Row],[Pbottom (mW) C]]+Table7[[#This Row],[Ptop (mW) C]]</f>
        <v>3458.9684189962591</v>
      </c>
      <c r="CA252" s="148"/>
      <c r="CB252" s="144">
        <f>(RAC_SNS*10^-3*(Table7[[#This Row],[IOUT (A)]]*Vbat/VACnom)^2/10^-3)</f>
        <v>2286.0558034026471</v>
      </c>
      <c r="CC252" s="144">
        <f>(RBAT_SNS*10^-3*Table7[[#This Row],[IOUT (A)]]^2)/10^-3</f>
        <v>5971.9679999999998</v>
      </c>
      <c r="CD252" s="144">
        <f>IF(VACnom&gt;Vbat,(L_DRC*10^-3*(Table7[[#This Row],[IOUT (A)]])^2/10^-3),(L_DRC*10^-3*(Table7[[#This Row],[IOUT (A)]]*Vbat/VACnom)^2/10^-3))</f>
        <v>5971.9679999999998</v>
      </c>
      <c r="CE252" s="152"/>
      <c r="CF252" s="145">
        <f>(Table7[[#This Row],[R_AC (mW)]]+Table7[[#This Row],[R_SR (mW)]]+Table7[[#This Row],[Inductor Loss (mW)]])/10^3</f>
        <v>14.229991803402649</v>
      </c>
      <c r="CG252" s="145" t="e">
        <f ca="1">Table7[[#This Row],[Total TI (mW)]]/10^3</f>
        <v>#VALUE!</v>
      </c>
      <c r="CH252" s="145" t="e">
        <f ca="1">Table7[[#This Row],[Total Sense Loss]]+Table7[[#This Row],[Total MOSFET Loss]]</f>
        <v>#VALUE!</v>
      </c>
      <c r="CI252" s="149" t="e">
        <f ca="1">IF(Table7[[#This Row],[POUT (W)]]=0,0,(Table7[[#This Row],[POUT (W)]])/(Table7[[#This Row],[POUT (W)]]+Table7[[#This Row],[Total Power Loss (W)]]))*100</f>
        <v>#VALUE!</v>
      </c>
      <c r="CJ252" s="153"/>
      <c r="CK252" s="145">
        <f>(Table7[[#This Row],[R_AC (mW)]]+Table7[[#This Row],[R_SR (mW)]]+Table7[[#This Row],[Inductor Loss (mW)]])/10^3</f>
        <v>14.229991803402649</v>
      </c>
      <c r="CL252" s="145">
        <f>Table7[[#This Row],[Total (mW) C]]/10^3</f>
        <v>3.4589684189962591</v>
      </c>
      <c r="CM252" s="145">
        <f>Table7[[#This Row],[Total Sense Loss C]]+Table7[[#This Row],[Total MOSFET Loss C]]</f>
        <v>17.688960222398908</v>
      </c>
      <c r="CN252" s="149">
        <f>IF(Table7[[#This Row],[POUT (W)]]=0,0,(Table7[[#This Row],[POUT (W)]])/(Table7[[#This Row],[POUT (W)]]+Table7[[#This Row],[Total Power Loss (W) C]]))*100</f>
        <v>98.628227846357376</v>
      </c>
      <c r="CO252" s="153"/>
      <c r="CP252" s="149">
        <f>IF(MOSFET_S=Custom_MOSFET,Table7[[#This Row],[Total Sense Loss C]],Table7[[#This Row],[Total Sense Loss]])</f>
        <v>14.229991803402649</v>
      </c>
      <c r="CQ252" s="149">
        <f>IF(MOSFET_S=Custom_MOSFET,Table7[[#This Row],[Total MOSFET Loss C]],Table7[[#This Row],[Total MOSFET Loss]])</f>
        <v>3.4589684189962591</v>
      </c>
      <c r="CR252" s="149">
        <f>IF(MOSFET_S=Custom_MOSFET,Table7[[#This Row],[Efficiency C]],Table7[[#This Row],[Efficiency]])</f>
        <v>98.628227846357376</v>
      </c>
      <c r="CS252" s="153"/>
      <c r="CT252" s="149">
        <f>IF(MOSFET_S=Compare_MOSFET, Table7[[#This Row],[Total Sense Loss C]], -100)</f>
        <v>-100</v>
      </c>
      <c r="CU252" s="149">
        <f>IF(MOSFET_S=Compare_MOSFET, Table7[[#This Row],[Total MOSFET Loss C]], -100)</f>
        <v>-100</v>
      </c>
      <c r="CV252" s="149">
        <f>IF(MOSFET_S=Compare_MOSFET, Table7[[#This Row],[Efficiency C]], -100)</f>
        <v>-100</v>
      </c>
      <c r="CW252" s="153"/>
      <c r="CX252" s="149">
        <f ca="1">IF(Save_Sel=CLR_Save,  Table7[[#This Row],[Total Sense Loss P1]], Table7[[#This Row],[Total Sense Loss P1 Saved]])</f>
        <v>14.229991803402649</v>
      </c>
      <c r="CY252" s="149">
        <f ca="1">IF(Save_Sel=CLR_Save,  Table7[[#This Row],[Total MOSFET Loss P1]], Table7[[#This Row],[Total MOSFET Loss P1 Saved]] )</f>
        <v>3.4589684189962591</v>
      </c>
      <c r="CZ252" s="149">
        <f ca="1">IF(Save_Sel=CLR_Save, Table7[[#This Row],[Efficiency P1]], Table7[[#This Row],[Efficiency P1 Saved]])</f>
        <v>98.628227846357376</v>
      </c>
      <c r="DA252" s="153"/>
      <c r="DB252" s="149">
        <f ca="1">IF(Save_Sel=CLR_Save,  Table7[[#This Row],[Total Sense Loss P2]], Table7[[#This Row],[Total Sense Loss P2 Saved]])</f>
        <v>-100</v>
      </c>
      <c r="DC252" s="149">
        <f ca="1">IF(Save_Sel=CLR_Save,  Table7[[#This Row],[Total MOSFET Loss P2]], Table7[[#This Row],[Total MOSFET Loss P2 Saved]] )</f>
        <v>-100</v>
      </c>
      <c r="DD252" s="149">
        <f ca="1">IF(Save_Sel=CLR_Save, Table7[[#This Row],[Efficiency P2]], Table7[[#This Row],[Efficiency P2 Saved]])</f>
        <v>-100</v>
      </c>
      <c r="DE252" s="153"/>
      <c r="DF252" s="19"/>
      <c r="DG252" s="19"/>
      <c r="DH252" s="19"/>
      <c r="DI252" s="19"/>
      <c r="DJ252" s="19"/>
      <c r="DK252" s="19"/>
      <c r="DL252" s="19"/>
      <c r="DM252" s="19"/>
      <c r="DN252" s="19"/>
      <c r="DO252" s="19"/>
      <c r="DP252" s="19"/>
      <c r="DQ252" s="19"/>
      <c r="DR252" s="19"/>
      <c r="DS252" s="19"/>
      <c r="DT252" s="19"/>
      <c r="DU252" s="19"/>
      <c r="DV252" s="19"/>
      <c r="DW252" s="19"/>
      <c r="DX252" s="19"/>
      <c r="DY252" s="19"/>
      <c r="DZ252" s="19"/>
      <c r="EA252" s="19"/>
      <c r="EB252" s="19"/>
      <c r="EC252" s="19"/>
      <c r="ED252" s="19"/>
      <c r="EE252" s="19"/>
      <c r="EF252" s="19"/>
      <c r="EG252" s="19"/>
      <c r="EH252" s="19"/>
      <c r="EI252" s="19"/>
      <c r="EJ252" s="19"/>
      <c r="EK252" s="19"/>
      <c r="EL252" s="19"/>
      <c r="EM252" s="19"/>
      <c r="EN252" s="19"/>
      <c r="EO252" s="19"/>
      <c r="EP252" s="19"/>
      <c r="EQ252" s="19"/>
      <c r="ER252" s="19"/>
      <c r="ES252" s="19"/>
      <c r="ET252" s="19"/>
      <c r="EU252" s="19"/>
      <c r="EV252" s="19"/>
      <c r="EW252" s="19"/>
      <c r="EX252" s="19"/>
      <c r="EY252" s="19"/>
      <c r="EZ252" s="19"/>
      <c r="FA252" s="19"/>
      <c r="FB252" s="19"/>
      <c r="FC252" s="19"/>
      <c r="FD252" s="19"/>
      <c r="FE252" s="19"/>
      <c r="FF252" s="19"/>
      <c r="FG252" s="19"/>
      <c r="FH252" s="19"/>
      <c r="FI252" s="19"/>
    </row>
    <row r="253" spans="1:165" x14ac:dyDescent="0.25">
      <c r="A253" s="67"/>
      <c r="B253" s="67"/>
      <c r="C253" s="67"/>
      <c r="D253" s="67"/>
      <c r="E253" s="67"/>
      <c r="F253" s="67"/>
      <c r="G253" s="67"/>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43">
        <f t="shared" si="54"/>
        <v>97</v>
      </c>
      <c r="AG253" s="143">
        <f t="shared" ref="AG253:AG255" si="59">$AG$156+AF253*($AG$256-$AG$156)/$AF$256</f>
        <v>34.92</v>
      </c>
      <c r="AH253" s="144">
        <f t="shared" si="57"/>
        <v>1285.056</v>
      </c>
      <c r="AI253" s="145">
        <f t="shared" si="43"/>
        <v>0.97826086956521752</v>
      </c>
      <c r="AJ253" s="145">
        <f t="shared" si="58"/>
        <v>34.160869565217396</v>
      </c>
      <c r="AK253" s="145">
        <f t="shared" si="55"/>
        <v>0.39130434782608459</v>
      </c>
      <c r="AL253" s="145">
        <f t="shared" si="56"/>
        <v>34.161056326995833</v>
      </c>
      <c r="AM253" s="146"/>
      <c r="AN253" s="145">
        <f>MAX(0,Table7[[#This Row],[I_L]]-0.5*Table7[[#This Row],[I_L pkpk]])</f>
        <v>33.965217391304357</v>
      </c>
      <c r="AO253" s="145">
        <f>Table7[[#This Row],[I_L]]+0.5*Table7[[#This Row],[I_L pkpk]]</f>
        <v>34.356521739130436</v>
      </c>
      <c r="AP253" s="145">
        <f ca="1">IF(VACnom&gt;Vbat, (VGS_S-(TI_MOSFET_S_VTH_H_BU+Table7[[#This Row],[I_L]]/TI_MOSFET_S_gFS_H_BU))/3.4, (VGS_S-(TI_MOSFET_S_VTH_L_BO+Table7[[#This Row],[I_L]]/TI_MOSFET_S_gFS_L_BO))/3.4 )</f>
        <v>2.9374188471375176</v>
      </c>
      <c r="AQ253" s="145">
        <f ca="1">IF(VACnom&gt;Vbat, ((TI_MOSFET_S_VTH_H_BU+Table7[[#This Row],[I_L]]/TI_MOSFET_S_gFS_H_BU))/1, ((TI_MOSFET_S_VTH_L_BO+Table7[[#This Row],[I_L]]/TI_MOSFET_S_gFS_L_BO))/1 )</f>
        <v>2.0127759197324417</v>
      </c>
      <c r="AR253" s="145">
        <f ca="1">IF(VACnom&gt;Vbat, (TI_MOSFET_S_QGD_H_BU+TI_MOSFET_S_QGS_H_BU)*10^-9/Table7[[#This Row],[Ion (A)]], (TI_MOSFET_S_QGD_L_BO+TI_MOSFET_S_QGS_L_BO)*10^-9/Table7[[#This Row],[Ion (A)]])/10^-9</f>
        <v>9.8045261839540814</v>
      </c>
      <c r="AS253" s="145">
        <f ca="1">IF(VACnom&gt;Vbat, (TI_MOSFET_S_QGD_H_BU+TI_MOSFET_S_QGS_H_BU)*10^-9/Table7[[#This Row],[Ioff (A)]], (TI_MOSFET_S_QGD_L_BO+TI_MOSFET_S_QGS_L_BO)*10^-9/Table7[[#This Row],[Ioff (A)]])/10^-9</f>
        <v>14.308597254993186</v>
      </c>
      <c r="AT253" s="145">
        <f ca="1" xml:space="preserve"> 0.5*VACnom*Table7[[#This Row],[Ivalley (A)]]*Table7[[#This Row],[ton (ns)]]*10^-9*Fsw*10^3+0.5*VACnom*Table7[[#This Row],[Ipeak (A)]]*Table7[[#This Row],[toff (ns)]]*10^-9*Fsw*10^3/10^-3</f>
        <v>1810.2900554800835</v>
      </c>
      <c r="AU253" s="145">
        <f t="shared" ca="1" si="45"/>
        <v>268.64000000000004</v>
      </c>
      <c r="AV253" s="145" t="e">
        <f t="shared" si="46"/>
        <v>#VALUE!</v>
      </c>
      <c r="AW253" s="145">
        <f t="shared" ca="1" si="47"/>
        <v>566.72000000000025</v>
      </c>
      <c r="AX253" s="145">
        <f ca="1">IF(VACnom&gt;Vbat, TI_MOSFET_S_VSD_L_BU*Table7[[#This Row],[Ivalley (A)]]*Fsw*10^3*40*10^-9+TI_MOSFET_S_VSD_L_BU*Table7[[#This Row],[Ipeak (A)]]*Fsw*10^3*30*10^-9, TI_MOSFET_S_VSD_H_BO*Table7[[#This Row],[Ivalley (A)]]*Fsw*10^3*40*10^-9+TI_MOSFET_S_VSD_H_BO*Table7[[#This Row],[Ipeak (A)]]*Fsw*10^3*30*10^-9)/10^-3</f>
        <v>344.05982608695666</v>
      </c>
      <c r="AY253" s="145" t="e">
        <f t="shared" si="48"/>
        <v>#VALUE!</v>
      </c>
      <c r="AZ253" s="145" t="e">
        <f>IF(VACnom&lt;Vbat, Table7[[#This Row],[Duty Cycle]]*Table7[[#This Row],[I_L RMS]]^2*TI_MOSFET_S_RDSON_H_BU*10^-3, (1-Table7[[#This Row],[Duty Cycle]])*Table7[[#This Row],[I_L RMS]]^2*TI_MOSFET_S_RDSON_H_BO*10^-3)/10^-3</f>
        <v>#VALUE!</v>
      </c>
      <c r="BA253" s="145" t="e">
        <f ca="1">IF(VACnom&gt;Vbat, Table7[[#This Row],[PIV (mW)]]+Table7[[#This Row],[Pqoss (mW)]]+Table7[[#This Row],[Pgate_top (mW)]], Table7[[#This Row],[PRR (mW)]]+Table7[[#This Row],[Pdead (mW)]]+Table7[[#This Row],[Pgate_top (mW)]])</f>
        <v>#VALUE!</v>
      </c>
      <c r="BB253" s="145" t="e">
        <f ca="1">Table7[[#This Row],[Pcon_top (mW)]]+Table7[[#This Row],[Psw_top (mW)]]</f>
        <v>#VALUE!</v>
      </c>
      <c r="BC253" s="145" t="e">
        <f>IF(VACnom&gt;Vbat, (1-Table7[[#This Row],[Duty Cycle]])*Table7[[#This Row],[I_L RMS]]^2*TI_MOSFET_S_RDSON_L_BU*10^-3, Table7[[#This Row],[Duty Cycle]]*Table7[[#This Row],[I_L RMS]]^2*TI_MOSFET_S_RDSON_L_BO*10^-3)/10^-3</f>
        <v>#VALUE!</v>
      </c>
      <c r="BD253" s="145" t="e">
        <f ca="1">IF(VACnom&gt;Vbat, Table7[[#This Row],[PRR (mW)]]+Table7[[#This Row],[Pdead (mW)]]+Table7[[#This Row],[Pgate_bottom (mW)]], Table7[[#This Row],[PIV (mW)]]+Table7[[#This Row],[Pqoss (mW)]]+Table7[[#This Row],[Pgate_bottom (mW)]])</f>
        <v>#VALUE!</v>
      </c>
      <c r="BE253" s="147" t="e">
        <f ca="1">Table7[[#This Row],[Pcon_bottom (mW)]]+Table7[[#This Row],[Psw_bottom (mW)]]</f>
        <v>#VALUE!</v>
      </c>
      <c r="BF253" s="145" t="e">
        <f ca="1">Table7[[#This Row],[Pbottom (mW)]]+Table7[[#This Row],[Ptop (mW)]]</f>
        <v>#VALUE!</v>
      </c>
      <c r="BG253" s="142"/>
      <c r="BH253" s="145">
        <f>MAX(0,Table7[[#This Row],[I_L]]-0.5*Table7[[#This Row],[I_L pkpk]])</f>
        <v>33.965217391304357</v>
      </c>
      <c r="BI253" s="145">
        <f>Table7[[#This Row],[I_L]]+0.5*Table7[[#This Row],[I_L pkpk]]</f>
        <v>34.356521739130436</v>
      </c>
      <c r="BJ253" s="145">
        <f>IF(VACnom&gt;Vbat, (VGS_S-(C_MOSFET_S_VTH_H_BU+Table7[[#This Row],[I_L]]/C_MOSFET_S_gFS_H_BU))/3.4, (VGS_S-(C_MOSFET_S_VTH_L_BO+Table7[[#This Row],[I_L]]/C_MOSFET_S_gFS_L_BO))/3.4 )</f>
        <v>2.8839734544492459</v>
      </c>
      <c r="BK253" s="145">
        <f>IF(VACnom&gt;Vbat, ((C_MOSFET_S_VTH_H_BU+Table7[[#This Row],[I_L]]/C_MOSFET_S_gFS_H_BU))/1, ((C_MOSFET_S_VTH_L_BO+Table7[[#This Row],[I_L]]/C_MOSFET_S_gFS_L_BO))/1 )</f>
        <v>2.1944902548725636</v>
      </c>
      <c r="BL253" s="145">
        <f>IF(VACnom&gt;Vbat, (C_MOSFET_S_QGD_H_BU+C_MOSFET_S_QGS_H_BU)*10^-9/Table7[[#This Row],[Ion (A) C]], (C_MOSFET_S_QGD_L_BO+C_MOSFET_S_QGS_L_BO)*10^-9/Table7[[#This Row],[Ion (A) C]])/10^-9</f>
        <v>5.3745293584749874</v>
      </c>
      <c r="BM253" s="145">
        <f>IF(VACnom&gt;Vbat, (C_MOSFET_S_QGD_H_BU+C_MOSFET_S_QGS_H_BU)*10^-9/Table7[[#This Row],[Ioff (A) C]], (C_MOSFET_S_QGD_L_BO+C_MOSFET_S_QGS_L_BO)*10^-9/Table7[[#This Row],[Ioff (A) C]])/10^-9</f>
        <v>7.0631436916087385</v>
      </c>
      <c r="BN253" s="145">
        <f xml:space="preserve"> 0.5*VACnom*Table7[[#This Row],[Ivalley (A) C]]*Table7[[#This Row],[ton (ns) C]]*10^-9*Fsw*10^3+0.5*VACnom*Table7[[#This Row],[Ipeak (A) C]]*Table7[[#This Row],[toff (ns) C]]*10^-9*Fsw*10^3/10^-3</f>
        <v>893.6791563910507</v>
      </c>
      <c r="BO253" s="145">
        <f t="shared" si="49"/>
        <v>305.44000000000011</v>
      </c>
      <c r="BP253" s="145">
        <f t="shared" si="50"/>
        <v>357.69600000000014</v>
      </c>
      <c r="BQ253" s="145">
        <f t="shared" si="51"/>
        <v>1067.2000000000003</v>
      </c>
      <c r="BR253" s="145">
        <f>IF(VACnom&gt;Vbat, C_MOSFET_S_VSD_L_BU*Table7[[#This Row],[Ivalley (A) C]]*Fsw*10^3*40*10^-9+C_MOSFET_S_VSD_L_BU*Table7[[#This Row],[Ipeak (A) C]]*Fsw*10^3*30*10^-9, C_MOSFET_S_VSD_H_BO*Table7[[#This Row],[Ivalley (A) C]]*Fsw*10^3*40*10^-9+C_MOSFET_S_VSD_H_BO*Table7[[#This Row],[Ipeak (A) C]]*Fsw*10^3*30*10^-9)/10^-3</f>
        <v>382.28869565217417</v>
      </c>
      <c r="BS253" s="145">
        <f t="shared" si="52"/>
        <v>357.69600000000014</v>
      </c>
      <c r="BT253" s="145">
        <f>IF(VACnom&lt;Vbat, Table7[[#This Row],[Duty Cycle]]*Table7[[#This Row],[I_L RMS]]^2*C_MOSFET_S_RDSON_H_BU*10^-3, (1-Table7[[#This Row],[Duty Cycle]])*Table7[[#This Row],[I_L RMS]]^2*C_MOSFET_S_RDSON_H_BO*10^-3)/10^-3</f>
        <v>65.959613051696877</v>
      </c>
      <c r="BU253" s="145">
        <f>IF(VACnom&gt;Vbat, Table7[[#This Row],[PIV (mW) C]]+Table7[[#This Row],[PQoss (mW) C]]+Table7[[#This Row],[Pgate_top (mW) C]], Table7[[#This Row],[PRR (mW) C]]+Table7[[#This Row],[Pdead (mW) C]]+Table7[[#This Row],[Pgate_top (mW) C]])</f>
        <v>1556.815156391051</v>
      </c>
      <c r="BV253" s="145">
        <f>Table7[[#This Row],[Pcon_top (mW) C]]+Table7[[#This Row],[Psw_top (mW) C]]</f>
        <v>1622.7747694427478</v>
      </c>
      <c r="BW253" s="145">
        <f>IF(VACnom&gt;Vbat, (1-Table7[[#This Row],[Duty Cycle]])*Table7[[#This Row],[I_L RMS]]^2*C_MOSFET_S_RDSON_L_BU*10^-3, Table7[[#This Row],[Duty Cycle]]*Table7[[#This Row],[I_L RMS]]^2*C_MOSFET_S_RDSON_L_BO*10^-3)/10^-3</f>
        <v>43.127439303032567</v>
      </c>
      <c r="BX253" s="145">
        <f>IF(VACnom&gt;Vbat, Table7[[#This Row],[PRR (mW) C]]+Table7[[#This Row],[Pdead (mW) C]]+Table7[[#This Row],[Pgate_bottom (mW) C]], Table7[[#This Row],[PIV (mW) C]]+Table7[[#This Row],[PQoss (mW) C]]+Table7[[#This Row],[Pgate_bottom (mW) C]])</f>
        <v>1807.1846956521747</v>
      </c>
      <c r="BY253" s="145">
        <f>Table7[[#This Row],[Pcon_bottom (mW) C]]+Table7[[#This Row],[Psw_bottom (mV) C]]</f>
        <v>1850.3121349552073</v>
      </c>
      <c r="BZ253" s="145">
        <f>Table7[[#This Row],[Pbottom (mW) C]]+Table7[[#This Row],[Ptop (mW) C]]</f>
        <v>3473.0869043979551</v>
      </c>
      <c r="CA253" s="148"/>
      <c r="CB253" s="144">
        <f>(RAC_SNS*10^-3*(Table7[[#This Row],[IOUT (A)]]*Vbat/VACnom)^2/10^-3)</f>
        <v>2333.9300189035926</v>
      </c>
      <c r="CC253" s="144">
        <f>(RBAT_SNS*10^-3*Table7[[#This Row],[IOUT (A)]]^2)/10^-3</f>
        <v>6097.0320000000002</v>
      </c>
      <c r="CD253" s="144">
        <f>IF(VACnom&gt;Vbat,(L_DRC*10^-3*(Table7[[#This Row],[IOUT (A)]])^2/10^-3),(L_DRC*10^-3*(Table7[[#This Row],[IOUT (A)]]*Vbat/VACnom)^2/10^-3))</f>
        <v>6097.0320000000002</v>
      </c>
      <c r="CE253" s="152"/>
      <c r="CF253" s="145">
        <f>(Table7[[#This Row],[R_AC (mW)]]+Table7[[#This Row],[R_SR (mW)]]+Table7[[#This Row],[Inductor Loss (mW)]])/10^3</f>
        <v>14.527994018903591</v>
      </c>
      <c r="CG253" s="145" t="e">
        <f ca="1">Table7[[#This Row],[Total TI (mW)]]/10^3</f>
        <v>#VALUE!</v>
      </c>
      <c r="CH253" s="145" t="e">
        <f ca="1">Table7[[#This Row],[Total Sense Loss]]+Table7[[#This Row],[Total MOSFET Loss]]</f>
        <v>#VALUE!</v>
      </c>
      <c r="CI253" s="149" t="e">
        <f ca="1">IF(Table7[[#This Row],[POUT (W)]]=0,0,(Table7[[#This Row],[POUT (W)]])/(Table7[[#This Row],[POUT (W)]]+Table7[[#This Row],[Total Power Loss (W)]]))*100</f>
        <v>#VALUE!</v>
      </c>
      <c r="CJ253" s="153"/>
      <c r="CK253" s="145">
        <f>(Table7[[#This Row],[R_AC (mW)]]+Table7[[#This Row],[R_SR (mW)]]+Table7[[#This Row],[Inductor Loss (mW)]])/10^3</f>
        <v>14.527994018903591</v>
      </c>
      <c r="CL253" s="145">
        <f>Table7[[#This Row],[Total (mW) C]]/10^3</f>
        <v>3.4730869043979551</v>
      </c>
      <c r="CM253" s="145">
        <f>Table7[[#This Row],[Total Sense Loss C]]+Table7[[#This Row],[Total MOSFET Loss C]]</f>
        <v>18.001080923301547</v>
      </c>
      <c r="CN253" s="149">
        <f>IF(Table7[[#This Row],[POUT (W)]]=0,0,(Table7[[#This Row],[POUT (W)]])/(Table7[[#This Row],[POUT (W)]]+Table7[[#This Row],[Total Power Loss (W) C]]))*100</f>
        <v>98.618550086037175</v>
      </c>
      <c r="CO253" s="153"/>
      <c r="CP253" s="149">
        <f>IF(MOSFET_S=Custom_MOSFET,Table7[[#This Row],[Total Sense Loss C]],Table7[[#This Row],[Total Sense Loss]])</f>
        <v>14.527994018903591</v>
      </c>
      <c r="CQ253" s="149">
        <f>IF(MOSFET_S=Custom_MOSFET,Table7[[#This Row],[Total MOSFET Loss C]],Table7[[#This Row],[Total MOSFET Loss]])</f>
        <v>3.4730869043979551</v>
      </c>
      <c r="CR253" s="149">
        <f>IF(MOSFET_S=Custom_MOSFET,Table7[[#This Row],[Efficiency C]],Table7[[#This Row],[Efficiency]])</f>
        <v>98.618550086037175</v>
      </c>
      <c r="CS253" s="153"/>
      <c r="CT253" s="149">
        <f>IF(MOSFET_S=Compare_MOSFET, Table7[[#This Row],[Total Sense Loss C]], -100)</f>
        <v>-100</v>
      </c>
      <c r="CU253" s="149">
        <f>IF(MOSFET_S=Compare_MOSFET, Table7[[#This Row],[Total MOSFET Loss C]], -100)</f>
        <v>-100</v>
      </c>
      <c r="CV253" s="149">
        <f>IF(MOSFET_S=Compare_MOSFET, Table7[[#This Row],[Efficiency C]], -100)</f>
        <v>-100</v>
      </c>
      <c r="CW253" s="153"/>
      <c r="CX253" s="149">
        <f ca="1">IF(Save_Sel=CLR_Save,  Table7[[#This Row],[Total Sense Loss P1]], Table7[[#This Row],[Total Sense Loss P1 Saved]])</f>
        <v>14.527994018903591</v>
      </c>
      <c r="CY253" s="149">
        <f ca="1">IF(Save_Sel=CLR_Save,  Table7[[#This Row],[Total MOSFET Loss P1]], Table7[[#This Row],[Total MOSFET Loss P1 Saved]] )</f>
        <v>3.4730869043979551</v>
      </c>
      <c r="CZ253" s="149">
        <f ca="1">IF(Save_Sel=CLR_Save, Table7[[#This Row],[Efficiency P1]], Table7[[#This Row],[Efficiency P1 Saved]])</f>
        <v>98.618550086037175</v>
      </c>
      <c r="DA253" s="153"/>
      <c r="DB253" s="149">
        <f ca="1">IF(Save_Sel=CLR_Save,  Table7[[#This Row],[Total Sense Loss P2]], Table7[[#This Row],[Total Sense Loss P2 Saved]])</f>
        <v>-100</v>
      </c>
      <c r="DC253" s="149">
        <f ca="1">IF(Save_Sel=CLR_Save,  Table7[[#This Row],[Total MOSFET Loss P2]], Table7[[#This Row],[Total MOSFET Loss P2 Saved]] )</f>
        <v>-100</v>
      </c>
      <c r="DD253" s="149">
        <f ca="1">IF(Save_Sel=CLR_Save, Table7[[#This Row],[Efficiency P2]], Table7[[#This Row],[Efficiency P2 Saved]])</f>
        <v>-100</v>
      </c>
      <c r="DE253" s="153"/>
      <c r="DF253" s="19"/>
      <c r="DG253" s="19"/>
      <c r="DH253" s="19"/>
      <c r="DI253" s="19"/>
      <c r="DJ253" s="19"/>
      <c r="DK253" s="19"/>
      <c r="DL253" s="19"/>
      <c r="DM253" s="19"/>
      <c r="DN253" s="19"/>
      <c r="DO253" s="19"/>
      <c r="DP253" s="19"/>
      <c r="DQ253" s="19"/>
      <c r="DR253" s="19"/>
      <c r="DS253" s="19"/>
      <c r="DT253" s="19"/>
      <c r="DU253" s="19"/>
      <c r="DV253" s="19"/>
      <c r="DW253" s="19"/>
      <c r="DX253" s="19"/>
      <c r="DY253" s="19"/>
      <c r="DZ253" s="19"/>
      <c r="EA253" s="19"/>
      <c r="EB253" s="19"/>
      <c r="EC253" s="19"/>
      <c r="ED253" s="19"/>
      <c r="EE253" s="19"/>
      <c r="EF253" s="19"/>
      <c r="EG253" s="19"/>
      <c r="EH253" s="19"/>
      <c r="EI253" s="19"/>
      <c r="EJ253" s="19"/>
      <c r="EK253" s="19"/>
      <c r="EL253" s="19"/>
      <c r="EM253" s="19"/>
      <c r="EN253" s="19"/>
      <c r="EO253" s="19"/>
      <c r="EP253" s="19"/>
      <c r="EQ253" s="19"/>
      <c r="ER253" s="19"/>
      <c r="ES253" s="19"/>
      <c r="ET253" s="19"/>
      <c r="EU253" s="19"/>
      <c r="EV253" s="19"/>
      <c r="EW253" s="19"/>
      <c r="EX253" s="19"/>
      <c r="EY253" s="19"/>
      <c r="EZ253" s="19"/>
      <c r="FA253" s="19"/>
      <c r="FB253" s="19"/>
      <c r="FC253" s="19"/>
      <c r="FD253" s="19"/>
      <c r="FE253" s="19"/>
      <c r="FF253" s="19"/>
      <c r="FG253" s="19"/>
      <c r="FH253" s="19"/>
      <c r="FI253" s="19"/>
    </row>
    <row r="254" spans="1:165" x14ac:dyDescent="0.25">
      <c r="A254" s="67"/>
      <c r="B254" s="67"/>
      <c r="C254" s="67"/>
      <c r="D254" s="67"/>
      <c r="E254" s="67"/>
      <c r="F254" s="67"/>
      <c r="G254" s="67"/>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43">
        <f t="shared" si="54"/>
        <v>98</v>
      </c>
      <c r="AG254" s="143">
        <f t="shared" si="59"/>
        <v>35.28</v>
      </c>
      <c r="AH254" s="144">
        <f t="shared" si="57"/>
        <v>1298.3039999999999</v>
      </c>
      <c r="AI254" s="145">
        <f t="shared" si="43"/>
        <v>0.97826086956521752</v>
      </c>
      <c r="AJ254" s="145">
        <f t="shared" si="58"/>
        <v>34.513043478260876</v>
      </c>
      <c r="AK254" s="145">
        <f t="shared" si="55"/>
        <v>0.39130434782608459</v>
      </c>
      <c r="AL254" s="145">
        <f t="shared" si="56"/>
        <v>34.513228334317134</v>
      </c>
      <c r="AM254" s="146"/>
      <c r="AN254" s="145">
        <f>MAX(0,Table7[[#This Row],[I_L]]-0.5*Table7[[#This Row],[I_L pkpk]])</f>
        <v>34.317391304347836</v>
      </c>
      <c r="AO254" s="145">
        <f>Table7[[#This Row],[I_L]]+0.5*Table7[[#This Row],[I_L pkpk]]</f>
        <v>34.708695652173915</v>
      </c>
      <c r="AP254" s="145">
        <f ca="1">IF(VACnom&gt;Vbat, (VGS_S-(TI_MOSFET_S_VTH_H_BU+Table7[[#This Row],[I_L]]/TI_MOSFET_S_gFS_H_BU))/3.4, (VGS_S-(TI_MOSFET_S_VTH_L_BO+Table7[[#This Row],[I_L]]/TI_MOSFET_S_gFS_L_BO))/3.4 )</f>
        <v>2.9366220735785955</v>
      </c>
      <c r="AQ254" s="145">
        <f ca="1">IF(VACnom&gt;Vbat, ((TI_MOSFET_S_VTH_H_BU+Table7[[#This Row],[I_L]]/TI_MOSFET_S_gFS_H_BU))/1, ((TI_MOSFET_S_VTH_L_BO+Table7[[#This Row],[I_L]]/TI_MOSFET_S_gFS_L_BO))/1 )</f>
        <v>2.0154849498327758</v>
      </c>
      <c r="AR254" s="145">
        <f ca="1">IF(VACnom&gt;Vbat, (TI_MOSFET_S_QGD_H_BU+TI_MOSFET_S_QGS_H_BU)*10^-9/Table7[[#This Row],[Ion (A)]], (TI_MOSFET_S_QGD_L_BO+TI_MOSFET_S_QGS_L_BO)*10^-9/Table7[[#This Row],[Ion (A)]])/10^-9</f>
        <v>9.8071863789078062</v>
      </c>
      <c r="AS254" s="145">
        <f ca="1">IF(VACnom&gt;Vbat, (TI_MOSFET_S_QGD_H_BU+TI_MOSFET_S_QGS_H_BU)*10^-9/Table7[[#This Row],[Ioff (A)]], (TI_MOSFET_S_QGD_L_BO+TI_MOSFET_S_QGS_L_BO)*10^-9/Table7[[#This Row],[Ioff (A)]])/10^-9</f>
        <v>14.289364950301181</v>
      </c>
      <c r="AT254" s="145">
        <f ca="1" xml:space="preserve"> 0.5*VACnom*Table7[[#This Row],[Ivalley (A)]]*Table7[[#This Row],[ton (ns)]]*10^-9*Fsw*10^3+0.5*VACnom*Table7[[#This Row],[Ipeak (A)]]*Table7[[#This Row],[toff (ns)]]*10^-9*Fsw*10^3/10^-3</f>
        <v>1826.3905363254889</v>
      </c>
      <c r="AU254" s="145">
        <f t="shared" ca="1" si="45"/>
        <v>268.64000000000004</v>
      </c>
      <c r="AV254" s="145" t="e">
        <f t="shared" si="46"/>
        <v>#VALUE!</v>
      </c>
      <c r="AW254" s="145">
        <f t="shared" ca="1" si="47"/>
        <v>566.72000000000025</v>
      </c>
      <c r="AX254" s="145">
        <f ca="1">IF(VACnom&gt;Vbat, TI_MOSFET_S_VSD_L_BU*Table7[[#This Row],[Ivalley (A)]]*Fsw*10^3*40*10^-9+TI_MOSFET_S_VSD_L_BU*Table7[[#This Row],[Ipeak (A)]]*Fsw*10^3*30*10^-9, TI_MOSFET_S_VSD_H_BO*Table7[[#This Row],[Ivalley (A)]]*Fsw*10^3*40*10^-9+TI_MOSFET_S_VSD_H_BO*Table7[[#This Row],[Ipeak (A)]]*Fsw*10^3*30*10^-9)/10^-3</f>
        <v>347.60973913043495</v>
      </c>
      <c r="AY254" s="145" t="e">
        <f t="shared" si="48"/>
        <v>#VALUE!</v>
      </c>
      <c r="AZ254" s="145" t="e">
        <f>IF(VACnom&lt;Vbat, Table7[[#This Row],[Duty Cycle]]*Table7[[#This Row],[I_L RMS]]^2*TI_MOSFET_S_RDSON_H_BU*10^-3, (1-Table7[[#This Row],[Duty Cycle]])*Table7[[#This Row],[I_L RMS]]^2*TI_MOSFET_S_RDSON_H_BO*10^-3)/10^-3</f>
        <v>#VALUE!</v>
      </c>
      <c r="BA254" s="145" t="e">
        <f ca="1">IF(VACnom&gt;Vbat, Table7[[#This Row],[PIV (mW)]]+Table7[[#This Row],[Pqoss (mW)]]+Table7[[#This Row],[Pgate_top (mW)]], Table7[[#This Row],[PRR (mW)]]+Table7[[#This Row],[Pdead (mW)]]+Table7[[#This Row],[Pgate_top (mW)]])</f>
        <v>#VALUE!</v>
      </c>
      <c r="BB254" s="145" t="e">
        <f ca="1">Table7[[#This Row],[Pcon_top (mW)]]+Table7[[#This Row],[Psw_top (mW)]]</f>
        <v>#VALUE!</v>
      </c>
      <c r="BC254" s="145" t="e">
        <f>IF(VACnom&gt;Vbat, (1-Table7[[#This Row],[Duty Cycle]])*Table7[[#This Row],[I_L RMS]]^2*TI_MOSFET_S_RDSON_L_BU*10^-3, Table7[[#This Row],[Duty Cycle]]*Table7[[#This Row],[I_L RMS]]^2*TI_MOSFET_S_RDSON_L_BO*10^-3)/10^-3</f>
        <v>#VALUE!</v>
      </c>
      <c r="BD254" s="145" t="e">
        <f ca="1">IF(VACnom&gt;Vbat, Table7[[#This Row],[PRR (mW)]]+Table7[[#This Row],[Pdead (mW)]]+Table7[[#This Row],[Pgate_bottom (mW)]], Table7[[#This Row],[PIV (mW)]]+Table7[[#This Row],[Pqoss (mW)]]+Table7[[#This Row],[Pgate_bottom (mW)]])</f>
        <v>#VALUE!</v>
      </c>
      <c r="BE254" s="147" t="e">
        <f ca="1">Table7[[#This Row],[Pcon_bottom (mW)]]+Table7[[#This Row],[Psw_bottom (mW)]]</f>
        <v>#VALUE!</v>
      </c>
      <c r="BF254" s="145" t="e">
        <f ca="1">Table7[[#This Row],[Pbottom (mW)]]+Table7[[#This Row],[Ptop (mW)]]</f>
        <v>#VALUE!</v>
      </c>
      <c r="BG254" s="142"/>
      <c r="BH254" s="145">
        <f>MAX(0,Table7[[#This Row],[I_L]]-0.5*Table7[[#This Row],[I_L pkpk]])</f>
        <v>34.317391304347836</v>
      </c>
      <c r="BI254" s="145">
        <f>Table7[[#This Row],[I_L]]+0.5*Table7[[#This Row],[I_L pkpk]]</f>
        <v>34.708695652173915</v>
      </c>
      <c r="BJ254" s="145">
        <f>IF(VACnom&gt;Vbat, (VGS_S-(C_MOSFET_S_VTH_H_BU+Table7[[#This Row],[I_L]]/C_MOSFET_S_gFS_H_BU))/3.4, (VGS_S-(C_MOSFET_S_VTH_L_BO+Table7[[#This Row],[I_L]]/C_MOSFET_S_gFS_L_BO))/3.4 )</f>
        <v>2.8830805185642472</v>
      </c>
      <c r="BK254" s="145">
        <f>IF(VACnom&gt;Vbat, ((C_MOSFET_S_VTH_H_BU+Table7[[#This Row],[I_L]]/C_MOSFET_S_gFS_H_BU))/1, ((C_MOSFET_S_VTH_L_BO+Table7[[#This Row],[I_L]]/C_MOSFET_S_gFS_L_BO))/1 )</f>
        <v>2.1975262368815591</v>
      </c>
      <c r="BL254" s="145">
        <f>IF(VACnom&gt;Vbat, (C_MOSFET_S_QGD_H_BU+C_MOSFET_S_QGS_H_BU)*10^-9/Table7[[#This Row],[Ion (A) C]], (C_MOSFET_S_QGD_L_BO+C_MOSFET_S_QGS_L_BO)*10^-9/Table7[[#This Row],[Ion (A) C]])/10^-9</f>
        <v>5.376193935686155</v>
      </c>
      <c r="BM254" s="145">
        <f>IF(VACnom&gt;Vbat, (C_MOSFET_S_QGD_H_BU+C_MOSFET_S_QGS_H_BU)*10^-9/Table7[[#This Row],[Ioff (A) C]], (C_MOSFET_S_QGD_L_BO+C_MOSFET_S_QGS_L_BO)*10^-9/Table7[[#This Row],[Ioff (A) C]])/10^-9</f>
        <v>7.0533856387514922</v>
      </c>
      <c r="BN254" s="145">
        <f xml:space="preserve"> 0.5*VACnom*Table7[[#This Row],[Ivalley (A) C]]*Table7[[#This Row],[ton (ns) C]]*10^-9*Fsw*10^3+0.5*VACnom*Table7[[#This Row],[Ipeak (A) C]]*Table7[[#This Row],[toff (ns) C]]*10^-9*Fsw*10^3/10^-3</f>
        <v>901.59378964620078</v>
      </c>
      <c r="BO254" s="145">
        <f t="shared" si="49"/>
        <v>305.44000000000011</v>
      </c>
      <c r="BP254" s="145">
        <f t="shared" si="50"/>
        <v>357.69600000000014</v>
      </c>
      <c r="BQ254" s="145">
        <f t="shared" si="51"/>
        <v>1067.2000000000003</v>
      </c>
      <c r="BR254" s="145">
        <f>IF(VACnom&gt;Vbat, C_MOSFET_S_VSD_L_BU*Table7[[#This Row],[Ivalley (A) C]]*Fsw*10^3*40*10^-9+C_MOSFET_S_VSD_L_BU*Table7[[#This Row],[Ipeak (A) C]]*Fsw*10^3*30*10^-9, C_MOSFET_S_VSD_H_BO*Table7[[#This Row],[Ivalley (A) C]]*Fsw*10^3*40*10^-9+C_MOSFET_S_VSD_H_BO*Table7[[#This Row],[Ipeak (A) C]]*Fsw*10^3*30*10^-9)/10^-3</f>
        <v>386.23304347826115</v>
      </c>
      <c r="BS254" s="145">
        <f t="shared" si="52"/>
        <v>357.69600000000014</v>
      </c>
      <c r="BT254" s="145">
        <f>IF(VACnom&lt;Vbat, Table7[[#This Row],[Duty Cycle]]*Table7[[#This Row],[I_L RMS]]^2*C_MOSFET_S_RDSON_H_BU*10^-3, (1-Table7[[#This Row],[Duty Cycle]])*Table7[[#This Row],[I_L RMS]]^2*C_MOSFET_S_RDSON_H_BO*10^-3)/10^-3</f>
        <v>67.32660039450937</v>
      </c>
      <c r="BU254" s="145">
        <f>IF(VACnom&gt;Vbat, Table7[[#This Row],[PIV (mW) C]]+Table7[[#This Row],[PQoss (mW) C]]+Table7[[#This Row],[Pgate_top (mW) C]], Table7[[#This Row],[PRR (mW) C]]+Table7[[#This Row],[Pdead (mW) C]]+Table7[[#This Row],[Pgate_top (mW) C]])</f>
        <v>1564.729789646201</v>
      </c>
      <c r="BV254" s="145">
        <f>Table7[[#This Row],[Pcon_top (mW) C]]+Table7[[#This Row],[Psw_top (mW) C]]</f>
        <v>1632.0563900407103</v>
      </c>
      <c r="BW254" s="145">
        <f>IF(VACnom&gt;Vbat, (1-Table7[[#This Row],[Duty Cycle]])*Table7[[#This Row],[I_L RMS]]^2*C_MOSFET_S_RDSON_L_BU*10^-3, Table7[[#This Row],[Duty Cycle]]*Table7[[#This Row],[I_L RMS]]^2*C_MOSFET_S_RDSON_L_BO*10^-3)/10^-3</f>
        <v>44.021238719486895</v>
      </c>
      <c r="BX254" s="145">
        <f>IF(VACnom&gt;Vbat, Table7[[#This Row],[PRR (mW) C]]+Table7[[#This Row],[Pdead (mW) C]]+Table7[[#This Row],[Pgate_bottom (mW) C]], Table7[[#This Row],[PIV (mW) C]]+Table7[[#This Row],[PQoss (mW) C]]+Table7[[#This Row],[Pgate_bottom (mW) C]])</f>
        <v>1811.1290434782616</v>
      </c>
      <c r="BY254" s="145">
        <f>Table7[[#This Row],[Pcon_bottom (mW) C]]+Table7[[#This Row],[Psw_bottom (mV) C]]</f>
        <v>1855.1502821977485</v>
      </c>
      <c r="BZ254" s="145">
        <f>Table7[[#This Row],[Pbottom (mW) C]]+Table7[[#This Row],[Ptop (mW) C]]</f>
        <v>3487.2066722384589</v>
      </c>
      <c r="CA254" s="148"/>
      <c r="CB254" s="144">
        <f>(RAC_SNS*10^-3*(Table7[[#This Row],[IOUT (A)]]*Vbat/VACnom)^2/10^-3)</f>
        <v>2382.30034026465</v>
      </c>
      <c r="CC254" s="144">
        <f>(RBAT_SNS*10^-3*Table7[[#This Row],[IOUT (A)]]^2)/10^-3</f>
        <v>6223.3920000000007</v>
      </c>
      <c r="CD254" s="144">
        <f>IF(VACnom&gt;Vbat,(L_DRC*10^-3*(Table7[[#This Row],[IOUT (A)]])^2/10^-3),(L_DRC*10^-3*(Table7[[#This Row],[IOUT (A)]]*Vbat/VACnom)^2/10^-3))</f>
        <v>6223.3920000000007</v>
      </c>
      <c r="CE254" s="152"/>
      <c r="CF254" s="145">
        <f>(Table7[[#This Row],[R_AC (mW)]]+Table7[[#This Row],[R_SR (mW)]]+Table7[[#This Row],[Inductor Loss (mW)]])/10^3</f>
        <v>14.82908434026465</v>
      </c>
      <c r="CG254" s="145" t="e">
        <f ca="1">Table7[[#This Row],[Total TI (mW)]]/10^3</f>
        <v>#VALUE!</v>
      </c>
      <c r="CH254" s="145" t="e">
        <f ca="1">Table7[[#This Row],[Total Sense Loss]]+Table7[[#This Row],[Total MOSFET Loss]]</f>
        <v>#VALUE!</v>
      </c>
      <c r="CI254" s="149" t="e">
        <f ca="1">IF(Table7[[#This Row],[POUT (W)]]=0,0,(Table7[[#This Row],[POUT (W)]])/(Table7[[#This Row],[POUT (W)]]+Table7[[#This Row],[Total Power Loss (W)]]))*100</f>
        <v>#VALUE!</v>
      </c>
      <c r="CJ254" s="153"/>
      <c r="CK254" s="145">
        <f>(Table7[[#This Row],[R_AC (mW)]]+Table7[[#This Row],[R_SR (mW)]]+Table7[[#This Row],[Inductor Loss (mW)]])/10^3</f>
        <v>14.82908434026465</v>
      </c>
      <c r="CL254" s="145">
        <f>Table7[[#This Row],[Total (mW) C]]/10^3</f>
        <v>3.4872066722384587</v>
      </c>
      <c r="CM254" s="145">
        <f>Table7[[#This Row],[Total Sense Loss C]]+Table7[[#This Row],[Total MOSFET Loss C]]</f>
        <v>18.316291012503108</v>
      </c>
      <c r="CN254" s="149">
        <f>IF(Table7[[#This Row],[POUT (W)]]=0,0,(Table7[[#This Row],[POUT (W)]])/(Table7[[#This Row],[POUT (W)]]+Table7[[#This Row],[Total Power Loss (W) C]]))*100</f>
        <v>98.608840290740346</v>
      </c>
      <c r="CO254" s="153"/>
      <c r="CP254" s="149">
        <f>IF(MOSFET_S=Custom_MOSFET,Table7[[#This Row],[Total Sense Loss C]],Table7[[#This Row],[Total Sense Loss]])</f>
        <v>14.82908434026465</v>
      </c>
      <c r="CQ254" s="149">
        <f>IF(MOSFET_S=Custom_MOSFET,Table7[[#This Row],[Total MOSFET Loss C]],Table7[[#This Row],[Total MOSFET Loss]])</f>
        <v>3.4872066722384587</v>
      </c>
      <c r="CR254" s="149">
        <f>IF(MOSFET_S=Custom_MOSFET,Table7[[#This Row],[Efficiency C]],Table7[[#This Row],[Efficiency]])</f>
        <v>98.608840290740346</v>
      </c>
      <c r="CS254" s="153"/>
      <c r="CT254" s="149">
        <f>IF(MOSFET_S=Compare_MOSFET, Table7[[#This Row],[Total Sense Loss C]], -100)</f>
        <v>-100</v>
      </c>
      <c r="CU254" s="149">
        <f>IF(MOSFET_S=Compare_MOSFET, Table7[[#This Row],[Total MOSFET Loss C]], -100)</f>
        <v>-100</v>
      </c>
      <c r="CV254" s="149">
        <f>IF(MOSFET_S=Compare_MOSFET, Table7[[#This Row],[Efficiency C]], -100)</f>
        <v>-100</v>
      </c>
      <c r="CW254" s="153"/>
      <c r="CX254" s="149">
        <f ca="1">IF(Save_Sel=CLR_Save,  Table7[[#This Row],[Total Sense Loss P1]], Table7[[#This Row],[Total Sense Loss P1 Saved]])</f>
        <v>14.82908434026465</v>
      </c>
      <c r="CY254" s="149">
        <f ca="1">IF(Save_Sel=CLR_Save,  Table7[[#This Row],[Total MOSFET Loss P1]], Table7[[#This Row],[Total MOSFET Loss P1 Saved]] )</f>
        <v>3.4872066722384587</v>
      </c>
      <c r="CZ254" s="149">
        <f ca="1">IF(Save_Sel=CLR_Save, Table7[[#This Row],[Efficiency P1]], Table7[[#This Row],[Efficiency P1 Saved]])</f>
        <v>98.608840290740346</v>
      </c>
      <c r="DA254" s="153"/>
      <c r="DB254" s="149">
        <f ca="1">IF(Save_Sel=CLR_Save,  Table7[[#This Row],[Total Sense Loss P2]], Table7[[#This Row],[Total Sense Loss P2 Saved]])</f>
        <v>-100</v>
      </c>
      <c r="DC254" s="149">
        <f ca="1">IF(Save_Sel=CLR_Save,  Table7[[#This Row],[Total MOSFET Loss P2]], Table7[[#This Row],[Total MOSFET Loss P2 Saved]] )</f>
        <v>-100</v>
      </c>
      <c r="DD254" s="149">
        <f ca="1">IF(Save_Sel=CLR_Save, Table7[[#This Row],[Efficiency P2]], Table7[[#This Row],[Efficiency P2 Saved]])</f>
        <v>-100</v>
      </c>
      <c r="DE254" s="153"/>
      <c r="DF254" s="19"/>
      <c r="DG254" s="19"/>
      <c r="DH254" s="19"/>
      <c r="DI254" s="19"/>
      <c r="DJ254" s="19"/>
      <c r="DK254" s="19"/>
      <c r="DL254" s="19"/>
      <c r="DM254" s="19"/>
      <c r="DN254" s="19"/>
      <c r="DO254" s="19"/>
      <c r="DP254" s="19"/>
      <c r="DQ254" s="19"/>
      <c r="DR254" s="19"/>
      <c r="DS254" s="19"/>
      <c r="DT254" s="19"/>
      <c r="DU254" s="19"/>
      <c r="DV254" s="19"/>
      <c r="DW254" s="19"/>
      <c r="DX254" s="19"/>
      <c r="DY254" s="19"/>
      <c r="DZ254" s="19"/>
      <c r="EA254" s="19"/>
      <c r="EB254" s="19"/>
      <c r="EC254" s="19"/>
      <c r="ED254" s="19"/>
      <c r="EE254" s="19"/>
      <c r="EF254" s="19"/>
      <c r="EG254" s="19"/>
      <c r="EH254" s="19"/>
      <c r="EI254" s="19"/>
      <c r="EJ254" s="19"/>
      <c r="EK254" s="19"/>
      <c r="EL254" s="19"/>
      <c r="EM254" s="19"/>
      <c r="EN254" s="19"/>
      <c r="EO254" s="19"/>
      <c r="EP254" s="19"/>
      <c r="EQ254" s="19"/>
      <c r="ER254" s="19"/>
      <c r="ES254" s="19"/>
      <c r="ET254" s="19"/>
      <c r="EU254" s="19"/>
      <c r="EV254" s="19"/>
      <c r="EW254" s="19"/>
      <c r="EX254" s="19"/>
      <c r="EY254" s="19"/>
      <c r="EZ254" s="19"/>
      <c r="FA254" s="19"/>
      <c r="FB254" s="19"/>
      <c r="FC254" s="19"/>
      <c r="FD254" s="19"/>
      <c r="FE254" s="19"/>
      <c r="FF254" s="19"/>
      <c r="FG254" s="19"/>
      <c r="FH254" s="19"/>
      <c r="FI254" s="19"/>
    </row>
    <row r="255" spans="1:165" x14ac:dyDescent="0.25">
      <c r="A255" s="67"/>
      <c r="B255" s="67"/>
      <c r="C255" s="67"/>
      <c r="D255" s="67"/>
      <c r="E255" s="67"/>
      <c r="F255" s="67"/>
      <c r="G255" s="67"/>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43">
        <f t="shared" si="54"/>
        <v>99</v>
      </c>
      <c r="AG255" s="143">
        <f t="shared" si="59"/>
        <v>35.64</v>
      </c>
      <c r="AH255" s="144">
        <f t="shared" si="57"/>
        <v>1311.5519999999999</v>
      </c>
      <c r="AI255" s="145">
        <f t="shared" si="43"/>
        <v>0.97826086956521752</v>
      </c>
      <c r="AJ255" s="145">
        <f t="shared" si="58"/>
        <v>34.865217391304355</v>
      </c>
      <c r="AK255" s="145">
        <f t="shared" si="55"/>
        <v>0.39130434782608459</v>
      </c>
      <c r="AL255" s="145">
        <f t="shared" si="56"/>
        <v>34.865400380137572</v>
      </c>
      <c r="AM255" s="146"/>
      <c r="AN255" s="145">
        <f>MAX(0,Table7[[#This Row],[I_L]]-0.5*Table7[[#This Row],[I_L pkpk]])</f>
        <v>34.669565217391316</v>
      </c>
      <c r="AO255" s="145">
        <f>Table7[[#This Row],[I_L]]+0.5*Table7[[#This Row],[I_L pkpk]]</f>
        <v>35.060869565217395</v>
      </c>
      <c r="AP255" s="145">
        <f ca="1">IF(VACnom&gt;Vbat, (VGS_S-(TI_MOSFET_S_VTH_H_BU+Table7[[#This Row],[I_L]]/TI_MOSFET_S_gFS_H_BU))/3.4, (VGS_S-(TI_MOSFET_S_VTH_L_BO+Table7[[#This Row],[I_L]]/TI_MOSFET_S_gFS_L_BO))/3.4 )</f>
        <v>2.9358253000196735</v>
      </c>
      <c r="AQ255" s="145">
        <f ca="1">IF(VACnom&gt;Vbat, ((TI_MOSFET_S_VTH_H_BU+Table7[[#This Row],[I_L]]/TI_MOSFET_S_gFS_H_BU))/1, ((TI_MOSFET_S_VTH_L_BO+Table7[[#This Row],[I_L]]/TI_MOSFET_S_gFS_L_BO))/1 )</f>
        <v>2.0181939799331103</v>
      </c>
      <c r="AR255" s="145">
        <f ca="1">IF(VACnom&gt;Vbat, (TI_MOSFET_S_QGD_H_BU+TI_MOSFET_S_QGS_H_BU)*10^-9/Table7[[#This Row],[Ion (A)]], (TI_MOSFET_S_QGD_L_BO+TI_MOSFET_S_QGS_L_BO)*10^-9/Table7[[#This Row],[Ion (A)]])/10^-9</f>
        <v>9.8098480177982683</v>
      </c>
      <c r="AS255" s="145">
        <f ca="1">IF(VACnom&gt;Vbat, (TI_MOSFET_S_QGD_H_BU+TI_MOSFET_S_QGS_H_BU)*10^-9/Table7[[#This Row],[Ioff (A)]], (TI_MOSFET_S_QGD_L_BO+TI_MOSFET_S_QGS_L_BO)*10^-9/Table7[[#This Row],[Ioff (A)]])/10^-9</f>
        <v>14.270184276812939</v>
      </c>
      <c r="AT255" s="145">
        <f ca="1" xml:space="preserve"> 0.5*VACnom*Table7[[#This Row],[Ivalley (A)]]*Table7[[#This Row],[ton (ns)]]*10^-9*Fsw*10^3+0.5*VACnom*Table7[[#This Row],[Ipeak (A)]]*Table7[[#This Row],[toff (ns)]]*10^-9*Fsw*10^3/10^-3</f>
        <v>1842.4478357810158</v>
      </c>
      <c r="AU255" s="145">
        <f t="shared" ca="1" si="45"/>
        <v>268.64000000000004</v>
      </c>
      <c r="AV255" s="145" t="e">
        <f t="shared" si="46"/>
        <v>#VALUE!</v>
      </c>
      <c r="AW255" s="145">
        <f t="shared" ca="1" si="47"/>
        <v>566.72000000000025</v>
      </c>
      <c r="AX255" s="145">
        <f ca="1">IF(VACnom&gt;Vbat, TI_MOSFET_S_VSD_L_BU*Table7[[#This Row],[Ivalley (A)]]*Fsw*10^3*40*10^-9+TI_MOSFET_S_VSD_L_BU*Table7[[#This Row],[Ipeak (A)]]*Fsw*10^3*30*10^-9, TI_MOSFET_S_VSD_H_BO*Table7[[#This Row],[Ivalley (A)]]*Fsw*10^3*40*10^-9+TI_MOSFET_S_VSD_H_BO*Table7[[#This Row],[Ipeak (A)]]*Fsw*10^3*30*10^-9)/10^-3</f>
        <v>351.15965217391323</v>
      </c>
      <c r="AY255" s="145" t="e">
        <f t="shared" si="48"/>
        <v>#VALUE!</v>
      </c>
      <c r="AZ255" s="145" t="e">
        <f>IF(VACnom&lt;Vbat, Table7[[#This Row],[Duty Cycle]]*Table7[[#This Row],[I_L RMS]]^2*TI_MOSFET_S_RDSON_H_BU*10^-3, (1-Table7[[#This Row],[Duty Cycle]])*Table7[[#This Row],[I_L RMS]]^2*TI_MOSFET_S_RDSON_H_BO*10^-3)/10^-3</f>
        <v>#VALUE!</v>
      </c>
      <c r="BA255" s="145" t="e">
        <f ca="1">IF(VACnom&gt;Vbat, Table7[[#This Row],[PIV (mW)]]+Table7[[#This Row],[Pqoss (mW)]]+Table7[[#This Row],[Pgate_top (mW)]], Table7[[#This Row],[PRR (mW)]]+Table7[[#This Row],[Pdead (mW)]]+Table7[[#This Row],[Pgate_top (mW)]])</f>
        <v>#VALUE!</v>
      </c>
      <c r="BB255" s="145" t="e">
        <f ca="1">Table7[[#This Row],[Pcon_top (mW)]]+Table7[[#This Row],[Psw_top (mW)]]</f>
        <v>#VALUE!</v>
      </c>
      <c r="BC255" s="145" t="e">
        <f>IF(VACnom&gt;Vbat, (1-Table7[[#This Row],[Duty Cycle]])*Table7[[#This Row],[I_L RMS]]^2*TI_MOSFET_S_RDSON_L_BU*10^-3, Table7[[#This Row],[Duty Cycle]]*Table7[[#This Row],[I_L RMS]]^2*TI_MOSFET_S_RDSON_L_BO*10^-3)/10^-3</f>
        <v>#VALUE!</v>
      </c>
      <c r="BD255" s="145" t="e">
        <f ca="1">IF(VACnom&gt;Vbat, Table7[[#This Row],[PRR (mW)]]+Table7[[#This Row],[Pdead (mW)]]+Table7[[#This Row],[Pgate_bottom (mW)]], Table7[[#This Row],[PIV (mW)]]+Table7[[#This Row],[Pqoss (mW)]]+Table7[[#This Row],[Pgate_bottom (mW)]])</f>
        <v>#VALUE!</v>
      </c>
      <c r="BE255" s="147" t="e">
        <f ca="1">Table7[[#This Row],[Pcon_bottom (mW)]]+Table7[[#This Row],[Psw_bottom (mW)]]</f>
        <v>#VALUE!</v>
      </c>
      <c r="BF255" s="145" t="e">
        <f ca="1">Table7[[#This Row],[Pbottom (mW)]]+Table7[[#This Row],[Ptop (mW)]]</f>
        <v>#VALUE!</v>
      </c>
      <c r="BG255" s="142"/>
      <c r="BH255" s="145">
        <f>MAX(0,Table7[[#This Row],[I_L]]-0.5*Table7[[#This Row],[I_L pkpk]])</f>
        <v>34.669565217391316</v>
      </c>
      <c r="BI255" s="145">
        <f>Table7[[#This Row],[I_L]]+0.5*Table7[[#This Row],[I_L pkpk]]</f>
        <v>35.060869565217395</v>
      </c>
      <c r="BJ255" s="145">
        <f>IF(VACnom&gt;Vbat, (VGS_S-(C_MOSFET_S_VTH_H_BU+Table7[[#This Row],[I_L]]/C_MOSFET_S_gFS_H_BU))/3.4, (VGS_S-(C_MOSFET_S_VTH_L_BO+Table7[[#This Row],[I_L]]/C_MOSFET_S_gFS_L_BO))/3.4 )</f>
        <v>2.8821875826792485</v>
      </c>
      <c r="BK255" s="145">
        <f>IF(VACnom&gt;Vbat, ((C_MOSFET_S_VTH_H_BU+Table7[[#This Row],[I_L]]/C_MOSFET_S_gFS_H_BU))/1, ((C_MOSFET_S_VTH_L_BO+Table7[[#This Row],[I_L]]/C_MOSFET_S_gFS_L_BO))/1 )</f>
        <v>2.2005622188905547</v>
      </c>
      <c r="BL255" s="145">
        <f>IF(VACnom&gt;Vbat, (C_MOSFET_S_QGD_H_BU+C_MOSFET_S_QGS_H_BU)*10^-9/Table7[[#This Row],[Ion (A) C]], (C_MOSFET_S_QGD_L_BO+C_MOSFET_S_QGS_L_BO)*10^-9/Table7[[#This Row],[Ion (A) C]])/10^-9</f>
        <v>5.3778595443088326</v>
      </c>
      <c r="BM255" s="145">
        <f>IF(VACnom&gt;Vbat, (C_MOSFET_S_QGD_H_BU+C_MOSFET_S_QGS_H_BU)*10^-9/Table7[[#This Row],[Ioff (A) C]], (C_MOSFET_S_QGD_L_BO+C_MOSFET_S_QGS_L_BO)*10^-9/Table7[[#This Row],[Ioff (A) C]])/10^-9</f>
        <v>7.0436545110796951</v>
      </c>
      <c r="BN255" s="145">
        <f xml:space="preserve"> 0.5*VACnom*Table7[[#This Row],[Ivalley (A) C]]*Table7[[#This Row],[ton (ns) C]]*10^-9*Fsw*10^3+0.5*VACnom*Table7[[#This Row],[Ipeak (A) C]]*Table7[[#This Row],[toff (ns) C]]*10^-9*Fsw*10^3/10^-3</f>
        <v>909.48660846964799</v>
      </c>
      <c r="BO255" s="145">
        <f t="shared" si="49"/>
        <v>305.44000000000011</v>
      </c>
      <c r="BP255" s="145">
        <f t="shared" si="50"/>
        <v>357.69600000000014</v>
      </c>
      <c r="BQ255" s="145">
        <f t="shared" si="51"/>
        <v>1067.2000000000003</v>
      </c>
      <c r="BR255" s="145">
        <f>IF(VACnom&gt;Vbat, C_MOSFET_S_VSD_L_BU*Table7[[#This Row],[Ivalley (A) C]]*Fsw*10^3*40*10^-9+C_MOSFET_S_VSD_L_BU*Table7[[#This Row],[Ipeak (A) C]]*Fsw*10^3*30*10^-9, C_MOSFET_S_VSD_H_BO*Table7[[#This Row],[Ivalley (A) C]]*Fsw*10^3*40*10^-9+C_MOSFET_S_VSD_H_BO*Table7[[#This Row],[Ipeak (A) C]]*Fsw*10^3*30*10^-9)/10^-3</f>
        <v>390.17739130434813</v>
      </c>
      <c r="BS255" s="145">
        <f t="shared" si="52"/>
        <v>357.69600000000014</v>
      </c>
      <c r="BT255" s="145">
        <f>IF(VACnom&lt;Vbat, Table7[[#This Row],[Duty Cycle]]*Table7[[#This Row],[I_L RMS]]^2*C_MOSFET_S_RDSON_H_BU*10^-3, (1-Table7[[#This Row],[Duty Cycle]])*Table7[[#This Row],[I_L RMS]]^2*C_MOSFET_S_RDSON_H_BO*10^-3)/10^-3</f>
        <v>68.707608120325091</v>
      </c>
      <c r="BU255" s="145">
        <f>IF(VACnom&gt;Vbat, Table7[[#This Row],[PIV (mW) C]]+Table7[[#This Row],[PQoss (mW) C]]+Table7[[#This Row],[Pgate_top (mW) C]], Table7[[#This Row],[PRR (mW) C]]+Table7[[#This Row],[Pdead (mW) C]]+Table7[[#This Row],[Pgate_top (mW) C]])</f>
        <v>1572.6226084696482</v>
      </c>
      <c r="BV255" s="145">
        <f>Table7[[#This Row],[Pcon_top (mW) C]]+Table7[[#This Row],[Psw_top (mW) C]]</f>
        <v>1641.3302165899734</v>
      </c>
      <c r="BW255" s="145">
        <f>IF(VACnom&gt;Vbat, (1-Table7[[#This Row],[Duty Cycle]])*Table7[[#This Row],[I_L RMS]]^2*C_MOSFET_S_RDSON_L_BU*10^-3, Table7[[#This Row],[Duty Cycle]]*Table7[[#This Row],[I_L RMS]]^2*C_MOSFET_S_RDSON_L_BO*10^-3)/10^-3</f>
        <v>44.92420530944333</v>
      </c>
      <c r="BX255" s="145">
        <f>IF(VACnom&gt;Vbat, Table7[[#This Row],[PRR (mW) C]]+Table7[[#This Row],[Pdead (mW) C]]+Table7[[#This Row],[Pgate_bottom (mW) C]], Table7[[#This Row],[PIV (mW) C]]+Table7[[#This Row],[PQoss (mW) C]]+Table7[[#This Row],[Pgate_bottom (mW) C]])</f>
        <v>1815.0733913043484</v>
      </c>
      <c r="BY255" s="145">
        <f>Table7[[#This Row],[Pcon_bottom (mW) C]]+Table7[[#This Row],[Psw_bottom (mV) C]]</f>
        <v>1859.9975966137918</v>
      </c>
      <c r="BZ255" s="145">
        <f>Table7[[#This Row],[Pbottom (mW) C]]+Table7[[#This Row],[Ptop (mW) C]]</f>
        <v>3501.3278132037649</v>
      </c>
      <c r="CA255" s="148"/>
      <c r="CB255" s="144">
        <f>(RAC_SNS*10^-3*(Table7[[#This Row],[IOUT (A)]]*Vbat/VACnom)^2/10^-3)</f>
        <v>2431.1667674858222</v>
      </c>
      <c r="CC255" s="144">
        <f>(RBAT_SNS*10^-3*Table7[[#This Row],[IOUT (A)]]^2)/10^-3</f>
        <v>6351.0480000000007</v>
      </c>
      <c r="CD255" s="144">
        <f>IF(VACnom&gt;Vbat,(L_DRC*10^-3*(Table7[[#This Row],[IOUT (A)]])^2/10^-3),(L_DRC*10^-3*(Table7[[#This Row],[IOUT (A)]]*Vbat/VACnom)^2/10^-3))</f>
        <v>6351.0480000000007</v>
      </c>
      <c r="CE255" s="152"/>
      <c r="CF255" s="145">
        <f>(Table7[[#This Row],[R_AC (mW)]]+Table7[[#This Row],[R_SR (mW)]]+Table7[[#This Row],[Inductor Loss (mW)]])/10^3</f>
        <v>15.133262767485823</v>
      </c>
      <c r="CG255" s="145" t="e">
        <f ca="1">Table7[[#This Row],[Total TI (mW)]]/10^3</f>
        <v>#VALUE!</v>
      </c>
      <c r="CH255" s="145" t="e">
        <f ca="1">Table7[[#This Row],[Total Sense Loss]]+Table7[[#This Row],[Total MOSFET Loss]]</f>
        <v>#VALUE!</v>
      </c>
      <c r="CI255" s="149" t="e">
        <f ca="1">IF(Table7[[#This Row],[POUT (W)]]=0,0,(Table7[[#This Row],[POUT (W)]])/(Table7[[#This Row],[POUT (W)]]+Table7[[#This Row],[Total Power Loss (W)]]))*100</f>
        <v>#VALUE!</v>
      </c>
      <c r="CJ255" s="153"/>
      <c r="CK255" s="145">
        <f>(Table7[[#This Row],[R_AC (mW)]]+Table7[[#This Row],[R_SR (mW)]]+Table7[[#This Row],[Inductor Loss (mW)]])/10^3</f>
        <v>15.133262767485823</v>
      </c>
      <c r="CL255" s="145">
        <f>Table7[[#This Row],[Total (mW) C]]/10^3</f>
        <v>3.5013278132037651</v>
      </c>
      <c r="CM255" s="145">
        <f>Table7[[#This Row],[Total Sense Loss C]]+Table7[[#This Row],[Total MOSFET Loss C]]</f>
        <v>18.634590580689586</v>
      </c>
      <c r="CN255" s="149">
        <f>IF(Table7[[#This Row],[POUT (W)]]=0,0,(Table7[[#This Row],[POUT (W)]])/(Table7[[#This Row],[POUT (W)]]+Table7[[#This Row],[Total Power Loss (W) C]]))*100</f>
        <v>98.599099501329761</v>
      </c>
      <c r="CO255" s="153"/>
      <c r="CP255" s="149">
        <f>IF(MOSFET_S=Custom_MOSFET,Table7[[#This Row],[Total Sense Loss C]],Table7[[#This Row],[Total Sense Loss]])</f>
        <v>15.133262767485823</v>
      </c>
      <c r="CQ255" s="149">
        <f>IF(MOSFET_S=Custom_MOSFET,Table7[[#This Row],[Total MOSFET Loss C]],Table7[[#This Row],[Total MOSFET Loss]])</f>
        <v>3.5013278132037651</v>
      </c>
      <c r="CR255" s="149">
        <f>IF(MOSFET_S=Custom_MOSFET,Table7[[#This Row],[Efficiency C]],Table7[[#This Row],[Efficiency]])</f>
        <v>98.599099501329761</v>
      </c>
      <c r="CS255" s="153"/>
      <c r="CT255" s="149">
        <f>IF(MOSFET_S=Compare_MOSFET, Table7[[#This Row],[Total Sense Loss C]], -100)</f>
        <v>-100</v>
      </c>
      <c r="CU255" s="149">
        <f>IF(MOSFET_S=Compare_MOSFET, Table7[[#This Row],[Total MOSFET Loss C]], -100)</f>
        <v>-100</v>
      </c>
      <c r="CV255" s="149">
        <f>IF(MOSFET_S=Compare_MOSFET, Table7[[#This Row],[Efficiency C]], -100)</f>
        <v>-100</v>
      </c>
      <c r="CW255" s="153"/>
      <c r="CX255" s="149">
        <f ca="1">IF(Save_Sel=CLR_Save,  Table7[[#This Row],[Total Sense Loss P1]], Table7[[#This Row],[Total Sense Loss P1 Saved]])</f>
        <v>15.133262767485823</v>
      </c>
      <c r="CY255" s="149">
        <f ca="1">IF(Save_Sel=CLR_Save,  Table7[[#This Row],[Total MOSFET Loss P1]], Table7[[#This Row],[Total MOSFET Loss P1 Saved]] )</f>
        <v>3.5013278132037651</v>
      </c>
      <c r="CZ255" s="149">
        <f ca="1">IF(Save_Sel=CLR_Save, Table7[[#This Row],[Efficiency P1]], Table7[[#This Row],[Efficiency P1 Saved]])</f>
        <v>98.599099501329761</v>
      </c>
      <c r="DA255" s="153"/>
      <c r="DB255" s="149">
        <f ca="1">IF(Save_Sel=CLR_Save,  Table7[[#This Row],[Total Sense Loss P2]], Table7[[#This Row],[Total Sense Loss P2 Saved]])</f>
        <v>-100</v>
      </c>
      <c r="DC255" s="149">
        <f ca="1">IF(Save_Sel=CLR_Save,  Table7[[#This Row],[Total MOSFET Loss P2]], Table7[[#This Row],[Total MOSFET Loss P2 Saved]] )</f>
        <v>-100</v>
      </c>
      <c r="DD255" s="149">
        <f ca="1">IF(Save_Sel=CLR_Save, Table7[[#This Row],[Efficiency P2]], Table7[[#This Row],[Efficiency P2 Saved]])</f>
        <v>-100</v>
      </c>
      <c r="DE255" s="153"/>
      <c r="DF255" s="19"/>
      <c r="DG255" s="19"/>
      <c r="DH255" s="19"/>
      <c r="DI255" s="19"/>
      <c r="DJ255" s="19"/>
      <c r="DK255" s="19"/>
      <c r="DL255" s="19"/>
      <c r="DM255" s="19"/>
      <c r="DN255" s="19"/>
      <c r="DO255" s="19"/>
      <c r="DP255" s="19"/>
      <c r="DQ255" s="19"/>
      <c r="DR255" s="19"/>
      <c r="DS255" s="19"/>
      <c r="DT255" s="19"/>
      <c r="DU255" s="19"/>
      <c r="DV255" s="19"/>
      <c r="DW255" s="19"/>
      <c r="DX255" s="19"/>
      <c r="DY255" s="19"/>
      <c r="DZ255" s="19"/>
      <c r="EA255" s="19"/>
      <c r="EB255" s="19"/>
      <c r="EC255" s="19"/>
      <c r="ED255" s="19"/>
      <c r="EE255" s="19"/>
      <c r="EF255" s="19"/>
      <c r="EG255" s="19"/>
      <c r="EH255" s="19"/>
      <c r="EI255" s="19"/>
      <c r="EJ255" s="19"/>
      <c r="EK255" s="19"/>
      <c r="EL255" s="19"/>
      <c r="EM255" s="19"/>
      <c r="EN255" s="19"/>
      <c r="EO255" s="19"/>
      <c r="EP255" s="19"/>
      <c r="EQ255" s="19"/>
      <c r="ER255" s="19"/>
      <c r="ES255" s="19"/>
      <c r="ET255" s="19"/>
      <c r="EU255" s="19"/>
      <c r="EV255" s="19"/>
      <c r="EW255" s="19"/>
      <c r="EX255" s="19"/>
      <c r="EY255" s="19"/>
      <c r="EZ255" s="19"/>
      <c r="FA255" s="19"/>
      <c r="FB255" s="19"/>
      <c r="FC255" s="19"/>
      <c r="FD255" s="19"/>
      <c r="FE255" s="19"/>
      <c r="FF255" s="19"/>
      <c r="FG255" s="19"/>
      <c r="FH255" s="19"/>
      <c r="FI255" s="19"/>
    </row>
    <row r="256" spans="1:165" ht="15.75" thickBot="1" x14ac:dyDescent="0.3">
      <c r="A256" s="67"/>
      <c r="B256" s="67"/>
      <c r="C256" s="67"/>
      <c r="D256" s="67"/>
      <c r="E256" s="67"/>
      <c r="F256" s="67"/>
      <c r="G256" s="67"/>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43">
        <f t="shared" si="54"/>
        <v>100</v>
      </c>
      <c r="AG256" s="143">
        <f>Ioutmax</f>
        <v>36</v>
      </c>
      <c r="AH256" s="144">
        <f t="shared" si="57"/>
        <v>1324.8</v>
      </c>
      <c r="AI256" s="145">
        <f t="shared" si="43"/>
        <v>0.97826086956521752</v>
      </c>
      <c r="AJ256" s="145">
        <f t="shared" si="58"/>
        <v>35.217391304347828</v>
      </c>
      <c r="AK256" s="145">
        <f t="shared" si="55"/>
        <v>0.39130434782608459</v>
      </c>
      <c r="AL256" s="145">
        <f t="shared" si="56"/>
        <v>35.217572463302176</v>
      </c>
      <c r="AM256" s="146"/>
      <c r="AN256" s="145">
        <f>MAX(0,Table7[[#This Row],[I_L]]-0.5*Table7[[#This Row],[I_L pkpk]])</f>
        <v>35.021739130434788</v>
      </c>
      <c r="AO256" s="145">
        <f>Table7[[#This Row],[I_L]]+0.5*Table7[[#This Row],[I_L pkpk]]</f>
        <v>35.413043478260867</v>
      </c>
      <c r="AP256" s="145">
        <f ca="1">IF(VACnom&gt;Vbat, (VGS_S-(TI_MOSFET_S_VTH_H_BU+Table7[[#This Row],[I_L]]/TI_MOSFET_S_gFS_H_BU))/3.4, (VGS_S-(TI_MOSFET_S_VTH_L_BO+Table7[[#This Row],[I_L]]/TI_MOSFET_S_gFS_L_BO))/3.4 )</f>
        <v>2.9350285264607514</v>
      </c>
      <c r="AQ256" s="145">
        <f ca="1">IF(VACnom&gt;Vbat, ((TI_MOSFET_S_VTH_H_BU+Table7[[#This Row],[I_L]]/TI_MOSFET_S_gFS_H_BU))/1, ((TI_MOSFET_S_VTH_L_BO+Table7[[#This Row],[I_L]]/TI_MOSFET_S_gFS_L_BO))/1 )</f>
        <v>2.0209030100334449</v>
      </c>
      <c r="AR256" s="145">
        <f ca="1">IF(VACnom&gt;Vbat, (TI_MOSFET_S_QGD_H_BU+TI_MOSFET_S_QGS_H_BU)*10^-9/Table7[[#This Row],[Ion (A)]], (TI_MOSFET_S_QGD_L_BO+TI_MOSFET_S_QGS_L_BO)*10^-9/Table7[[#This Row],[Ion (A)]])/10^-9</f>
        <v>9.8125111018014248</v>
      </c>
      <c r="AS256" s="145">
        <f ca="1">IF(VACnom&gt;Vbat, (TI_MOSFET_S_QGD_H_BU+TI_MOSFET_S_QGS_H_BU)*10^-9/Table7[[#This Row],[Ioff (A)]], (TI_MOSFET_S_QGD_L_BO+TI_MOSFET_S_QGS_L_BO)*10^-9/Table7[[#This Row],[Ioff (A)]])/10^-9</f>
        <v>14.251055026892843</v>
      </c>
      <c r="AT256" s="145">
        <f ca="1" xml:space="preserve"> 0.5*VACnom*Table7[[#This Row],[Ivalley (A)]]*Table7[[#This Row],[ton (ns)]]*10^-9*Fsw*10^3+0.5*VACnom*Table7[[#This Row],[Ipeak (A)]]*Table7[[#This Row],[toff (ns)]]*10^-9*Fsw*10^3/10^-3</f>
        <v>1858.4621275354759</v>
      </c>
      <c r="AU256" s="145">
        <f t="shared" ca="1" si="45"/>
        <v>268.64000000000004</v>
      </c>
      <c r="AV256" s="145" t="e">
        <f t="shared" si="46"/>
        <v>#VALUE!</v>
      </c>
      <c r="AW256" s="145">
        <f t="shared" ca="1" si="47"/>
        <v>566.72000000000025</v>
      </c>
      <c r="AX256" s="145">
        <f ca="1">IF(VACnom&gt;Vbat, TI_MOSFET_S_VSD_L_BU*Table7[[#This Row],[Ivalley (A)]]*Fsw*10^3*40*10^-9+TI_MOSFET_S_VSD_L_BU*Table7[[#This Row],[Ipeak (A)]]*Fsw*10^3*30*10^-9, TI_MOSFET_S_VSD_H_BO*Table7[[#This Row],[Ivalley (A)]]*Fsw*10^3*40*10^-9+TI_MOSFET_S_VSD_H_BO*Table7[[#This Row],[Ipeak (A)]]*Fsw*10^3*30*10^-9)/10^-3</f>
        <v>354.70956521739146</v>
      </c>
      <c r="AY256" s="145" t="e">
        <f t="shared" si="48"/>
        <v>#VALUE!</v>
      </c>
      <c r="AZ256" s="145" t="e">
        <f>IF(VACnom&lt;Vbat, Table7[[#This Row],[Duty Cycle]]*Table7[[#This Row],[I_L RMS]]^2*TI_MOSFET_S_RDSON_H_BU*10^-3, (1-Table7[[#This Row],[Duty Cycle]])*Table7[[#This Row],[I_L RMS]]^2*TI_MOSFET_S_RDSON_H_BO*10^-3)/10^-3</f>
        <v>#VALUE!</v>
      </c>
      <c r="BA256" s="145" t="e">
        <f ca="1">IF(VACnom&gt;Vbat, Table7[[#This Row],[PIV (mW)]]+Table7[[#This Row],[Pqoss (mW)]]+Table7[[#This Row],[Pgate_top (mW)]], Table7[[#This Row],[PRR (mW)]]+Table7[[#This Row],[Pdead (mW)]]+Table7[[#This Row],[Pgate_top (mW)]])</f>
        <v>#VALUE!</v>
      </c>
      <c r="BB256" s="145" t="e">
        <f ca="1">Table7[[#This Row],[Pcon_top (mW)]]+Table7[[#This Row],[Psw_top (mW)]]</f>
        <v>#VALUE!</v>
      </c>
      <c r="BC256" s="145" t="e">
        <f>IF(VACnom&gt;Vbat, (1-Table7[[#This Row],[Duty Cycle]])*Table7[[#This Row],[I_L RMS]]^2*TI_MOSFET_S_RDSON_L_BU*10^-3, Table7[[#This Row],[Duty Cycle]]*Table7[[#This Row],[I_L RMS]]^2*TI_MOSFET_S_RDSON_L_BO*10^-3)/10^-3</f>
        <v>#VALUE!</v>
      </c>
      <c r="BD256" s="145" t="e">
        <f ca="1">IF(VACnom&gt;Vbat, Table7[[#This Row],[PRR (mW)]]+Table7[[#This Row],[Pdead (mW)]]+Table7[[#This Row],[Pgate_bottom (mW)]], Table7[[#This Row],[PIV (mW)]]+Table7[[#This Row],[Pqoss (mW)]]+Table7[[#This Row],[Pgate_bottom (mW)]])</f>
        <v>#VALUE!</v>
      </c>
      <c r="BE256" s="150" t="e">
        <f ca="1">Table7[[#This Row],[Pcon_bottom (mW)]]+Table7[[#This Row],[Psw_bottom (mW)]]</f>
        <v>#VALUE!</v>
      </c>
      <c r="BF256" s="145" t="e">
        <f ca="1">Table7[[#This Row],[Pbottom (mW)]]+Table7[[#This Row],[Ptop (mW)]]</f>
        <v>#VALUE!</v>
      </c>
      <c r="BG256" s="142"/>
      <c r="BH256" s="145">
        <f>MAX(0,Table7[[#This Row],[I_L]]-0.5*Table7[[#This Row],[I_L pkpk]])</f>
        <v>35.021739130434788</v>
      </c>
      <c r="BI256" s="145">
        <f>Table7[[#This Row],[I_L]]+0.5*Table7[[#This Row],[I_L pkpk]]</f>
        <v>35.413043478260867</v>
      </c>
      <c r="BJ256" s="145">
        <f>IF(VACnom&gt;Vbat, (VGS_S-(C_MOSFET_S_VTH_H_BU+Table7[[#This Row],[I_L]]/C_MOSFET_S_gFS_H_BU))/3.4, (VGS_S-(C_MOSFET_S_VTH_L_BO+Table7[[#This Row],[I_L]]/C_MOSFET_S_gFS_L_BO))/3.4 )</f>
        <v>2.8812946467942497</v>
      </c>
      <c r="BK256" s="145">
        <f>IF(VACnom&gt;Vbat, ((C_MOSFET_S_VTH_H_BU+Table7[[#This Row],[I_L]]/C_MOSFET_S_gFS_H_BU))/1, ((C_MOSFET_S_VTH_L_BO+Table7[[#This Row],[I_L]]/C_MOSFET_S_gFS_L_BO))/1 )</f>
        <v>2.2035982008995503</v>
      </c>
      <c r="BL256" s="145">
        <f>IF(VACnom&gt;Vbat, (C_MOSFET_S_QGD_H_BU+C_MOSFET_S_QGS_H_BU)*10^-9/Table7[[#This Row],[Ion (A) C]], (C_MOSFET_S_QGD_L_BO+C_MOSFET_S_QGS_L_BO)*10^-9/Table7[[#This Row],[Ion (A) C]])/10^-9</f>
        <v>5.3795261853019491</v>
      </c>
      <c r="BM256" s="145">
        <f>IF(VACnom&gt;Vbat, (C_MOSFET_S_QGD_H_BU+C_MOSFET_S_QGS_H_BU)*10^-9/Table7[[#This Row],[Ioff (A) C]], (C_MOSFET_S_QGD_L_BO+C_MOSFET_S_QGS_L_BO)*10^-9/Table7[[#This Row],[Ioff (A) C]])/10^-9</f>
        <v>7.0339501973057548</v>
      </c>
      <c r="BN256" s="145">
        <f xml:space="preserve"> 0.5*VACnom*Table7[[#This Row],[Ivalley (A) C]]*Table7[[#This Row],[ton (ns) C]]*10^-9*Fsw*10^3+0.5*VACnom*Table7[[#This Row],[Ipeak (A) C]]*Table7[[#This Row],[toff (ns) C]]*10^-9*Fsw*10^3/10^-3</f>
        <v>917.35770304764799</v>
      </c>
      <c r="BO256" s="145">
        <f t="shared" si="49"/>
        <v>305.44000000000011</v>
      </c>
      <c r="BP256" s="145">
        <f t="shared" si="50"/>
        <v>357.69600000000014</v>
      </c>
      <c r="BQ256" s="145">
        <f t="shared" si="51"/>
        <v>1067.2000000000003</v>
      </c>
      <c r="BR256" s="145">
        <f>IF(VACnom&gt;Vbat, C_MOSFET_S_VSD_L_BU*Table7[[#This Row],[Ivalley (A) C]]*Fsw*10^3*40*10^-9+C_MOSFET_S_VSD_L_BU*Table7[[#This Row],[Ipeak (A) C]]*Fsw*10^3*30*10^-9, C_MOSFET_S_VSD_H_BO*Table7[[#This Row],[Ivalley (A) C]]*Fsw*10^3*40*10^-9+C_MOSFET_S_VSD_H_BO*Table7[[#This Row],[Ipeak (A) C]]*Fsw*10^3*30*10^-9)/10^-3</f>
        <v>394.121739130435</v>
      </c>
      <c r="BS256" s="145">
        <f t="shared" si="52"/>
        <v>357.69600000000014</v>
      </c>
      <c r="BT256" s="145">
        <f>IF(VACnom&lt;Vbat, Table7[[#This Row],[Duty Cycle]]*Table7[[#This Row],[I_L RMS]]^2*C_MOSFET_S_RDSON_H_BU*10^-3, (1-Table7[[#This Row],[Duty Cycle]])*Table7[[#This Row],[I_L RMS]]^2*C_MOSFET_S_RDSON_H_BO*10^-3)/10^-3</f>
        <v>70.102636229144011</v>
      </c>
      <c r="BU256" s="145">
        <f>IF(VACnom&gt;Vbat, Table7[[#This Row],[PIV (mW) C]]+Table7[[#This Row],[PQoss (mW) C]]+Table7[[#This Row],[Pgate_top (mW) C]], Table7[[#This Row],[PRR (mW) C]]+Table7[[#This Row],[Pdead (mW) C]]+Table7[[#This Row],[Pgate_top (mW) C]])</f>
        <v>1580.4937030476483</v>
      </c>
      <c r="BV256" s="145">
        <f>Table7[[#This Row],[Pcon_top (mW) C]]+Table7[[#This Row],[Psw_top (mW) C]]</f>
        <v>1650.5963392767924</v>
      </c>
      <c r="BW256" s="145">
        <f>IF(VACnom&gt;Vbat, (1-Table7[[#This Row],[Duty Cycle]])*Table7[[#This Row],[I_L RMS]]^2*C_MOSFET_S_RDSON_L_BU*10^-3, Table7[[#This Row],[Duty Cycle]]*Table7[[#This Row],[I_L RMS]]^2*C_MOSFET_S_RDSON_L_BO*10^-3)/10^-3</f>
        <v>45.83633907290185</v>
      </c>
      <c r="BX256" s="145">
        <f>IF(VACnom&gt;Vbat, Table7[[#This Row],[PRR (mW) C]]+Table7[[#This Row],[Pdead (mW) C]]+Table7[[#This Row],[Pgate_bottom (mW) C]], Table7[[#This Row],[PIV (mW) C]]+Table7[[#This Row],[PQoss (mW) C]]+Table7[[#This Row],[Pgate_bottom (mW) C]])</f>
        <v>1819.0177391304353</v>
      </c>
      <c r="BY256" s="145">
        <f>Table7[[#This Row],[Pcon_bottom (mW) C]]+Table7[[#This Row],[Psw_bottom (mV) C]]</f>
        <v>1864.8540782033372</v>
      </c>
      <c r="BZ256" s="145">
        <f>Table7[[#This Row],[Pbottom (mW) C]]+Table7[[#This Row],[Ptop (mW) C]]</f>
        <v>3515.4504174801295</v>
      </c>
      <c r="CA256" s="148"/>
      <c r="CB256" s="144">
        <f>(RAC_SNS*10^-3*(Table7[[#This Row],[IOUT (A)]]*Vbat/VACnom)^2/10^-3)</f>
        <v>2480.5293005671078</v>
      </c>
      <c r="CC256" s="144">
        <f>(RBAT_SNS*10^-3*Table7[[#This Row],[IOUT (A)]]^2)/10^-3</f>
        <v>6480</v>
      </c>
      <c r="CD256" s="144">
        <f>IF(VACnom&gt;Vbat,(L_DRC*10^-3*(Table7[[#This Row],[IOUT (A)]])^2/10^-3),(L_DRC*10^-3*(Table7[[#This Row],[IOUT (A)]]*Vbat/VACnom)^2/10^-3))</f>
        <v>6480</v>
      </c>
      <c r="CE256" s="152"/>
      <c r="CF256" s="145">
        <f>(Table7[[#This Row],[R_AC (mW)]]+Table7[[#This Row],[R_SR (mW)]]+Table7[[#This Row],[Inductor Loss (mW)]])/10^3</f>
        <v>15.440529300567109</v>
      </c>
      <c r="CG256" s="145" t="e">
        <f ca="1">Table7[[#This Row],[Total TI (mW)]]/10^3</f>
        <v>#VALUE!</v>
      </c>
      <c r="CH256" s="145" t="e">
        <f ca="1">Table7[[#This Row],[Total Sense Loss]]+Table7[[#This Row],[Total MOSFET Loss]]</f>
        <v>#VALUE!</v>
      </c>
      <c r="CI256" s="149" t="e">
        <f ca="1">IF(Table7[[#This Row],[POUT (W)]]=0,0,(Table7[[#This Row],[POUT (W)]])/(Table7[[#This Row],[POUT (W)]]+Table7[[#This Row],[Total Power Loss (W)]]))*100</f>
        <v>#VALUE!</v>
      </c>
      <c r="CJ256" s="153"/>
      <c r="CK256" s="145">
        <f>(Table7[[#This Row],[R_AC (mW)]]+Table7[[#This Row],[R_SR (mW)]]+Table7[[#This Row],[Inductor Loss (mW)]])/10^3</f>
        <v>15.440529300567109</v>
      </c>
      <c r="CL256" s="145">
        <f>Table7[[#This Row],[Total (mW) C]]/10^3</f>
        <v>3.5154504174801295</v>
      </c>
      <c r="CM256" s="145">
        <f>Table7[[#This Row],[Total Sense Loss C]]+Table7[[#This Row],[Total MOSFET Loss C]]</f>
        <v>18.955979718047239</v>
      </c>
      <c r="CN256" s="149">
        <f>IF(Table7[[#This Row],[POUT (W)]]=0,0,(Table7[[#This Row],[POUT (W)]])/(Table7[[#This Row],[POUT (W)]]+Table7[[#This Row],[Total Power Loss (W) C]]))*100</f>
        <v>98.589328717106469</v>
      </c>
      <c r="CO256" s="153"/>
      <c r="CP256" s="149">
        <f>IF(MOSFET_S=Custom_MOSFET,Table7[[#This Row],[Total Sense Loss C]],Table7[[#This Row],[Total Sense Loss]])</f>
        <v>15.440529300567109</v>
      </c>
      <c r="CQ256" s="149">
        <f>IF(MOSFET_S=Custom_MOSFET,Table7[[#This Row],[Total MOSFET Loss C]],Table7[[#This Row],[Total MOSFET Loss]])</f>
        <v>3.5154504174801295</v>
      </c>
      <c r="CR256" s="149">
        <f>IF(MOSFET_S=Custom_MOSFET,Table7[[#This Row],[Efficiency C]],Table7[[#This Row],[Efficiency]])</f>
        <v>98.589328717106469</v>
      </c>
      <c r="CS256" s="153"/>
      <c r="CT256" s="149">
        <f>IF(MOSFET_S=Compare_MOSFET, Table7[[#This Row],[Total Sense Loss C]], -100)</f>
        <v>-100</v>
      </c>
      <c r="CU256" s="149">
        <f>IF(MOSFET_S=Compare_MOSFET, Table7[[#This Row],[Total MOSFET Loss C]], -100)</f>
        <v>-100</v>
      </c>
      <c r="CV256" s="149">
        <f>IF(MOSFET_S=Compare_MOSFET, Table7[[#This Row],[Efficiency C]], -100)</f>
        <v>-100</v>
      </c>
      <c r="CW256" s="153"/>
      <c r="CX256" s="149">
        <f ca="1">IF(Save_Sel=CLR_Save,  Table7[[#This Row],[Total Sense Loss P1]], Table7[[#This Row],[Total Sense Loss P1 Saved]])</f>
        <v>15.440529300567109</v>
      </c>
      <c r="CY256" s="149">
        <f ca="1">IF(Save_Sel=CLR_Save,  Table7[[#This Row],[Total MOSFET Loss P1]], Table7[[#This Row],[Total MOSFET Loss P1 Saved]] )</f>
        <v>3.5154504174801295</v>
      </c>
      <c r="CZ256" s="149">
        <f ca="1">IF(Save_Sel=CLR_Save, Table7[[#This Row],[Efficiency P1]], Table7[[#This Row],[Efficiency P1 Saved]])</f>
        <v>98.589328717106469</v>
      </c>
      <c r="DA256" s="153"/>
      <c r="DB256" s="149">
        <f ca="1">IF(Save_Sel=CLR_Save,  Table7[[#This Row],[Total Sense Loss P2]], Table7[[#This Row],[Total Sense Loss P2 Saved]])</f>
        <v>-100</v>
      </c>
      <c r="DC256" s="149">
        <f ca="1">IF(Save_Sel=CLR_Save,  Table7[[#This Row],[Total MOSFET Loss P2]], Table7[[#This Row],[Total MOSFET Loss P2 Saved]] )</f>
        <v>-100</v>
      </c>
      <c r="DD256" s="149">
        <f ca="1">IF(Save_Sel=CLR_Save, Table7[[#This Row],[Efficiency P2]], Table7[[#This Row],[Efficiency P2 Saved]])</f>
        <v>-100</v>
      </c>
      <c r="DE256" s="153"/>
      <c r="DF256" s="19"/>
      <c r="DG256" s="19"/>
      <c r="DH256" s="19"/>
      <c r="DI256" s="19"/>
      <c r="DJ256" s="19"/>
      <c r="DK256" s="19"/>
      <c r="DL256" s="19"/>
      <c r="DM256" s="19"/>
      <c r="DN256" s="19"/>
      <c r="DO256" s="19"/>
      <c r="DP256" s="19"/>
      <c r="DQ256" s="19"/>
      <c r="DR256" s="19"/>
      <c r="DS256" s="19"/>
      <c r="DT256" s="19"/>
      <c r="DU256" s="19"/>
      <c r="DV256" s="19"/>
      <c r="DW256" s="19"/>
      <c r="DX256" s="19"/>
      <c r="DY256" s="19"/>
      <c r="DZ256" s="19"/>
      <c r="EA256" s="19"/>
      <c r="EB256" s="19"/>
      <c r="EC256" s="19"/>
      <c r="ED256" s="19"/>
      <c r="EE256" s="19"/>
      <c r="EF256" s="19"/>
      <c r="EG256" s="19"/>
      <c r="EH256" s="19"/>
      <c r="EI256" s="19"/>
      <c r="EJ256" s="19"/>
      <c r="EK256" s="19"/>
      <c r="EL256" s="19"/>
      <c r="EM256" s="19"/>
      <c r="EN256" s="19"/>
      <c r="EO256" s="19"/>
      <c r="EP256" s="19"/>
      <c r="EQ256" s="19"/>
      <c r="ER256" s="19"/>
      <c r="ES256" s="19"/>
      <c r="ET256" s="19"/>
      <c r="EU256" s="19"/>
      <c r="EV256" s="19"/>
      <c r="EW256" s="19"/>
      <c r="EX256" s="19"/>
      <c r="EY256" s="19"/>
      <c r="EZ256" s="19"/>
      <c r="FA256" s="19"/>
      <c r="FB256" s="19"/>
      <c r="FC256" s="19"/>
      <c r="FD256" s="19"/>
      <c r="FE256" s="19"/>
      <c r="FF256" s="19"/>
      <c r="FG256" s="19"/>
      <c r="FH256" s="19"/>
      <c r="FI256" s="19"/>
    </row>
    <row r="257" spans="1:165" x14ac:dyDescent="0.25">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c r="BE257" s="19"/>
      <c r="BF257" s="19"/>
      <c r="BG257" s="19"/>
      <c r="BH257" s="19"/>
      <c r="BI257" s="19"/>
      <c r="BJ257" s="19"/>
      <c r="BK257" s="19"/>
      <c r="BL257" s="19"/>
      <c r="BM257" s="19"/>
      <c r="BN257" s="19"/>
      <c r="BO257" s="19"/>
      <c r="BP257" s="19"/>
      <c r="BQ257" s="19"/>
      <c r="BR257" s="19"/>
      <c r="BS257" s="19"/>
      <c r="BT257" s="19"/>
      <c r="BU257" s="19"/>
      <c r="BV257" s="19"/>
      <c r="BW257" s="19"/>
      <c r="BX257" s="19"/>
      <c r="BY257" s="19"/>
      <c r="BZ257" s="19"/>
      <c r="CA257" s="19"/>
      <c r="CB257" s="19"/>
      <c r="CC257" s="19"/>
      <c r="CD257" s="19"/>
      <c r="CE257" s="19"/>
      <c r="CF257" s="19"/>
      <c r="CG257" s="19"/>
      <c r="CH257" s="19"/>
      <c r="CI257" s="19"/>
      <c r="CJ257" s="19"/>
      <c r="CK257" s="19"/>
      <c r="CL257" s="19"/>
      <c r="CM257" s="19"/>
      <c r="CN257" s="19"/>
      <c r="CO257" s="19"/>
      <c r="CP257" s="19"/>
      <c r="CQ257" s="19"/>
      <c r="CR257" s="19"/>
      <c r="CS257" s="19"/>
      <c r="CT257" s="19"/>
      <c r="CU257" s="19"/>
      <c r="CV257" s="19"/>
      <c r="CW257" s="19"/>
      <c r="CX257" s="19"/>
      <c r="CY257" s="19"/>
      <c r="CZ257" s="19"/>
      <c r="DA257" s="19"/>
      <c r="DB257" s="19"/>
      <c r="DC257" s="19"/>
      <c r="DD257" s="19"/>
      <c r="DE257" s="19"/>
      <c r="DF257" s="19"/>
      <c r="DG257" s="19"/>
      <c r="DH257" s="19"/>
      <c r="DI257" s="19"/>
      <c r="DJ257" s="19"/>
      <c r="DK257" s="19"/>
      <c r="DL257" s="19"/>
      <c r="DM257" s="19"/>
      <c r="DN257" s="19"/>
      <c r="DO257" s="19"/>
      <c r="DP257" s="19"/>
      <c r="DQ257" s="19"/>
      <c r="DR257" s="19"/>
      <c r="DS257" s="19"/>
      <c r="DT257" s="19"/>
      <c r="DU257" s="19"/>
      <c r="DV257" s="19"/>
      <c r="DW257" s="19"/>
      <c r="DX257" s="19"/>
      <c r="DY257" s="19"/>
      <c r="DZ257" s="19"/>
      <c r="EA257" s="19"/>
      <c r="EB257" s="19"/>
      <c r="EC257" s="19"/>
      <c r="ED257" s="19"/>
      <c r="EE257" s="19"/>
      <c r="EF257" s="19"/>
      <c r="EG257" s="19"/>
      <c r="EH257" s="19"/>
      <c r="EI257" s="19"/>
      <c r="EJ257" s="19"/>
      <c r="EK257" s="19"/>
      <c r="EL257" s="19"/>
      <c r="EM257" s="19"/>
      <c r="EN257" s="19"/>
      <c r="EO257" s="19"/>
      <c r="EP257" s="19"/>
      <c r="EQ257" s="19"/>
      <c r="ER257" s="19"/>
      <c r="ES257" s="19"/>
      <c r="ET257" s="19"/>
      <c r="EU257" s="19"/>
      <c r="EV257" s="19"/>
      <c r="EW257" s="19"/>
      <c r="EX257" s="19"/>
      <c r="EY257" s="19"/>
      <c r="EZ257" s="19"/>
      <c r="FA257" s="19"/>
      <c r="FB257" s="19"/>
      <c r="FC257" s="19"/>
      <c r="FD257" s="19"/>
      <c r="FE257" s="19"/>
      <c r="FF257" s="19"/>
      <c r="FG257" s="19"/>
      <c r="FH257" s="19"/>
      <c r="FI257" s="19"/>
    </row>
    <row r="258" spans="1:165" x14ac:dyDescent="0.25">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c r="BE258" s="19"/>
      <c r="BF258" s="19"/>
      <c r="BG258" s="19"/>
      <c r="BH258" s="19"/>
      <c r="BI258" s="19"/>
      <c r="BJ258" s="19"/>
      <c r="BK258" s="19"/>
      <c r="BL258" s="19"/>
      <c r="BM258" s="19"/>
      <c r="BN258" s="19"/>
      <c r="BO258" s="19"/>
      <c r="BP258" s="19"/>
      <c r="BQ258" s="19"/>
      <c r="BR258" s="19"/>
      <c r="BS258" s="19"/>
      <c r="BT258" s="19"/>
      <c r="BU258" s="19"/>
      <c r="BV258" s="19"/>
      <c r="BW258" s="19"/>
      <c r="BX258" s="19"/>
      <c r="BY258" s="19"/>
      <c r="BZ258" s="19"/>
      <c r="CA258" s="19"/>
      <c r="CB258" s="19"/>
      <c r="CC258" s="19"/>
      <c r="CD258" s="19"/>
      <c r="CE258" s="19"/>
      <c r="CF258" s="19"/>
      <c r="CG258" s="19"/>
      <c r="CH258" s="19"/>
      <c r="CI258" s="19"/>
      <c r="CJ258" s="19"/>
      <c r="CK258" s="19"/>
      <c r="CL258" s="19"/>
      <c r="CM258" s="19"/>
      <c r="CN258" s="19"/>
      <c r="CO258" s="19"/>
      <c r="CP258" s="19"/>
      <c r="CQ258" s="19"/>
      <c r="CR258" s="19"/>
      <c r="CS258" s="19"/>
      <c r="CT258" s="19"/>
      <c r="CU258" s="19"/>
      <c r="CV258" s="19"/>
      <c r="CW258" s="19"/>
      <c r="CX258" s="19"/>
      <c r="CY258" s="19"/>
      <c r="CZ258" s="19"/>
      <c r="DA258" s="19"/>
      <c r="DB258" s="19"/>
      <c r="DC258" s="19"/>
      <c r="DD258" s="19"/>
      <c r="DE258" s="19"/>
      <c r="DF258" s="19"/>
      <c r="DG258" s="19"/>
      <c r="DH258" s="19"/>
      <c r="DI258" s="19"/>
      <c r="DJ258" s="19"/>
      <c r="DK258" s="19"/>
      <c r="DL258" s="19"/>
      <c r="DM258" s="19"/>
      <c r="DN258" s="19"/>
      <c r="DO258" s="19"/>
      <c r="DP258" s="19"/>
      <c r="DQ258" s="19"/>
      <c r="DR258" s="19"/>
      <c r="DS258" s="19"/>
      <c r="DT258" s="19"/>
      <c r="DU258" s="19"/>
      <c r="DV258" s="19"/>
      <c r="DW258" s="19"/>
      <c r="DX258" s="19"/>
      <c r="DY258" s="19"/>
      <c r="DZ258" s="19"/>
      <c r="EA258" s="19"/>
      <c r="EB258" s="19"/>
      <c r="EC258" s="19"/>
      <c r="ED258" s="19"/>
      <c r="EE258" s="19"/>
      <c r="EF258" s="19"/>
      <c r="EG258" s="19"/>
      <c r="EH258" s="19"/>
      <c r="EI258" s="19"/>
      <c r="EJ258" s="19"/>
      <c r="EK258" s="19"/>
      <c r="EL258" s="19"/>
      <c r="EM258" s="19"/>
      <c r="EN258" s="19"/>
      <c r="EO258" s="19"/>
      <c r="EP258" s="19"/>
      <c r="EQ258" s="19"/>
      <c r="ER258" s="19"/>
      <c r="ES258" s="19"/>
      <c r="ET258" s="19"/>
      <c r="EU258" s="19"/>
      <c r="EV258" s="19"/>
      <c r="EW258" s="19"/>
      <c r="EX258" s="19"/>
      <c r="EY258" s="19"/>
      <c r="EZ258" s="19"/>
      <c r="FA258" s="19"/>
      <c r="FB258" s="19"/>
      <c r="FC258" s="19"/>
      <c r="FD258" s="19"/>
      <c r="FE258" s="19"/>
      <c r="FF258" s="19"/>
      <c r="FG258" s="19"/>
      <c r="FH258" s="19"/>
      <c r="FI258" s="19"/>
    </row>
    <row r="259" spans="1:165" x14ac:dyDescent="0.25">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c r="BE259" s="19"/>
      <c r="BF259" s="19"/>
      <c r="BG259" s="19"/>
      <c r="BH259" s="19"/>
      <c r="BI259" s="19"/>
      <c r="BJ259" s="19"/>
      <c r="BK259" s="19"/>
      <c r="BL259" s="19"/>
      <c r="BM259" s="19"/>
      <c r="BN259" s="19"/>
      <c r="BO259" s="19"/>
      <c r="BP259" s="19"/>
      <c r="BQ259" s="19"/>
      <c r="BR259" s="19"/>
      <c r="BS259" s="19"/>
      <c r="BT259" s="19"/>
      <c r="BU259" s="19"/>
      <c r="BV259" s="19"/>
      <c r="BW259" s="19"/>
      <c r="BX259" s="19"/>
      <c r="BY259" s="19"/>
      <c r="BZ259" s="19"/>
      <c r="CA259" s="19"/>
      <c r="CB259" s="19"/>
      <c r="CC259" s="19"/>
      <c r="CD259" s="19"/>
      <c r="CE259" s="19"/>
      <c r="CF259" s="19"/>
      <c r="CG259" s="19"/>
      <c r="CH259" s="19"/>
      <c r="CI259" s="19"/>
      <c r="CJ259" s="19"/>
      <c r="CK259" s="19"/>
      <c r="CL259" s="19"/>
      <c r="CM259" s="19"/>
      <c r="CN259" s="19"/>
      <c r="CO259" s="19"/>
      <c r="CP259" s="19"/>
      <c r="CQ259" s="19"/>
      <c r="CR259" s="19"/>
      <c r="CS259" s="19"/>
      <c r="CT259" s="19"/>
      <c r="CU259" s="19"/>
      <c r="CV259" s="19"/>
      <c r="CW259" s="19"/>
      <c r="CX259" s="19"/>
      <c r="CY259" s="19"/>
      <c r="CZ259" s="19"/>
      <c r="DA259" s="19"/>
      <c r="DB259" s="19"/>
      <c r="DC259" s="19"/>
      <c r="DD259" s="19"/>
      <c r="DE259" s="19"/>
      <c r="DF259" s="19"/>
      <c r="DG259" s="19"/>
      <c r="DH259" s="19"/>
      <c r="DI259" s="19"/>
      <c r="DJ259" s="19"/>
      <c r="DK259" s="19"/>
      <c r="DL259" s="19"/>
      <c r="DM259" s="19"/>
      <c r="DN259" s="19"/>
      <c r="DO259" s="19"/>
      <c r="DP259" s="19"/>
      <c r="DQ259" s="19"/>
      <c r="DR259" s="19"/>
      <c r="DS259" s="19"/>
      <c r="DT259" s="19"/>
      <c r="DU259" s="19"/>
      <c r="DV259" s="19"/>
      <c r="DW259" s="19"/>
      <c r="DX259" s="19"/>
      <c r="DY259" s="19"/>
      <c r="DZ259" s="19"/>
      <c r="EA259" s="19"/>
      <c r="EB259" s="19"/>
      <c r="EC259" s="19"/>
      <c r="ED259" s="19"/>
      <c r="EE259" s="19"/>
      <c r="EF259" s="19"/>
      <c r="EG259" s="19"/>
      <c r="EH259" s="19"/>
      <c r="EI259" s="19"/>
      <c r="EJ259" s="19"/>
      <c r="EK259" s="19"/>
      <c r="EL259" s="19"/>
      <c r="EM259" s="19"/>
      <c r="EN259" s="19"/>
      <c r="EO259" s="19"/>
      <c r="EP259" s="19"/>
      <c r="EQ259" s="19"/>
      <c r="ER259" s="19"/>
      <c r="ES259" s="19"/>
      <c r="ET259" s="19"/>
      <c r="EU259" s="19"/>
      <c r="EV259" s="19"/>
      <c r="EW259" s="19"/>
      <c r="EX259" s="19"/>
      <c r="EY259" s="19"/>
      <c r="EZ259" s="19"/>
      <c r="FA259" s="19"/>
      <c r="FB259" s="19"/>
      <c r="FC259" s="19"/>
      <c r="FD259" s="19"/>
      <c r="FE259" s="19"/>
      <c r="FF259" s="19"/>
      <c r="FG259" s="19"/>
      <c r="FH259" s="19"/>
      <c r="FI259" s="19"/>
    </row>
    <row r="260" spans="1:165" x14ac:dyDescent="0.25">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c r="BE260" s="19"/>
      <c r="BF260" s="19"/>
      <c r="BG260" s="19"/>
      <c r="BH260" s="19"/>
      <c r="BI260" s="19"/>
      <c r="BJ260" s="19"/>
      <c r="BK260" s="19"/>
      <c r="BL260" s="19"/>
      <c r="BM260" s="19"/>
      <c r="BN260" s="19"/>
      <c r="BO260" s="19"/>
      <c r="BP260" s="19"/>
      <c r="BQ260" s="19"/>
      <c r="BR260" s="19"/>
      <c r="BS260" s="19"/>
      <c r="BT260" s="19"/>
      <c r="BU260" s="19"/>
      <c r="BV260" s="19"/>
      <c r="BW260" s="19"/>
      <c r="BX260" s="19"/>
      <c r="BY260" s="19"/>
      <c r="BZ260" s="19"/>
      <c r="CA260" s="19"/>
      <c r="CB260" s="19"/>
      <c r="CC260" s="19"/>
      <c r="CD260" s="19"/>
      <c r="CE260" s="19"/>
      <c r="CF260" s="19"/>
      <c r="CG260" s="19"/>
      <c r="CH260" s="19"/>
      <c r="CI260" s="19"/>
      <c r="CJ260" s="19"/>
      <c r="CK260" s="19"/>
      <c r="CL260" s="19"/>
      <c r="CM260" s="19"/>
      <c r="CN260" s="19"/>
      <c r="CO260" s="19"/>
      <c r="CP260" s="19"/>
      <c r="CQ260" s="19"/>
      <c r="CR260" s="19"/>
      <c r="CS260" s="19"/>
      <c r="CT260" s="19"/>
      <c r="CU260" s="19"/>
      <c r="CV260" s="19"/>
      <c r="CW260" s="19"/>
      <c r="CX260" s="19"/>
      <c r="CY260" s="19"/>
      <c r="CZ260" s="19"/>
      <c r="DA260" s="19"/>
      <c r="DB260" s="19"/>
      <c r="DC260" s="19"/>
      <c r="DD260" s="19"/>
      <c r="DE260" s="19"/>
      <c r="DF260" s="19"/>
      <c r="DG260" s="19"/>
      <c r="DH260" s="19"/>
      <c r="DI260" s="19"/>
      <c r="DJ260" s="19"/>
      <c r="DK260" s="19"/>
      <c r="DL260" s="19"/>
      <c r="DM260" s="19"/>
      <c r="DN260" s="19"/>
      <c r="DO260" s="19"/>
      <c r="DP260" s="19"/>
      <c r="DQ260" s="19"/>
      <c r="DR260" s="19"/>
      <c r="DS260" s="19"/>
      <c r="DT260" s="19"/>
      <c r="DU260" s="19"/>
      <c r="DV260" s="19"/>
      <c r="DW260" s="19"/>
      <c r="DX260" s="19"/>
      <c r="DY260" s="19"/>
      <c r="DZ260" s="19"/>
      <c r="EA260" s="19"/>
      <c r="EB260" s="19"/>
      <c r="EC260" s="19"/>
      <c r="ED260" s="19"/>
      <c r="EE260" s="19"/>
      <c r="EF260" s="19"/>
      <c r="EG260" s="19"/>
      <c r="EH260" s="19"/>
      <c r="EI260" s="19"/>
      <c r="EJ260" s="19"/>
      <c r="EK260" s="19"/>
      <c r="EL260" s="19"/>
      <c r="EM260" s="19"/>
      <c r="EN260" s="19"/>
      <c r="EO260" s="19"/>
      <c r="EP260" s="19"/>
      <c r="EQ260" s="19"/>
      <c r="ER260" s="19"/>
      <c r="ES260" s="19"/>
      <c r="ET260" s="19"/>
      <c r="EU260" s="19"/>
      <c r="EV260" s="19"/>
      <c r="EW260" s="19"/>
      <c r="EX260" s="19"/>
      <c r="EY260" s="19"/>
      <c r="EZ260" s="19"/>
      <c r="FA260" s="19"/>
      <c r="FB260" s="19"/>
      <c r="FC260" s="19"/>
      <c r="FD260" s="19"/>
      <c r="FE260" s="19"/>
      <c r="FF260" s="19"/>
      <c r="FG260" s="19"/>
      <c r="FH260" s="19"/>
      <c r="FI260" s="19"/>
    </row>
    <row r="261" spans="1:165" x14ac:dyDescent="0.25">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c r="BE261" s="19"/>
      <c r="BF261" s="19"/>
      <c r="BG261" s="19"/>
      <c r="BH261" s="19"/>
      <c r="BI261" s="19"/>
      <c r="BJ261" s="19"/>
      <c r="BK261" s="19"/>
      <c r="BL261" s="19"/>
      <c r="BM261" s="19"/>
      <c r="BN261" s="19"/>
      <c r="BO261" s="19"/>
      <c r="BP261" s="19"/>
      <c r="BQ261" s="19"/>
      <c r="BR261" s="19"/>
      <c r="BS261" s="19"/>
      <c r="BT261" s="19"/>
      <c r="BU261" s="19"/>
      <c r="BV261" s="19"/>
      <c r="BW261" s="19"/>
      <c r="BX261" s="19"/>
      <c r="BY261" s="19"/>
      <c r="BZ261" s="19"/>
      <c r="CA261" s="19"/>
      <c r="CB261" s="19"/>
      <c r="CC261" s="19"/>
      <c r="CD261" s="19"/>
      <c r="CE261" s="19"/>
      <c r="CF261" s="19"/>
      <c r="CG261" s="19"/>
      <c r="CH261" s="19"/>
      <c r="CI261" s="19"/>
      <c r="CJ261" s="19"/>
      <c r="CK261" s="19"/>
      <c r="CL261" s="19"/>
      <c r="CM261" s="19"/>
      <c r="CN261" s="19"/>
      <c r="CO261" s="19"/>
      <c r="CP261" s="19"/>
      <c r="CQ261" s="19"/>
      <c r="CR261" s="19"/>
      <c r="CS261" s="19"/>
      <c r="CT261" s="19"/>
      <c r="CU261" s="19"/>
      <c r="CV261" s="19"/>
      <c r="CW261" s="19"/>
      <c r="CX261" s="19"/>
      <c r="CY261" s="19"/>
      <c r="CZ261" s="19"/>
      <c r="DA261" s="19"/>
      <c r="DB261" s="19"/>
      <c r="DC261" s="19"/>
      <c r="DD261" s="19"/>
      <c r="DE261" s="19"/>
      <c r="DF261" s="19"/>
      <c r="DG261" s="19"/>
      <c r="DH261" s="19"/>
      <c r="DI261" s="19"/>
      <c r="DJ261" s="19"/>
      <c r="DK261" s="19"/>
      <c r="DL261" s="19"/>
      <c r="DM261" s="19"/>
      <c r="DN261" s="19"/>
      <c r="DO261" s="19"/>
      <c r="DP261" s="19"/>
      <c r="DQ261" s="19"/>
      <c r="DR261" s="19"/>
      <c r="DS261" s="19"/>
      <c r="DT261" s="19"/>
      <c r="DU261" s="19"/>
      <c r="DV261" s="19"/>
      <c r="DW261" s="19"/>
      <c r="DX261" s="19"/>
      <c r="DY261" s="19"/>
      <c r="DZ261" s="19"/>
      <c r="EA261" s="19"/>
      <c r="EB261" s="19"/>
      <c r="EC261" s="19"/>
      <c r="ED261" s="19"/>
      <c r="EE261" s="19"/>
      <c r="EF261" s="19"/>
      <c r="EG261" s="19"/>
      <c r="EH261" s="19"/>
      <c r="EI261" s="19"/>
      <c r="EJ261" s="19"/>
      <c r="EK261" s="19"/>
      <c r="EL261" s="19"/>
      <c r="EM261" s="19"/>
      <c r="EN261" s="19"/>
      <c r="EO261" s="19"/>
      <c r="EP261" s="19"/>
      <c r="EQ261" s="19"/>
      <c r="ER261" s="19"/>
      <c r="ES261" s="19"/>
      <c r="ET261" s="19"/>
      <c r="EU261" s="19"/>
      <c r="EV261" s="19"/>
      <c r="EW261" s="19"/>
      <c r="EX261" s="19"/>
      <c r="EY261" s="19"/>
      <c r="EZ261" s="19"/>
      <c r="FA261" s="19"/>
      <c r="FB261" s="19"/>
      <c r="FC261" s="19"/>
      <c r="FD261" s="19"/>
      <c r="FE261" s="19"/>
      <c r="FF261" s="19"/>
      <c r="FG261" s="19"/>
      <c r="FH261" s="19"/>
      <c r="FI261" s="19"/>
    </row>
    <row r="262" spans="1:165" x14ac:dyDescent="0.25">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c r="BE262" s="19"/>
      <c r="BF262" s="19"/>
      <c r="BG262" s="19"/>
      <c r="BH262" s="19"/>
      <c r="BI262" s="19"/>
      <c r="BJ262" s="19"/>
      <c r="BK262" s="19"/>
      <c r="BL262" s="19"/>
      <c r="BM262" s="19"/>
      <c r="BN262" s="19"/>
      <c r="BO262" s="19"/>
      <c r="BP262" s="19"/>
      <c r="BQ262" s="19"/>
      <c r="BR262" s="19"/>
      <c r="BS262" s="19"/>
      <c r="BT262" s="19"/>
      <c r="BU262" s="19"/>
      <c r="BV262" s="19"/>
      <c r="BW262" s="19"/>
      <c r="BX262" s="19"/>
      <c r="BY262" s="19"/>
      <c r="BZ262" s="19"/>
      <c r="CA262" s="19"/>
      <c r="CB262" s="19"/>
      <c r="CC262" s="19"/>
      <c r="CD262" s="19"/>
      <c r="CE262" s="19"/>
      <c r="CF262" s="19"/>
      <c r="CG262" s="19"/>
      <c r="CH262" s="19"/>
      <c r="CI262" s="19"/>
      <c r="CJ262" s="19"/>
      <c r="CK262" s="19"/>
      <c r="CL262" s="19"/>
      <c r="CM262" s="19"/>
      <c r="CN262" s="19"/>
      <c r="CO262" s="19"/>
      <c r="CP262" s="19"/>
      <c r="CQ262" s="19"/>
      <c r="CR262" s="19"/>
      <c r="CS262" s="19"/>
      <c r="CT262" s="19"/>
      <c r="CU262" s="19"/>
      <c r="CV262" s="19"/>
      <c r="CW262" s="19"/>
      <c r="CX262" s="19"/>
      <c r="CY262" s="19"/>
      <c r="CZ262" s="19"/>
      <c r="DA262" s="19"/>
      <c r="DB262" s="19"/>
      <c r="DC262" s="19"/>
      <c r="DD262" s="19"/>
      <c r="DE262" s="19"/>
      <c r="DF262" s="19"/>
      <c r="DG262" s="19"/>
      <c r="DH262" s="19"/>
      <c r="DI262" s="19"/>
      <c r="DJ262" s="19"/>
      <c r="DK262" s="19"/>
      <c r="DL262" s="19"/>
      <c r="DM262" s="19"/>
      <c r="DN262" s="19"/>
      <c r="DO262" s="19"/>
      <c r="DP262" s="19"/>
      <c r="DQ262" s="19"/>
      <c r="DR262" s="19"/>
      <c r="DS262" s="19"/>
      <c r="DT262" s="19"/>
      <c r="DU262" s="19"/>
      <c r="DV262" s="19"/>
      <c r="DW262" s="19"/>
      <c r="DX262" s="19"/>
      <c r="DY262" s="19"/>
      <c r="DZ262" s="19"/>
      <c r="EA262" s="19"/>
      <c r="EB262" s="19"/>
      <c r="EC262" s="19"/>
      <c r="ED262" s="19"/>
      <c r="EE262" s="19"/>
      <c r="EF262" s="19"/>
      <c r="EG262" s="19"/>
      <c r="EH262" s="19"/>
      <c r="EI262" s="19"/>
      <c r="EJ262" s="19"/>
      <c r="EK262" s="19"/>
      <c r="EL262" s="19"/>
      <c r="EM262" s="19"/>
      <c r="EN262" s="19"/>
      <c r="EO262" s="19"/>
      <c r="EP262" s="19"/>
      <c r="EQ262" s="19"/>
      <c r="ER262" s="19"/>
      <c r="ES262" s="19"/>
      <c r="ET262" s="19"/>
      <c r="EU262" s="19"/>
      <c r="EV262" s="19"/>
      <c r="EW262" s="19"/>
      <c r="EX262" s="19"/>
      <c r="EY262" s="19"/>
      <c r="EZ262" s="19"/>
      <c r="FA262" s="19"/>
      <c r="FB262" s="19"/>
      <c r="FC262" s="19"/>
      <c r="FD262" s="19"/>
      <c r="FE262" s="19"/>
      <c r="FF262" s="19"/>
      <c r="FG262" s="19"/>
      <c r="FH262" s="19"/>
      <c r="FI262" s="19"/>
    </row>
    <row r="263" spans="1:165" x14ac:dyDescent="0.25">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c r="BE263" s="19"/>
      <c r="BF263" s="19"/>
      <c r="BG263" s="19"/>
      <c r="BH263" s="19"/>
      <c r="BI263" s="19"/>
      <c r="BJ263" s="19"/>
      <c r="BK263" s="19"/>
      <c r="BL263" s="19"/>
      <c r="BM263" s="19"/>
      <c r="BN263" s="19"/>
      <c r="BO263" s="19"/>
      <c r="BP263" s="19"/>
      <c r="BQ263" s="19"/>
      <c r="BR263" s="19"/>
      <c r="BS263" s="19"/>
      <c r="BT263" s="19"/>
      <c r="BU263" s="19"/>
      <c r="BV263" s="19"/>
      <c r="BW263" s="19"/>
      <c r="BX263" s="19"/>
      <c r="BY263" s="19"/>
      <c r="BZ263" s="19"/>
      <c r="CA263" s="19"/>
      <c r="CB263" s="19"/>
      <c r="CC263" s="19"/>
      <c r="CD263" s="19"/>
      <c r="CE263" s="19"/>
      <c r="CF263" s="19"/>
      <c r="CG263" s="19"/>
      <c r="CH263" s="19"/>
      <c r="CI263" s="19"/>
      <c r="CJ263" s="19"/>
      <c r="CK263" s="19"/>
      <c r="CL263" s="19"/>
      <c r="CM263" s="19"/>
      <c r="CN263" s="19"/>
      <c r="CO263" s="19"/>
      <c r="CP263" s="19"/>
      <c r="CQ263" s="19"/>
      <c r="CR263" s="19"/>
      <c r="CS263" s="19"/>
      <c r="CT263" s="19"/>
      <c r="CU263" s="19"/>
      <c r="CV263" s="19"/>
      <c r="CW263" s="19"/>
      <c r="CX263" s="19"/>
      <c r="CY263" s="19"/>
      <c r="CZ263" s="19"/>
      <c r="DA263" s="19"/>
      <c r="DB263" s="19"/>
      <c r="DC263" s="19"/>
      <c r="DD263" s="19"/>
      <c r="DE263" s="19"/>
      <c r="DF263" s="19"/>
      <c r="DG263" s="19"/>
      <c r="DH263" s="19"/>
      <c r="DI263" s="19"/>
      <c r="DJ263" s="19"/>
      <c r="DK263" s="19"/>
      <c r="DL263" s="19"/>
      <c r="DM263" s="19"/>
      <c r="DN263" s="19"/>
      <c r="DO263" s="19"/>
      <c r="DP263" s="19"/>
      <c r="DQ263" s="19"/>
      <c r="DR263" s="19"/>
      <c r="DS263" s="19"/>
      <c r="DT263" s="19"/>
      <c r="DU263" s="19"/>
      <c r="DV263" s="19"/>
      <c r="DW263" s="19"/>
      <c r="DX263" s="19"/>
      <c r="DY263" s="19"/>
      <c r="DZ263" s="19"/>
      <c r="EA263" s="19"/>
      <c r="EB263" s="19"/>
      <c r="EC263" s="19"/>
      <c r="ED263" s="19"/>
      <c r="EE263" s="19"/>
      <c r="EF263" s="19"/>
      <c r="EG263" s="19"/>
      <c r="EH263" s="19"/>
      <c r="EI263" s="19"/>
      <c r="EJ263" s="19"/>
      <c r="EK263" s="19"/>
      <c r="EL263" s="19"/>
      <c r="EM263" s="19"/>
      <c r="EN263" s="19"/>
      <c r="EO263" s="19"/>
      <c r="EP263" s="19"/>
      <c r="EQ263" s="19"/>
      <c r="ER263" s="19"/>
      <c r="ES263" s="19"/>
      <c r="ET263" s="19"/>
      <c r="EU263" s="19"/>
      <c r="EV263" s="19"/>
      <c r="EW263" s="19"/>
      <c r="EX263" s="19"/>
      <c r="EY263" s="19"/>
      <c r="EZ263" s="19"/>
      <c r="FA263" s="19"/>
      <c r="FB263" s="19"/>
      <c r="FC263" s="19"/>
      <c r="FD263" s="19"/>
      <c r="FE263" s="19"/>
      <c r="FF263" s="19"/>
      <c r="FG263" s="19"/>
      <c r="FH263" s="19"/>
      <c r="FI263" s="19"/>
    </row>
    <row r="264" spans="1:165" x14ac:dyDescent="0.25">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c r="BE264" s="19"/>
      <c r="BF264" s="19"/>
      <c r="BG264" s="19"/>
      <c r="BH264" s="19"/>
      <c r="BI264" s="19"/>
      <c r="BJ264" s="19"/>
      <c r="BK264" s="19"/>
      <c r="BL264" s="19"/>
      <c r="BM264" s="19"/>
      <c r="BN264" s="19"/>
      <c r="BO264" s="19"/>
      <c r="BP264" s="19"/>
      <c r="BQ264" s="19"/>
      <c r="BR264" s="19"/>
      <c r="BS264" s="19"/>
      <c r="BT264" s="19"/>
      <c r="BU264" s="19"/>
      <c r="BV264" s="19"/>
      <c r="BW264" s="19"/>
      <c r="BX264" s="19"/>
      <c r="BY264" s="19"/>
      <c r="BZ264" s="19"/>
      <c r="CA264" s="19"/>
      <c r="CB264" s="19"/>
      <c r="CC264" s="19"/>
      <c r="CD264" s="19"/>
      <c r="CE264" s="19"/>
      <c r="CF264" s="19"/>
      <c r="CG264" s="19"/>
      <c r="CH264" s="19"/>
      <c r="CI264" s="19"/>
      <c r="CJ264" s="19"/>
      <c r="CK264" s="19"/>
      <c r="CL264" s="19"/>
      <c r="CM264" s="19"/>
      <c r="CN264" s="19"/>
      <c r="CO264" s="19"/>
      <c r="CP264" s="19"/>
      <c r="CQ264" s="19"/>
      <c r="CR264" s="19"/>
      <c r="CS264" s="19"/>
      <c r="CT264" s="19"/>
      <c r="CU264" s="19"/>
      <c r="CV264" s="19"/>
      <c r="CW264" s="19"/>
      <c r="CX264" s="19"/>
      <c r="CY264" s="19"/>
      <c r="CZ264" s="19"/>
      <c r="DA264" s="19"/>
      <c r="DB264" s="19"/>
      <c r="DC264" s="19"/>
      <c r="DD264" s="19"/>
      <c r="DE264" s="19"/>
      <c r="DF264" s="19"/>
      <c r="DG264" s="19"/>
      <c r="DH264" s="19"/>
      <c r="DI264" s="19"/>
      <c r="DJ264" s="19"/>
      <c r="DK264" s="19"/>
      <c r="DL264" s="19"/>
      <c r="DM264" s="19"/>
      <c r="DN264" s="19"/>
      <c r="DO264" s="19"/>
      <c r="DP264" s="19"/>
      <c r="DQ264" s="19"/>
      <c r="DR264" s="19"/>
      <c r="DS264" s="19"/>
      <c r="DT264" s="19"/>
      <c r="DU264" s="19"/>
      <c r="DV264" s="19"/>
      <c r="DW264" s="19"/>
      <c r="DX264" s="19"/>
      <c r="DY264" s="19"/>
      <c r="DZ264" s="19"/>
      <c r="EA264" s="19"/>
      <c r="EB264" s="19"/>
      <c r="EC264" s="19"/>
      <c r="ED264" s="19"/>
      <c r="EE264" s="19"/>
      <c r="EF264" s="19"/>
      <c r="EG264" s="19"/>
      <c r="EH264" s="19"/>
      <c r="EI264" s="19"/>
      <c r="EJ264" s="19"/>
      <c r="EK264" s="19"/>
      <c r="EL264" s="19"/>
      <c r="EM264" s="19"/>
      <c r="EN264" s="19"/>
      <c r="EO264" s="19"/>
      <c r="EP264" s="19"/>
      <c r="EQ264" s="19"/>
      <c r="ER264" s="19"/>
      <c r="ES264" s="19"/>
      <c r="ET264" s="19"/>
      <c r="EU264" s="19"/>
      <c r="EV264" s="19"/>
      <c r="EW264" s="19"/>
      <c r="EX264" s="19"/>
      <c r="EY264" s="19"/>
      <c r="EZ264" s="19"/>
      <c r="FA264" s="19"/>
      <c r="FB264" s="19"/>
      <c r="FC264" s="19"/>
      <c r="FD264" s="19"/>
      <c r="FE264" s="19"/>
      <c r="FF264" s="19"/>
      <c r="FG264" s="19"/>
      <c r="FH264" s="19"/>
      <c r="FI264" s="19"/>
    </row>
    <row r="265" spans="1:165" x14ac:dyDescent="0.25">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c r="BE265" s="19"/>
      <c r="BF265" s="19"/>
      <c r="BG265" s="19"/>
      <c r="BH265" s="19"/>
      <c r="BI265" s="19"/>
      <c r="BJ265" s="19"/>
      <c r="BK265" s="19"/>
      <c r="BL265" s="19"/>
      <c r="BM265" s="19"/>
      <c r="BN265" s="19"/>
      <c r="BO265" s="19"/>
      <c r="BP265" s="19"/>
      <c r="BQ265" s="19"/>
      <c r="BR265" s="19"/>
      <c r="BS265" s="19"/>
      <c r="BT265" s="19"/>
      <c r="BU265" s="19"/>
      <c r="BV265" s="19"/>
      <c r="BW265" s="19"/>
      <c r="BX265" s="19"/>
      <c r="BY265" s="19"/>
      <c r="BZ265" s="19"/>
      <c r="CA265" s="19"/>
      <c r="CB265" s="19"/>
      <c r="CC265" s="19"/>
      <c r="CD265" s="19"/>
      <c r="CE265" s="19"/>
      <c r="CF265" s="19"/>
      <c r="CG265" s="19"/>
      <c r="CH265" s="19"/>
      <c r="CI265" s="19"/>
      <c r="CJ265" s="19"/>
      <c r="CK265" s="19"/>
      <c r="CL265" s="19"/>
      <c r="CM265" s="19"/>
      <c r="CN265" s="19"/>
      <c r="CO265" s="19"/>
      <c r="CP265" s="19"/>
      <c r="CQ265" s="19"/>
      <c r="CR265" s="19"/>
      <c r="CS265" s="19"/>
      <c r="CT265" s="19"/>
      <c r="CU265" s="19"/>
      <c r="CV265" s="19"/>
      <c r="CW265" s="19"/>
      <c r="CX265" s="19"/>
      <c r="CY265" s="19"/>
      <c r="CZ265" s="19"/>
      <c r="DA265" s="19"/>
      <c r="DB265" s="19"/>
      <c r="DC265" s="19"/>
      <c r="DD265" s="19"/>
      <c r="DE265" s="19"/>
      <c r="DF265" s="19"/>
      <c r="DG265" s="19"/>
      <c r="DH265" s="19"/>
      <c r="DI265" s="19"/>
      <c r="DJ265" s="19"/>
      <c r="DK265" s="19"/>
      <c r="DL265" s="19"/>
      <c r="DM265" s="19"/>
      <c r="DN265" s="19"/>
      <c r="DO265" s="19"/>
      <c r="DP265" s="19"/>
      <c r="DQ265" s="19"/>
      <c r="DR265" s="19"/>
      <c r="DS265" s="19"/>
      <c r="DT265" s="19"/>
      <c r="DU265" s="19"/>
      <c r="DV265" s="19"/>
      <c r="DW265" s="19"/>
      <c r="DX265" s="19"/>
      <c r="DY265" s="19"/>
      <c r="DZ265" s="19"/>
      <c r="EA265" s="19"/>
      <c r="EB265" s="19"/>
      <c r="EC265" s="19"/>
      <c r="ED265" s="19"/>
      <c r="EE265" s="19"/>
      <c r="EF265" s="19"/>
      <c r="EG265" s="19"/>
      <c r="EH265" s="19"/>
      <c r="EI265" s="19"/>
      <c r="EJ265" s="19"/>
      <c r="EK265" s="19"/>
      <c r="EL265" s="19"/>
      <c r="EM265" s="19"/>
      <c r="EN265" s="19"/>
      <c r="EO265" s="19"/>
      <c r="EP265" s="19"/>
      <c r="EQ265" s="19"/>
      <c r="ER265" s="19"/>
      <c r="ES265" s="19"/>
      <c r="ET265" s="19"/>
      <c r="EU265" s="19"/>
      <c r="EV265" s="19"/>
      <c r="EW265" s="19"/>
      <c r="EX265" s="19"/>
      <c r="EY265" s="19"/>
      <c r="EZ265" s="19"/>
      <c r="FA265" s="19"/>
      <c r="FB265" s="19"/>
      <c r="FC265" s="19"/>
      <c r="FD265" s="19"/>
      <c r="FE265" s="19"/>
      <c r="FF265" s="19"/>
      <c r="FG265" s="19"/>
      <c r="FH265" s="19"/>
      <c r="FI265" s="19"/>
    </row>
    <row r="266" spans="1:165" x14ac:dyDescent="0.25">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c r="BE266" s="19"/>
      <c r="BF266" s="19"/>
      <c r="BG266" s="19"/>
      <c r="BH266" s="19"/>
      <c r="BI266" s="19"/>
      <c r="BJ266" s="19"/>
      <c r="BK266" s="19"/>
      <c r="BL266" s="19"/>
      <c r="BM266" s="19"/>
      <c r="BN266" s="19"/>
      <c r="BO266" s="19"/>
      <c r="BP266" s="19"/>
      <c r="BQ266" s="19"/>
      <c r="BR266" s="19"/>
      <c r="BS266" s="19"/>
      <c r="BT266" s="19"/>
      <c r="BU266" s="19"/>
      <c r="BV266" s="19"/>
      <c r="BW266" s="19"/>
      <c r="BX266" s="19"/>
      <c r="BY266" s="19"/>
      <c r="BZ266" s="19"/>
      <c r="CA266" s="19"/>
      <c r="CB266" s="19"/>
      <c r="CC266" s="19"/>
      <c r="CD266" s="19"/>
      <c r="CE266" s="19"/>
      <c r="CF266" s="19"/>
      <c r="CG266" s="19"/>
      <c r="CH266" s="19"/>
      <c r="CI266" s="19"/>
      <c r="CJ266" s="19"/>
      <c r="CK266" s="19"/>
      <c r="CL266" s="19"/>
      <c r="CM266" s="19"/>
      <c r="CN266" s="19"/>
      <c r="CO266" s="19"/>
      <c r="CP266" s="19"/>
      <c r="CQ266" s="19"/>
      <c r="CR266" s="19"/>
      <c r="CS266" s="19"/>
      <c r="CT266" s="19"/>
      <c r="CU266" s="19"/>
      <c r="CV266" s="19"/>
      <c r="CW266" s="19"/>
      <c r="CX266" s="19"/>
      <c r="CY266" s="19"/>
      <c r="CZ266" s="19"/>
      <c r="DA266" s="19"/>
      <c r="DB266" s="19"/>
      <c r="DC266" s="19"/>
      <c r="DD266" s="19"/>
      <c r="DE266" s="19"/>
      <c r="DF266" s="19"/>
      <c r="DG266" s="19"/>
      <c r="DH266" s="19"/>
      <c r="DI266" s="19"/>
      <c r="DJ266" s="19"/>
      <c r="DK266" s="19"/>
      <c r="DL266" s="19"/>
      <c r="DM266" s="19"/>
      <c r="DN266" s="19"/>
      <c r="DO266" s="19"/>
      <c r="DP266" s="19"/>
      <c r="DQ266" s="19"/>
      <c r="DR266" s="19"/>
      <c r="DS266" s="19"/>
      <c r="DT266" s="19"/>
      <c r="DU266" s="19"/>
      <c r="DV266" s="19"/>
      <c r="DW266" s="19"/>
      <c r="DX266" s="19"/>
      <c r="DY266" s="19"/>
      <c r="DZ266" s="19"/>
      <c r="EA266" s="19"/>
      <c r="EB266" s="19"/>
      <c r="EC266" s="19"/>
      <c r="ED266" s="19"/>
      <c r="EE266" s="19"/>
      <c r="EF266" s="19"/>
      <c r="EG266" s="19"/>
      <c r="EH266" s="19"/>
      <c r="EI266" s="19"/>
      <c r="EJ266" s="19"/>
      <c r="EK266" s="19"/>
      <c r="EL266" s="19"/>
      <c r="EM266" s="19"/>
      <c r="EN266" s="19"/>
      <c r="EO266" s="19"/>
      <c r="EP266" s="19"/>
      <c r="EQ266" s="19"/>
      <c r="ER266" s="19"/>
      <c r="ES266" s="19"/>
      <c r="ET266" s="19"/>
      <c r="EU266" s="19"/>
      <c r="EV266" s="19"/>
      <c r="EW266" s="19"/>
      <c r="EX266" s="19"/>
      <c r="EY266" s="19"/>
      <c r="EZ266" s="19"/>
      <c r="FA266" s="19"/>
      <c r="FB266" s="19"/>
      <c r="FC266" s="19"/>
      <c r="FD266" s="19"/>
      <c r="FE266" s="19"/>
      <c r="FF266" s="19"/>
      <c r="FG266" s="19"/>
      <c r="FH266" s="19"/>
      <c r="FI266" s="19"/>
    </row>
    <row r="267" spans="1:165" x14ac:dyDescent="0.25">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c r="BE267" s="19"/>
      <c r="BF267" s="19"/>
      <c r="BG267" s="19"/>
      <c r="BH267" s="19"/>
      <c r="BI267" s="19"/>
      <c r="BJ267" s="19"/>
      <c r="BK267" s="19"/>
      <c r="BL267" s="19"/>
      <c r="BM267" s="19"/>
      <c r="BN267" s="19"/>
      <c r="BO267" s="19"/>
      <c r="BP267" s="19"/>
      <c r="BQ267" s="19"/>
      <c r="BR267" s="19"/>
      <c r="BS267" s="19"/>
      <c r="BT267" s="19"/>
      <c r="BU267" s="19"/>
      <c r="BV267" s="19"/>
      <c r="BW267" s="19"/>
      <c r="BX267" s="19"/>
      <c r="BY267" s="19"/>
      <c r="BZ267" s="19"/>
      <c r="CA267" s="19"/>
      <c r="CB267" s="19"/>
      <c r="CC267" s="19"/>
      <c r="CD267" s="19"/>
      <c r="CE267" s="19"/>
      <c r="CF267" s="19"/>
      <c r="CG267" s="19"/>
      <c r="CH267" s="19"/>
      <c r="CI267" s="19"/>
      <c r="CJ267" s="19"/>
      <c r="CK267" s="19"/>
      <c r="CL267" s="19"/>
      <c r="CM267" s="19"/>
      <c r="CN267" s="19"/>
      <c r="CO267" s="19"/>
      <c r="CP267" s="19"/>
      <c r="CQ267" s="19"/>
      <c r="CR267" s="19"/>
      <c r="CS267" s="19"/>
      <c r="CT267" s="19"/>
      <c r="CU267" s="19"/>
      <c r="CV267" s="19"/>
      <c r="CW267" s="19"/>
      <c r="CX267" s="19"/>
      <c r="CY267" s="19"/>
      <c r="CZ267" s="19"/>
      <c r="DA267" s="19"/>
      <c r="DB267" s="19"/>
      <c r="DC267" s="19"/>
      <c r="DD267" s="19"/>
      <c r="DE267" s="19"/>
      <c r="DF267" s="19"/>
      <c r="DG267" s="19"/>
      <c r="DH267" s="19"/>
      <c r="DI267" s="19"/>
      <c r="DJ267" s="19"/>
      <c r="DK267" s="19"/>
      <c r="DL267" s="19"/>
      <c r="DM267" s="19"/>
      <c r="DN267" s="19"/>
      <c r="DO267" s="19"/>
      <c r="DP267" s="19"/>
      <c r="DQ267" s="19"/>
      <c r="DR267" s="19"/>
      <c r="DS267" s="19"/>
      <c r="DT267" s="19"/>
      <c r="DU267" s="19"/>
      <c r="DV267" s="19"/>
      <c r="DW267" s="19"/>
      <c r="DX267" s="19"/>
      <c r="DY267" s="19"/>
      <c r="DZ267" s="19"/>
      <c r="EA267" s="19"/>
      <c r="EB267" s="19"/>
      <c r="EC267" s="19"/>
      <c r="ED267" s="19"/>
      <c r="EE267" s="19"/>
      <c r="EF267" s="19"/>
      <c r="EG267" s="19"/>
      <c r="EH267" s="19"/>
      <c r="EI267" s="19"/>
      <c r="EJ267" s="19"/>
      <c r="EK267" s="19"/>
      <c r="EL267" s="19"/>
      <c r="EM267" s="19"/>
      <c r="EN267" s="19"/>
      <c r="EO267" s="19"/>
      <c r="EP267" s="19"/>
      <c r="EQ267" s="19"/>
      <c r="ER267" s="19"/>
      <c r="ES267" s="19"/>
      <c r="ET267" s="19"/>
      <c r="EU267" s="19"/>
      <c r="EV267" s="19"/>
      <c r="EW267" s="19"/>
      <c r="EX267" s="19"/>
      <c r="EY267" s="19"/>
      <c r="EZ267" s="19"/>
      <c r="FA267" s="19"/>
      <c r="FB267" s="19"/>
      <c r="FC267" s="19"/>
      <c r="FD267" s="19"/>
      <c r="FE267" s="19"/>
      <c r="FF267" s="19"/>
      <c r="FG267" s="19"/>
      <c r="FH267" s="19"/>
      <c r="FI267" s="19"/>
    </row>
    <row r="268" spans="1:165" x14ac:dyDescent="0.25">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c r="BE268" s="19"/>
      <c r="BF268" s="19"/>
      <c r="BG268" s="19"/>
      <c r="BH268" s="19"/>
      <c r="BI268" s="19"/>
      <c r="BJ268" s="19"/>
      <c r="BK268" s="19"/>
      <c r="BL268" s="19"/>
      <c r="BM268" s="19"/>
      <c r="BN268" s="19"/>
      <c r="BO268" s="19"/>
      <c r="BP268" s="19"/>
      <c r="BQ268" s="19"/>
      <c r="BR268" s="19"/>
      <c r="BS268" s="19"/>
      <c r="BT268" s="19"/>
      <c r="BU268" s="19"/>
      <c r="BV268" s="19"/>
      <c r="BW268" s="19"/>
      <c r="BX268" s="19"/>
      <c r="BY268" s="19"/>
      <c r="BZ268" s="19"/>
      <c r="CA268" s="19"/>
      <c r="CB268" s="19"/>
      <c r="CC268" s="19"/>
      <c r="CD268" s="19"/>
      <c r="CE268" s="19"/>
      <c r="CF268" s="19"/>
      <c r="CG268" s="19"/>
      <c r="CH268" s="19"/>
      <c r="CI268" s="19"/>
      <c r="CJ268" s="19"/>
      <c r="CK268" s="19"/>
      <c r="CL268" s="19"/>
      <c r="CM268" s="19"/>
      <c r="CN268" s="19"/>
      <c r="CO268" s="19"/>
      <c r="CP268" s="19"/>
      <c r="CQ268" s="19"/>
      <c r="CR268" s="19"/>
      <c r="CS268" s="19"/>
      <c r="CT268" s="19"/>
      <c r="CU268" s="19"/>
      <c r="CV268" s="19"/>
      <c r="CW268" s="19"/>
      <c r="CX268" s="19"/>
      <c r="CY268" s="19"/>
      <c r="CZ268" s="19"/>
      <c r="DA268" s="19"/>
      <c r="DB268" s="19"/>
      <c r="DC268" s="19"/>
      <c r="DD268" s="19"/>
      <c r="DE268" s="19"/>
      <c r="DF268" s="19"/>
      <c r="DG268" s="19"/>
      <c r="DH268" s="19"/>
      <c r="DI268" s="19"/>
      <c r="DJ268" s="19"/>
      <c r="DK268" s="19"/>
      <c r="DL268" s="19"/>
      <c r="DM268" s="19"/>
      <c r="DN268" s="19"/>
      <c r="DO268" s="19"/>
      <c r="DP268" s="19"/>
      <c r="DQ268" s="19"/>
      <c r="DR268" s="19"/>
      <c r="DS268" s="19"/>
      <c r="DT268" s="19"/>
      <c r="DU268" s="19"/>
      <c r="DV268" s="19"/>
      <c r="DW268" s="19"/>
      <c r="DX268" s="19"/>
      <c r="DY268" s="19"/>
      <c r="DZ268" s="19"/>
      <c r="EA268" s="19"/>
      <c r="EB268" s="19"/>
      <c r="EC268" s="19"/>
      <c r="ED268" s="19"/>
      <c r="EE268" s="19"/>
      <c r="EF268" s="19"/>
      <c r="EG268" s="19"/>
      <c r="EH268" s="19"/>
      <c r="EI268" s="19"/>
      <c r="EJ268" s="19"/>
      <c r="EK268" s="19"/>
      <c r="EL268" s="19"/>
      <c r="EM268" s="19"/>
      <c r="EN268" s="19"/>
      <c r="EO268" s="19"/>
      <c r="EP268" s="19"/>
      <c r="EQ268" s="19"/>
      <c r="ER268" s="19"/>
      <c r="ES268" s="19"/>
      <c r="ET268" s="19"/>
      <c r="EU268" s="19"/>
      <c r="EV268" s="19"/>
      <c r="EW268" s="19"/>
      <c r="EX268" s="19"/>
      <c r="EY268" s="19"/>
      <c r="EZ268" s="19"/>
      <c r="FA268" s="19"/>
      <c r="FB268" s="19"/>
      <c r="FC268" s="19"/>
      <c r="FD268" s="19"/>
      <c r="FE268" s="19"/>
      <c r="FF268" s="19"/>
      <c r="FG268" s="19"/>
      <c r="FH268" s="19"/>
      <c r="FI268" s="19"/>
    </row>
    <row r="269" spans="1:165" x14ac:dyDescent="0.25">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c r="BE269" s="19"/>
      <c r="BF269" s="19"/>
      <c r="BG269" s="19"/>
      <c r="BH269" s="19"/>
      <c r="BI269" s="19"/>
      <c r="BJ269" s="19"/>
      <c r="BK269" s="19"/>
      <c r="BL269" s="19"/>
      <c r="BM269" s="19"/>
      <c r="BN269" s="19"/>
      <c r="BO269" s="19"/>
      <c r="BP269" s="19"/>
      <c r="BQ269" s="19"/>
      <c r="BR269" s="19"/>
      <c r="BS269" s="19"/>
      <c r="BT269" s="19"/>
      <c r="BU269" s="19"/>
      <c r="BV269" s="19"/>
      <c r="BW269" s="19"/>
      <c r="BX269" s="19"/>
      <c r="BY269" s="19"/>
      <c r="BZ269" s="19"/>
      <c r="CA269" s="19"/>
      <c r="CB269" s="19"/>
      <c r="CC269" s="19"/>
      <c r="CD269" s="19"/>
      <c r="CE269" s="19"/>
      <c r="CF269" s="19"/>
      <c r="CG269" s="19"/>
      <c r="CH269" s="19"/>
      <c r="CI269" s="19"/>
      <c r="CJ269" s="19"/>
      <c r="CK269" s="19"/>
      <c r="CL269" s="19"/>
      <c r="CM269" s="19"/>
      <c r="CN269" s="19"/>
      <c r="CO269" s="19"/>
      <c r="CP269" s="19"/>
      <c r="CQ269" s="19"/>
      <c r="CR269" s="19"/>
      <c r="CS269" s="19"/>
      <c r="CT269" s="19"/>
      <c r="CU269" s="19"/>
      <c r="CV269" s="19"/>
      <c r="CW269" s="19"/>
      <c r="CX269" s="19"/>
      <c r="CY269" s="19"/>
      <c r="CZ269" s="19"/>
      <c r="DA269" s="19"/>
      <c r="DB269" s="19"/>
      <c r="DC269" s="19"/>
      <c r="DD269" s="19"/>
      <c r="DE269" s="19"/>
      <c r="DF269" s="19"/>
      <c r="DG269" s="19"/>
      <c r="DH269" s="19"/>
      <c r="DI269" s="19"/>
      <c r="DJ269" s="19"/>
      <c r="DK269" s="19"/>
      <c r="DL269" s="19"/>
      <c r="DM269" s="19"/>
      <c r="DN269" s="19"/>
      <c r="DO269" s="19"/>
      <c r="DP269" s="19"/>
      <c r="DQ269" s="19"/>
      <c r="DR269" s="19"/>
      <c r="DS269" s="19"/>
      <c r="DT269" s="19"/>
      <c r="DU269" s="19"/>
      <c r="DV269" s="19"/>
      <c r="DW269" s="19"/>
      <c r="DX269" s="19"/>
      <c r="DY269" s="19"/>
      <c r="DZ269" s="19"/>
      <c r="EA269" s="19"/>
      <c r="EB269" s="19"/>
      <c r="EC269" s="19"/>
      <c r="ED269" s="19"/>
      <c r="EE269" s="19"/>
      <c r="EF269" s="19"/>
      <c r="EG269" s="19"/>
      <c r="EH269" s="19"/>
      <c r="EI269" s="19"/>
      <c r="EJ269" s="19"/>
      <c r="EK269" s="19"/>
      <c r="EL269" s="19"/>
      <c r="EM269" s="19"/>
      <c r="EN269" s="19"/>
      <c r="EO269" s="19"/>
      <c r="EP269" s="19"/>
      <c r="EQ269" s="19"/>
      <c r="ER269" s="19"/>
      <c r="ES269" s="19"/>
      <c r="ET269" s="19"/>
      <c r="EU269" s="19"/>
      <c r="EV269" s="19"/>
      <c r="EW269" s="19"/>
      <c r="EX269" s="19"/>
      <c r="EY269" s="19"/>
      <c r="EZ269" s="19"/>
      <c r="FA269" s="19"/>
      <c r="FB269" s="19"/>
      <c r="FC269" s="19"/>
      <c r="FD269" s="19"/>
      <c r="FE269" s="19"/>
      <c r="FF269" s="19"/>
      <c r="FG269" s="19"/>
      <c r="FH269" s="19"/>
      <c r="FI269" s="19"/>
    </row>
    <row r="270" spans="1:165" x14ac:dyDescent="0.25">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c r="BE270" s="19"/>
      <c r="BF270" s="19"/>
      <c r="BG270" s="19"/>
      <c r="BH270" s="19"/>
      <c r="BI270" s="19"/>
      <c r="BJ270" s="19"/>
      <c r="BK270" s="19"/>
      <c r="BL270" s="19"/>
      <c r="BM270" s="19"/>
      <c r="BN270" s="19"/>
      <c r="BO270" s="19"/>
      <c r="BP270" s="19"/>
      <c r="BQ270" s="19"/>
      <c r="BR270" s="19"/>
      <c r="BS270" s="19"/>
      <c r="BT270" s="19"/>
      <c r="BU270" s="19"/>
      <c r="BV270" s="19"/>
      <c r="BW270" s="19"/>
      <c r="BX270" s="19"/>
      <c r="BY270" s="19"/>
      <c r="BZ270" s="19"/>
      <c r="CA270" s="19"/>
      <c r="CB270" s="19"/>
      <c r="CC270" s="19"/>
      <c r="CD270" s="19"/>
      <c r="CE270" s="19"/>
      <c r="CF270" s="19"/>
      <c r="CG270" s="19"/>
      <c r="CH270" s="19"/>
      <c r="CI270" s="19"/>
      <c r="CJ270" s="19"/>
      <c r="CK270" s="19"/>
      <c r="CL270" s="19"/>
      <c r="CM270" s="19"/>
      <c r="CN270" s="19"/>
      <c r="CO270" s="19"/>
      <c r="CP270" s="19"/>
      <c r="CQ270" s="19"/>
      <c r="CR270" s="19"/>
      <c r="CS270" s="19"/>
      <c r="CT270" s="19"/>
      <c r="CU270" s="19"/>
      <c r="CV270" s="19"/>
      <c r="CW270" s="19"/>
      <c r="CX270" s="19"/>
      <c r="CY270" s="19"/>
      <c r="CZ270" s="19"/>
      <c r="DA270" s="19"/>
      <c r="DB270" s="19"/>
      <c r="DC270" s="19"/>
      <c r="DD270" s="19"/>
      <c r="DE270" s="19"/>
      <c r="DF270" s="19"/>
      <c r="DG270" s="19"/>
      <c r="DH270" s="19"/>
      <c r="DI270" s="19"/>
      <c r="DJ270" s="19"/>
      <c r="DK270" s="19"/>
      <c r="DL270" s="19"/>
      <c r="DM270" s="19"/>
      <c r="DN270" s="19"/>
      <c r="DO270" s="19"/>
      <c r="DP270" s="19"/>
      <c r="DQ270" s="19"/>
      <c r="DR270" s="19"/>
      <c r="DS270" s="19"/>
      <c r="DT270" s="19"/>
      <c r="DU270" s="19"/>
      <c r="DV270" s="19"/>
      <c r="DW270" s="19"/>
      <c r="DX270" s="19"/>
      <c r="DY270" s="19"/>
      <c r="DZ270" s="19"/>
      <c r="EA270" s="19"/>
      <c r="EB270" s="19"/>
      <c r="EC270" s="19"/>
      <c r="ED270" s="19"/>
      <c r="EE270" s="19"/>
      <c r="EF270" s="19"/>
      <c r="EG270" s="19"/>
      <c r="EH270" s="19"/>
      <c r="EI270" s="19"/>
      <c r="EJ270" s="19"/>
      <c r="EK270" s="19"/>
      <c r="EL270" s="19"/>
      <c r="EM270" s="19"/>
      <c r="EN270" s="19"/>
      <c r="EO270" s="19"/>
      <c r="EP270" s="19"/>
      <c r="EQ270" s="19"/>
      <c r="ER270" s="19"/>
      <c r="ES270" s="19"/>
      <c r="ET270" s="19"/>
      <c r="EU270" s="19"/>
      <c r="EV270" s="19"/>
      <c r="EW270" s="19"/>
      <c r="EX270" s="19"/>
      <c r="EY270" s="19"/>
      <c r="EZ270" s="19"/>
      <c r="FA270" s="19"/>
      <c r="FB270" s="19"/>
      <c r="FC270" s="19"/>
      <c r="FD270" s="19"/>
      <c r="FE270" s="19"/>
      <c r="FF270" s="19"/>
      <c r="FG270" s="19"/>
      <c r="FH270" s="19"/>
      <c r="FI270" s="19"/>
    </row>
    <row r="271" spans="1:165" x14ac:dyDescent="0.25">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c r="BE271" s="19"/>
      <c r="BF271" s="19"/>
      <c r="BG271" s="19"/>
      <c r="BH271" s="19"/>
      <c r="BI271" s="19"/>
      <c r="BJ271" s="19"/>
      <c r="BK271" s="19"/>
      <c r="BL271" s="19"/>
      <c r="BM271" s="19"/>
      <c r="BN271" s="19"/>
      <c r="BO271" s="19"/>
      <c r="BP271" s="19"/>
      <c r="BQ271" s="19"/>
      <c r="BR271" s="19"/>
      <c r="BS271" s="19"/>
      <c r="BT271" s="19"/>
      <c r="BU271" s="19"/>
      <c r="BV271" s="19"/>
      <c r="BW271" s="19"/>
      <c r="BX271" s="19"/>
      <c r="BY271" s="19"/>
      <c r="BZ271" s="19"/>
      <c r="CA271" s="19"/>
      <c r="CB271" s="19"/>
      <c r="CC271" s="19"/>
      <c r="CD271" s="19"/>
      <c r="CE271" s="19"/>
      <c r="CF271" s="19"/>
      <c r="CG271" s="19"/>
      <c r="CH271" s="19"/>
      <c r="CI271" s="19"/>
      <c r="CJ271" s="19"/>
      <c r="CK271" s="19"/>
      <c r="CL271" s="19"/>
      <c r="CM271" s="19"/>
      <c r="CN271" s="19"/>
      <c r="CO271" s="19"/>
      <c r="CP271" s="19"/>
      <c r="CQ271" s="19"/>
      <c r="CR271" s="19"/>
      <c r="CS271" s="19"/>
      <c r="CT271" s="19"/>
      <c r="CU271" s="19"/>
      <c r="CV271" s="19"/>
      <c r="CW271" s="19"/>
      <c r="CX271" s="19"/>
      <c r="CY271" s="19"/>
      <c r="CZ271" s="19"/>
      <c r="DA271" s="19"/>
      <c r="DB271" s="19"/>
      <c r="DC271" s="19"/>
      <c r="DD271" s="19"/>
      <c r="DE271" s="19"/>
      <c r="DF271" s="19"/>
      <c r="DG271" s="19"/>
      <c r="DH271" s="19"/>
      <c r="DI271" s="19"/>
      <c r="DJ271" s="19"/>
      <c r="DK271" s="19"/>
      <c r="DL271" s="19"/>
      <c r="DM271" s="19"/>
      <c r="DN271" s="19"/>
      <c r="DO271" s="19"/>
      <c r="DP271" s="19"/>
      <c r="DQ271" s="19"/>
      <c r="DR271" s="19"/>
      <c r="DS271" s="19"/>
      <c r="DT271" s="19"/>
      <c r="DU271" s="19"/>
      <c r="DV271" s="19"/>
      <c r="DW271" s="19"/>
      <c r="DX271" s="19"/>
      <c r="DY271" s="19"/>
      <c r="DZ271" s="19"/>
      <c r="EA271" s="19"/>
      <c r="EB271" s="19"/>
      <c r="EC271" s="19"/>
      <c r="ED271" s="19"/>
      <c r="EE271" s="19"/>
      <c r="EF271" s="19"/>
      <c r="EG271" s="19"/>
      <c r="EH271" s="19"/>
      <c r="EI271" s="19"/>
      <c r="EJ271" s="19"/>
      <c r="EK271" s="19"/>
      <c r="EL271" s="19"/>
      <c r="EM271" s="19"/>
      <c r="EN271" s="19"/>
      <c r="EO271" s="19"/>
      <c r="EP271" s="19"/>
      <c r="EQ271" s="19"/>
      <c r="ER271" s="19"/>
      <c r="ES271" s="19"/>
      <c r="ET271" s="19"/>
      <c r="EU271" s="19"/>
      <c r="EV271" s="19"/>
      <c r="EW271" s="19"/>
      <c r="EX271" s="19"/>
      <c r="EY271" s="19"/>
      <c r="EZ271" s="19"/>
      <c r="FA271" s="19"/>
      <c r="FB271" s="19"/>
      <c r="FC271" s="19"/>
      <c r="FD271" s="19"/>
      <c r="FE271" s="19"/>
      <c r="FF271" s="19"/>
      <c r="FG271" s="19"/>
      <c r="FH271" s="19"/>
      <c r="FI271" s="19"/>
    </row>
    <row r="272" spans="1:165" x14ac:dyDescent="0.25">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c r="BE272" s="19"/>
      <c r="BF272" s="19"/>
      <c r="BG272" s="19"/>
      <c r="BH272" s="19"/>
      <c r="BI272" s="19"/>
      <c r="BJ272" s="19"/>
      <c r="BK272" s="19"/>
      <c r="BL272" s="19"/>
      <c r="BM272" s="19"/>
      <c r="BN272" s="19"/>
      <c r="BO272" s="19"/>
      <c r="BP272" s="19"/>
      <c r="BQ272" s="19"/>
      <c r="BR272" s="19"/>
      <c r="BS272" s="19"/>
      <c r="BT272" s="19"/>
      <c r="BU272" s="19"/>
      <c r="BV272" s="19"/>
      <c r="BW272" s="19"/>
      <c r="BX272" s="19"/>
      <c r="BY272" s="19"/>
      <c r="BZ272" s="19"/>
      <c r="CA272" s="19"/>
      <c r="CB272" s="19"/>
      <c r="CC272" s="19"/>
      <c r="CD272" s="19"/>
      <c r="CE272" s="19"/>
      <c r="CF272" s="19"/>
      <c r="CG272" s="19"/>
      <c r="CH272" s="19"/>
      <c r="CI272" s="19"/>
      <c r="CJ272" s="19"/>
      <c r="CK272" s="19"/>
      <c r="CL272" s="19"/>
      <c r="CM272" s="19"/>
      <c r="CN272" s="19"/>
      <c r="CO272" s="19"/>
      <c r="CP272" s="19"/>
      <c r="CQ272" s="19"/>
      <c r="CR272" s="19"/>
      <c r="CS272" s="19"/>
      <c r="CT272" s="19"/>
      <c r="CU272" s="19"/>
      <c r="CV272" s="19"/>
      <c r="CW272" s="19"/>
      <c r="CX272" s="19"/>
      <c r="CY272" s="19"/>
      <c r="CZ272" s="19"/>
      <c r="DA272" s="19"/>
      <c r="DB272" s="19"/>
      <c r="DC272" s="19"/>
      <c r="DD272" s="19"/>
      <c r="DE272" s="19"/>
      <c r="DF272" s="19"/>
      <c r="DG272" s="19"/>
      <c r="DH272" s="19"/>
      <c r="DI272" s="19"/>
      <c r="DJ272" s="19"/>
      <c r="DK272" s="19"/>
      <c r="DL272" s="19"/>
      <c r="DM272" s="19"/>
      <c r="DN272" s="19"/>
      <c r="DO272" s="19"/>
      <c r="DP272" s="19"/>
      <c r="DQ272" s="19"/>
      <c r="DR272" s="19"/>
      <c r="DS272" s="19"/>
      <c r="DT272" s="19"/>
      <c r="DU272" s="19"/>
      <c r="DV272" s="19"/>
      <c r="DW272" s="19"/>
      <c r="DX272" s="19"/>
      <c r="DY272" s="19"/>
      <c r="DZ272" s="19"/>
      <c r="EA272" s="19"/>
      <c r="EB272" s="19"/>
      <c r="EC272" s="19"/>
      <c r="ED272" s="19"/>
      <c r="EE272" s="19"/>
      <c r="EF272" s="19"/>
      <c r="EG272" s="19"/>
      <c r="EH272" s="19"/>
      <c r="EI272" s="19"/>
      <c r="EJ272" s="19"/>
      <c r="EK272" s="19"/>
      <c r="EL272" s="19"/>
      <c r="EM272" s="19"/>
      <c r="EN272" s="19"/>
      <c r="EO272" s="19"/>
      <c r="EP272" s="19"/>
      <c r="EQ272" s="19"/>
      <c r="ER272" s="19"/>
      <c r="ES272" s="19"/>
      <c r="ET272" s="19"/>
      <c r="EU272" s="19"/>
      <c r="EV272" s="19"/>
      <c r="EW272" s="19"/>
      <c r="EX272" s="19"/>
      <c r="EY272" s="19"/>
      <c r="EZ272" s="19"/>
      <c r="FA272" s="19"/>
      <c r="FB272" s="19"/>
      <c r="FC272" s="19"/>
      <c r="FD272" s="19"/>
      <c r="FE272" s="19"/>
      <c r="FF272" s="19"/>
      <c r="FG272" s="19"/>
      <c r="FH272" s="19"/>
      <c r="FI272" s="19"/>
    </row>
    <row r="273" spans="1:165" x14ac:dyDescent="0.25">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c r="BE273" s="19"/>
      <c r="BF273" s="19"/>
      <c r="BG273" s="19"/>
      <c r="BH273" s="19"/>
      <c r="BI273" s="19"/>
      <c r="BJ273" s="19"/>
      <c r="BK273" s="19"/>
      <c r="BL273" s="19"/>
      <c r="BM273" s="19"/>
      <c r="BN273" s="19"/>
      <c r="BO273" s="19"/>
      <c r="BP273" s="19"/>
      <c r="BQ273" s="19"/>
      <c r="BR273" s="19"/>
      <c r="BS273" s="19"/>
      <c r="BT273" s="19"/>
      <c r="BU273" s="19"/>
      <c r="BV273" s="19"/>
      <c r="BW273" s="19"/>
      <c r="BX273" s="19"/>
      <c r="BY273" s="19"/>
      <c r="BZ273" s="19"/>
      <c r="CA273" s="19"/>
      <c r="CB273" s="19"/>
      <c r="CC273" s="19"/>
      <c r="CD273" s="19"/>
      <c r="CE273" s="19"/>
      <c r="CF273" s="19"/>
      <c r="CG273" s="19"/>
      <c r="CH273" s="19"/>
      <c r="CI273" s="19"/>
      <c r="CJ273" s="19"/>
      <c r="CK273" s="19"/>
      <c r="CL273" s="19"/>
      <c r="CM273" s="19"/>
      <c r="CN273" s="19"/>
      <c r="CO273" s="19"/>
      <c r="CP273" s="19"/>
      <c r="CQ273" s="19"/>
      <c r="CR273" s="19"/>
      <c r="CS273" s="19"/>
      <c r="CT273" s="19"/>
      <c r="CU273" s="19"/>
      <c r="CV273" s="19"/>
      <c r="CW273" s="19"/>
      <c r="CX273" s="19"/>
      <c r="CY273" s="19"/>
      <c r="CZ273" s="19"/>
      <c r="DA273" s="19"/>
      <c r="DB273" s="19"/>
      <c r="DC273" s="19"/>
      <c r="DD273" s="19"/>
      <c r="DE273" s="19"/>
      <c r="DF273" s="19"/>
      <c r="DG273" s="19"/>
      <c r="DH273" s="19"/>
      <c r="DI273" s="19"/>
      <c r="DJ273" s="19"/>
      <c r="DK273" s="19"/>
      <c r="DL273" s="19"/>
      <c r="DM273" s="19"/>
      <c r="DN273" s="19"/>
      <c r="DO273" s="19"/>
      <c r="DP273" s="19"/>
      <c r="DQ273" s="19"/>
      <c r="DR273" s="19"/>
      <c r="DS273" s="19"/>
      <c r="DT273" s="19"/>
      <c r="DU273" s="19"/>
      <c r="DV273" s="19"/>
      <c r="DW273" s="19"/>
      <c r="DX273" s="19"/>
      <c r="DY273" s="19"/>
      <c r="DZ273" s="19"/>
      <c r="EA273" s="19"/>
      <c r="EB273" s="19"/>
      <c r="EC273" s="19"/>
      <c r="ED273" s="19"/>
      <c r="EE273" s="19"/>
      <c r="EF273" s="19"/>
      <c r="EG273" s="19"/>
      <c r="EH273" s="19"/>
      <c r="EI273" s="19"/>
      <c r="EJ273" s="19"/>
      <c r="EK273" s="19"/>
      <c r="EL273" s="19"/>
      <c r="EM273" s="19"/>
      <c r="EN273" s="19"/>
      <c r="EO273" s="19"/>
      <c r="EP273" s="19"/>
      <c r="EQ273" s="19"/>
      <c r="ER273" s="19"/>
      <c r="ES273" s="19"/>
      <c r="ET273" s="19"/>
      <c r="EU273" s="19"/>
      <c r="EV273" s="19"/>
      <c r="EW273" s="19"/>
      <c r="EX273" s="19"/>
      <c r="EY273" s="19"/>
      <c r="EZ273" s="19"/>
      <c r="FA273" s="19"/>
      <c r="FB273" s="19"/>
      <c r="FC273" s="19"/>
      <c r="FD273" s="19"/>
      <c r="FE273" s="19"/>
      <c r="FF273" s="19"/>
      <c r="FG273" s="19"/>
      <c r="FH273" s="19"/>
      <c r="FI273" s="19"/>
    </row>
    <row r="274" spans="1:165" x14ac:dyDescent="0.25">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c r="BE274" s="19"/>
      <c r="BF274" s="19"/>
      <c r="BG274" s="19"/>
      <c r="BH274" s="19"/>
      <c r="BI274" s="19"/>
      <c r="BJ274" s="19"/>
      <c r="BK274" s="19"/>
      <c r="BL274" s="19"/>
      <c r="BM274" s="19"/>
      <c r="BN274" s="19"/>
      <c r="BO274" s="19"/>
      <c r="BP274" s="19"/>
      <c r="BQ274" s="19"/>
      <c r="BR274" s="19"/>
      <c r="BS274" s="19"/>
      <c r="BT274" s="19"/>
      <c r="BU274" s="19"/>
      <c r="BV274" s="19"/>
      <c r="BW274" s="19"/>
      <c r="BX274" s="19"/>
      <c r="BY274" s="19"/>
      <c r="BZ274" s="19"/>
      <c r="CA274" s="19"/>
      <c r="CB274" s="19"/>
      <c r="CC274" s="19"/>
      <c r="CD274" s="19"/>
      <c r="CE274" s="19"/>
      <c r="CF274" s="19"/>
      <c r="CG274" s="19"/>
      <c r="CH274" s="19"/>
      <c r="CI274" s="19"/>
      <c r="CJ274" s="19"/>
      <c r="CK274" s="19"/>
      <c r="CL274" s="19"/>
      <c r="CM274" s="19"/>
      <c r="CN274" s="19"/>
      <c r="CO274" s="19"/>
      <c r="CP274" s="19"/>
      <c r="CQ274" s="19"/>
      <c r="CR274" s="19"/>
      <c r="CS274" s="19"/>
      <c r="CT274" s="19"/>
      <c r="CU274" s="19"/>
      <c r="CV274" s="19"/>
      <c r="CW274" s="19"/>
      <c r="CX274" s="19"/>
      <c r="CY274" s="19"/>
      <c r="CZ274" s="19"/>
      <c r="DA274" s="19"/>
      <c r="DB274" s="19"/>
      <c r="DC274" s="19"/>
      <c r="DD274" s="19"/>
      <c r="DE274" s="19"/>
      <c r="DF274" s="19"/>
      <c r="DG274" s="19"/>
      <c r="DH274" s="19"/>
      <c r="DI274" s="19"/>
      <c r="DJ274" s="19"/>
      <c r="DK274" s="19"/>
      <c r="DL274" s="19"/>
      <c r="DM274" s="19"/>
      <c r="DN274" s="19"/>
      <c r="DO274" s="19"/>
      <c r="DP274" s="19"/>
      <c r="DQ274" s="19"/>
      <c r="DR274" s="19"/>
      <c r="DS274" s="19"/>
      <c r="DT274" s="19"/>
      <c r="DU274" s="19"/>
      <c r="DV274" s="19"/>
      <c r="DW274" s="19"/>
      <c r="DX274" s="19"/>
      <c r="DY274" s="19"/>
      <c r="DZ274" s="19"/>
      <c r="EA274" s="19"/>
      <c r="EB274" s="19"/>
      <c r="EC274" s="19"/>
      <c r="ED274" s="19"/>
      <c r="EE274" s="19"/>
      <c r="EF274" s="19"/>
      <c r="EG274" s="19"/>
      <c r="EH274" s="19"/>
      <c r="EI274" s="19"/>
      <c r="EJ274" s="19"/>
      <c r="EK274" s="19"/>
      <c r="EL274" s="19"/>
      <c r="EM274" s="19"/>
      <c r="EN274" s="19"/>
      <c r="EO274" s="19"/>
      <c r="EP274" s="19"/>
      <c r="EQ274" s="19"/>
      <c r="ER274" s="19"/>
      <c r="ES274" s="19"/>
      <c r="ET274" s="19"/>
      <c r="EU274" s="19"/>
      <c r="EV274" s="19"/>
      <c r="EW274" s="19"/>
      <c r="EX274" s="19"/>
      <c r="EY274" s="19"/>
      <c r="EZ274" s="19"/>
      <c r="FA274" s="19"/>
      <c r="FB274" s="19"/>
      <c r="FC274" s="19"/>
      <c r="FD274" s="19"/>
      <c r="FE274" s="19"/>
      <c r="FF274" s="19"/>
      <c r="FG274" s="19"/>
      <c r="FH274" s="19"/>
      <c r="FI274" s="19"/>
    </row>
    <row r="275" spans="1:165" x14ac:dyDescent="0.25">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c r="BE275" s="19"/>
      <c r="BF275" s="19"/>
      <c r="BG275" s="19"/>
      <c r="BH275" s="19"/>
      <c r="BI275" s="19"/>
      <c r="BJ275" s="19"/>
      <c r="BK275" s="19"/>
      <c r="BL275" s="19"/>
      <c r="BM275" s="19"/>
      <c r="BN275" s="19"/>
      <c r="BO275" s="19"/>
      <c r="BP275" s="19"/>
      <c r="BQ275" s="19"/>
      <c r="BR275" s="19"/>
      <c r="BS275" s="19"/>
      <c r="BT275" s="19"/>
      <c r="BU275" s="19"/>
      <c r="BV275" s="19"/>
      <c r="BW275" s="19"/>
      <c r="BX275" s="19"/>
      <c r="BY275" s="19"/>
      <c r="BZ275" s="19"/>
      <c r="CA275" s="19"/>
      <c r="CB275" s="19"/>
      <c r="CC275" s="19"/>
      <c r="CD275" s="19"/>
      <c r="CE275" s="19"/>
      <c r="CF275" s="19"/>
      <c r="CG275" s="19"/>
      <c r="CH275" s="19"/>
      <c r="CI275" s="19"/>
      <c r="CJ275" s="19"/>
      <c r="CK275" s="19"/>
      <c r="CL275" s="19"/>
      <c r="CM275" s="19"/>
      <c r="CN275" s="19"/>
      <c r="CO275" s="19"/>
      <c r="CP275" s="19"/>
      <c r="CQ275" s="19"/>
      <c r="CR275" s="19"/>
      <c r="CS275" s="19"/>
      <c r="CT275" s="19"/>
      <c r="CU275" s="19"/>
      <c r="CV275" s="19"/>
      <c r="CW275" s="19"/>
      <c r="CX275" s="19"/>
      <c r="CY275" s="19"/>
      <c r="CZ275" s="19"/>
      <c r="DA275" s="19"/>
      <c r="DB275" s="19"/>
      <c r="DC275" s="19"/>
      <c r="DD275" s="19"/>
      <c r="DE275" s="19"/>
      <c r="DF275" s="19"/>
      <c r="DG275" s="19"/>
      <c r="DH275" s="19"/>
      <c r="DI275" s="19"/>
      <c r="DJ275" s="19"/>
      <c r="DK275" s="19"/>
      <c r="DL275" s="19"/>
      <c r="DM275" s="19"/>
      <c r="DN275" s="19"/>
      <c r="DO275" s="19"/>
      <c r="DP275" s="19"/>
      <c r="DQ275" s="19"/>
      <c r="DR275" s="19"/>
      <c r="DS275" s="19"/>
      <c r="DT275" s="19"/>
      <c r="DU275" s="19"/>
      <c r="DV275" s="19"/>
      <c r="DW275" s="19"/>
      <c r="DX275" s="19"/>
      <c r="DY275" s="19"/>
      <c r="DZ275" s="19"/>
      <c r="EA275" s="19"/>
      <c r="EB275" s="19"/>
      <c r="EC275" s="19"/>
      <c r="ED275" s="19"/>
      <c r="EE275" s="19"/>
      <c r="EF275" s="19"/>
      <c r="EG275" s="19"/>
      <c r="EH275" s="19"/>
      <c r="EI275" s="19"/>
      <c r="EJ275" s="19"/>
      <c r="EK275" s="19"/>
      <c r="EL275" s="19"/>
      <c r="EM275" s="19"/>
      <c r="EN275" s="19"/>
      <c r="EO275" s="19"/>
      <c r="EP275" s="19"/>
      <c r="EQ275" s="19"/>
      <c r="ER275" s="19"/>
      <c r="ES275" s="19"/>
      <c r="ET275" s="19"/>
      <c r="EU275" s="19"/>
      <c r="EV275" s="19"/>
      <c r="EW275" s="19"/>
      <c r="EX275" s="19"/>
      <c r="EY275" s="19"/>
      <c r="EZ275" s="19"/>
      <c r="FA275" s="19"/>
      <c r="FB275" s="19"/>
      <c r="FC275" s="19"/>
      <c r="FD275" s="19"/>
      <c r="FE275" s="19"/>
      <c r="FF275" s="19"/>
      <c r="FG275" s="19"/>
      <c r="FH275" s="19"/>
      <c r="FI275" s="19"/>
    </row>
    <row r="276" spans="1:165" x14ac:dyDescent="0.25">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c r="BE276" s="19"/>
      <c r="BF276" s="19"/>
      <c r="BG276" s="19"/>
      <c r="BH276" s="19"/>
      <c r="BI276" s="19"/>
      <c r="BJ276" s="19"/>
      <c r="BK276" s="19"/>
      <c r="BL276" s="19"/>
      <c r="BM276" s="19"/>
      <c r="BN276" s="19"/>
      <c r="BO276" s="19"/>
      <c r="BP276" s="19"/>
      <c r="BQ276" s="19"/>
      <c r="BR276" s="19"/>
      <c r="BS276" s="19"/>
      <c r="BT276" s="19"/>
      <c r="BU276" s="19"/>
      <c r="BV276" s="19"/>
      <c r="BW276" s="19"/>
      <c r="BX276" s="19"/>
      <c r="BY276" s="19"/>
      <c r="BZ276" s="19"/>
      <c r="CA276" s="19"/>
      <c r="CB276" s="19"/>
      <c r="CC276" s="19"/>
      <c r="CD276" s="19"/>
      <c r="CE276" s="19"/>
      <c r="CF276" s="19"/>
      <c r="CG276" s="19"/>
      <c r="CH276" s="19"/>
      <c r="CI276" s="19"/>
      <c r="CJ276" s="19"/>
      <c r="CK276" s="19"/>
      <c r="CL276" s="19"/>
      <c r="CM276" s="19"/>
      <c r="CN276" s="19"/>
      <c r="CO276" s="19"/>
      <c r="CP276" s="19"/>
      <c r="CQ276" s="19"/>
      <c r="CR276" s="19"/>
      <c r="CS276" s="19"/>
      <c r="CT276" s="19"/>
      <c r="CU276" s="19"/>
      <c r="CV276" s="19"/>
      <c r="CW276" s="19"/>
      <c r="CX276" s="19"/>
      <c r="CY276" s="19"/>
      <c r="CZ276" s="19"/>
      <c r="DA276" s="19"/>
      <c r="DB276" s="19"/>
      <c r="DC276" s="19"/>
      <c r="DD276" s="19"/>
      <c r="DE276" s="19"/>
      <c r="DF276" s="19"/>
      <c r="DG276" s="19"/>
      <c r="DH276" s="19"/>
      <c r="DI276" s="19"/>
      <c r="DJ276" s="19"/>
      <c r="DK276" s="19"/>
      <c r="DL276" s="19"/>
      <c r="DM276" s="19"/>
      <c r="DN276" s="19"/>
      <c r="DO276" s="19"/>
      <c r="DP276" s="19"/>
      <c r="DQ276" s="19"/>
      <c r="DR276" s="19"/>
      <c r="DS276" s="19"/>
      <c r="DT276" s="19"/>
      <c r="DU276" s="19"/>
      <c r="DV276" s="19"/>
      <c r="DW276" s="19"/>
      <c r="DX276" s="19"/>
      <c r="DY276" s="19"/>
      <c r="DZ276" s="19"/>
      <c r="EA276" s="19"/>
      <c r="EB276" s="19"/>
      <c r="EC276" s="19"/>
      <c r="ED276" s="19"/>
      <c r="EE276" s="19"/>
      <c r="EF276" s="19"/>
      <c r="EG276" s="19"/>
      <c r="EH276" s="19"/>
      <c r="EI276" s="19"/>
      <c r="EJ276" s="19"/>
      <c r="EK276" s="19"/>
      <c r="EL276" s="19"/>
      <c r="EM276" s="19"/>
      <c r="EN276" s="19"/>
      <c r="EO276" s="19"/>
      <c r="EP276" s="19"/>
      <c r="EQ276" s="19"/>
      <c r="ER276" s="19"/>
      <c r="ES276" s="19"/>
      <c r="ET276" s="19"/>
      <c r="EU276" s="19"/>
      <c r="EV276" s="19"/>
      <c r="EW276" s="19"/>
      <c r="EX276" s="19"/>
      <c r="EY276" s="19"/>
      <c r="EZ276" s="19"/>
      <c r="FA276" s="19"/>
      <c r="FB276" s="19"/>
      <c r="FC276" s="19"/>
      <c r="FD276" s="19"/>
      <c r="FE276" s="19"/>
      <c r="FF276" s="19"/>
      <c r="FG276" s="19"/>
      <c r="FH276" s="19"/>
      <c r="FI276" s="19"/>
    </row>
    <row r="277" spans="1:165" x14ac:dyDescent="0.25">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c r="BE277" s="19"/>
      <c r="BF277" s="19"/>
      <c r="BG277" s="19"/>
      <c r="BH277" s="19"/>
      <c r="BI277" s="19"/>
      <c r="BJ277" s="19"/>
      <c r="BK277" s="19"/>
      <c r="BL277" s="19"/>
      <c r="BM277" s="19"/>
      <c r="BN277" s="19"/>
      <c r="BO277" s="19"/>
      <c r="BP277" s="19"/>
      <c r="BQ277" s="19"/>
      <c r="BR277" s="19"/>
      <c r="BS277" s="19"/>
      <c r="BT277" s="19"/>
      <c r="BU277" s="19"/>
      <c r="BV277" s="19"/>
      <c r="BW277" s="19"/>
      <c r="BX277" s="19"/>
      <c r="BY277" s="19"/>
      <c r="BZ277" s="19"/>
      <c r="CA277" s="19"/>
      <c r="CB277" s="19"/>
      <c r="CC277" s="19"/>
      <c r="CD277" s="19"/>
      <c r="CE277" s="19"/>
      <c r="CF277" s="19"/>
      <c r="CG277" s="19"/>
      <c r="CH277" s="19"/>
      <c r="CI277" s="19"/>
      <c r="CJ277" s="19"/>
      <c r="CK277" s="19"/>
      <c r="CL277" s="19"/>
      <c r="CM277" s="19"/>
      <c r="CN277" s="19"/>
      <c r="CO277" s="19"/>
      <c r="CP277" s="19"/>
      <c r="CQ277" s="19"/>
      <c r="CR277" s="19"/>
      <c r="CS277" s="19"/>
      <c r="CT277" s="19"/>
      <c r="CU277" s="19"/>
      <c r="CV277" s="19"/>
      <c r="CW277" s="19"/>
      <c r="CX277" s="19"/>
      <c r="CY277" s="19"/>
      <c r="CZ277" s="19"/>
      <c r="DA277" s="19"/>
      <c r="DB277" s="19"/>
      <c r="DC277" s="19"/>
      <c r="DD277" s="19"/>
      <c r="DE277" s="19"/>
      <c r="DF277" s="19"/>
      <c r="DG277" s="19"/>
      <c r="DH277" s="19"/>
      <c r="DI277" s="19"/>
      <c r="DJ277" s="19"/>
      <c r="DK277" s="19"/>
      <c r="DL277" s="19"/>
      <c r="DM277" s="19"/>
      <c r="DN277" s="19"/>
      <c r="DO277" s="19"/>
      <c r="DP277" s="19"/>
      <c r="DQ277" s="19"/>
      <c r="DR277" s="19"/>
      <c r="DS277" s="19"/>
      <c r="DT277" s="19"/>
      <c r="DU277" s="19"/>
      <c r="DV277" s="19"/>
      <c r="DW277" s="19"/>
      <c r="DX277" s="19"/>
      <c r="DY277" s="19"/>
      <c r="DZ277" s="19"/>
      <c r="EA277" s="19"/>
      <c r="EB277" s="19"/>
      <c r="EC277" s="19"/>
      <c r="ED277" s="19"/>
      <c r="EE277" s="19"/>
      <c r="EF277" s="19"/>
      <c r="EG277" s="19"/>
      <c r="EH277" s="19"/>
      <c r="EI277" s="19"/>
      <c r="EJ277" s="19"/>
      <c r="EK277" s="19"/>
      <c r="EL277" s="19"/>
      <c r="EM277" s="19"/>
      <c r="EN277" s="19"/>
      <c r="EO277" s="19"/>
      <c r="EP277" s="19"/>
      <c r="EQ277" s="19"/>
      <c r="ER277" s="19"/>
      <c r="ES277" s="19"/>
      <c r="ET277" s="19"/>
      <c r="EU277" s="19"/>
      <c r="EV277" s="19"/>
      <c r="EW277" s="19"/>
      <c r="EX277" s="19"/>
      <c r="EY277" s="19"/>
      <c r="EZ277" s="19"/>
      <c r="FA277" s="19"/>
      <c r="FB277" s="19"/>
      <c r="FC277" s="19"/>
      <c r="FD277" s="19"/>
      <c r="FE277" s="19"/>
      <c r="FF277" s="19"/>
      <c r="FG277" s="19"/>
      <c r="FH277" s="19"/>
      <c r="FI277" s="19"/>
    </row>
    <row r="278" spans="1:165" x14ac:dyDescent="0.25">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c r="BE278" s="19"/>
      <c r="BF278" s="19"/>
      <c r="BG278" s="19"/>
      <c r="BH278" s="19"/>
      <c r="BI278" s="19"/>
      <c r="BJ278" s="19"/>
      <c r="BK278" s="19"/>
      <c r="BL278" s="19"/>
      <c r="BM278" s="19"/>
      <c r="BN278" s="19"/>
      <c r="BO278" s="19"/>
      <c r="BP278" s="19"/>
      <c r="BQ278" s="19"/>
      <c r="BR278" s="19"/>
      <c r="BS278" s="19"/>
      <c r="BT278" s="19"/>
      <c r="BU278" s="19"/>
      <c r="BV278" s="19"/>
      <c r="BW278" s="19"/>
      <c r="BX278" s="19"/>
      <c r="BY278" s="19"/>
      <c r="BZ278" s="19"/>
      <c r="CA278" s="19"/>
      <c r="CB278" s="19"/>
      <c r="CC278" s="19"/>
      <c r="CD278" s="19"/>
      <c r="CE278" s="19"/>
      <c r="CF278" s="19"/>
      <c r="CG278" s="19"/>
      <c r="CH278" s="19"/>
      <c r="CI278" s="19"/>
      <c r="CJ278" s="19"/>
      <c r="CK278" s="19"/>
      <c r="CL278" s="19"/>
      <c r="CM278" s="19"/>
      <c r="CN278" s="19"/>
      <c r="CO278" s="19"/>
      <c r="CP278" s="19"/>
      <c r="CQ278" s="19"/>
      <c r="CR278" s="19"/>
      <c r="CS278" s="19"/>
      <c r="CT278" s="19"/>
      <c r="CU278" s="19"/>
      <c r="CV278" s="19"/>
      <c r="CW278" s="19"/>
      <c r="CX278" s="19"/>
      <c r="CY278" s="19"/>
      <c r="CZ278" s="19"/>
      <c r="DA278" s="19"/>
      <c r="DB278" s="19"/>
      <c r="DC278" s="19"/>
      <c r="DD278" s="19"/>
      <c r="DE278" s="19"/>
      <c r="DF278" s="19"/>
      <c r="DG278" s="19"/>
      <c r="DH278" s="19"/>
      <c r="DI278" s="19"/>
      <c r="DJ278" s="19"/>
      <c r="DK278" s="19"/>
      <c r="DL278" s="19"/>
      <c r="DM278" s="19"/>
      <c r="DN278" s="19"/>
      <c r="DO278" s="19"/>
      <c r="DP278" s="19"/>
      <c r="DQ278" s="19"/>
      <c r="DR278" s="19"/>
      <c r="DS278" s="19"/>
      <c r="DT278" s="19"/>
      <c r="DU278" s="19"/>
      <c r="DV278" s="19"/>
      <c r="DW278" s="19"/>
      <c r="DX278" s="19"/>
      <c r="DY278" s="19"/>
      <c r="DZ278" s="19"/>
      <c r="EA278" s="19"/>
      <c r="EB278" s="19"/>
      <c r="EC278" s="19"/>
      <c r="ED278" s="19"/>
      <c r="EE278" s="19"/>
      <c r="EF278" s="19"/>
      <c r="EG278" s="19"/>
      <c r="EH278" s="19"/>
      <c r="EI278" s="19"/>
      <c r="EJ278" s="19"/>
      <c r="EK278" s="19"/>
      <c r="EL278" s="19"/>
      <c r="EM278" s="19"/>
      <c r="EN278" s="19"/>
      <c r="EO278" s="19"/>
      <c r="EP278" s="19"/>
      <c r="EQ278" s="19"/>
      <c r="ER278" s="19"/>
      <c r="ES278" s="19"/>
      <c r="ET278" s="19"/>
      <c r="EU278" s="19"/>
      <c r="EV278" s="19"/>
      <c r="EW278" s="19"/>
      <c r="EX278" s="19"/>
      <c r="EY278" s="19"/>
      <c r="EZ278" s="19"/>
      <c r="FA278" s="19"/>
      <c r="FB278" s="19"/>
      <c r="FC278" s="19"/>
      <c r="FD278" s="19"/>
      <c r="FE278" s="19"/>
      <c r="FF278" s="19"/>
      <c r="FG278" s="19"/>
      <c r="FH278" s="19"/>
      <c r="FI278" s="19"/>
    </row>
    <row r="279" spans="1:165" x14ac:dyDescent="0.25">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c r="BE279" s="19"/>
      <c r="BF279" s="19"/>
      <c r="BG279" s="19"/>
      <c r="BH279" s="19"/>
      <c r="BI279" s="19"/>
      <c r="BJ279" s="19"/>
      <c r="BK279" s="19"/>
      <c r="BL279" s="19"/>
      <c r="BM279" s="19"/>
      <c r="BN279" s="19"/>
      <c r="BO279" s="19"/>
      <c r="BP279" s="19"/>
      <c r="BQ279" s="19"/>
      <c r="BR279" s="19"/>
      <c r="BS279" s="19"/>
      <c r="BT279" s="19"/>
      <c r="BU279" s="19"/>
      <c r="BV279" s="19"/>
      <c r="BW279" s="19"/>
      <c r="BX279" s="19"/>
      <c r="BY279" s="19"/>
      <c r="BZ279" s="19"/>
      <c r="CA279" s="19"/>
      <c r="CB279" s="19"/>
      <c r="CC279" s="19"/>
      <c r="CD279" s="19"/>
      <c r="CE279" s="19"/>
      <c r="CF279" s="19"/>
      <c r="CG279" s="19"/>
      <c r="CH279" s="19"/>
      <c r="CI279" s="19"/>
      <c r="CJ279" s="19"/>
      <c r="CK279" s="19"/>
      <c r="CL279" s="19"/>
      <c r="CM279" s="19"/>
      <c r="CN279" s="19"/>
      <c r="CO279" s="19"/>
      <c r="CP279" s="19"/>
      <c r="CQ279" s="19"/>
      <c r="CR279" s="19"/>
      <c r="CS279" s="19"/>
      <c r="CT279" s="19"/>
      <c r="CU279" s="19"/>
      <c r="CV279" s="19"/>
      <c r="CW279" s="19"/>
      <c r="CX279" s="19"/>
      <c r="CY279" s="19"/>
      <c r="CZ279" s="19"/>
      <c r="DA279" s="19"/>
      <c r="DB279" s="19"/>
      <c r="DC279" s="19"/>
      <c r="DD279" s="19"/>
      <c r="DE279" s="19"/>
      <c r="DF279" s="19"/>
      <c r="DG279" s="19"/>
      <c r="DH279" s="19"/>
      <c r="DI279" s="19"/>
      <c r="DJ279" s="19"/>
      <c r="DK279" s="19"/>
      <c r="DL279" s="19"/>
      <c r="DM279" s="19"/>
      <c r="DN279" s="19"/>
      <c r="DO279" s="19"/>
      <c r="DP279" s="19"/>
      <c r="DQ279" s="19"/>
      <c r="DR279" s="19"/>
      <c r="DS279" s="19"/>
      <c r="DT279" s="19"/>
      <c r="DU279" s="19"/>
      <c r="DV279" s="19"/>
      <c r="DW279" s="19"/>
      <c r="DX279" s="19"/>
      <c r="DY279" s="19"/>
      <c r="DZ279" s="19"/>
      <c r="EA279" s="19"/>
      <c r="EB279" s="19"/>
      <c r="EC279" s="19"/>
      <c r="ED279" s="19"/>
      <c r="EE279" s="19"/>
      <c r="EF279" s="19"/>
      <c r="EG279" s="19"/>
      <c r="EH279" s="19"/>
      <c r="EI279" s="19"/>
      <c r="EJ279" s="19"/>
      <c r="EK279" s="19"/>
      <c r="EL279" s="19"/>
      <c r="EM279" s="19"/>
      <c r="EN279" s="19"/>
      <c r="EO279" s="19"/>
      <c r="EP279" s="19"/>
      <c r="EQ279" s="19"/>
      <c r="ER279" s="19"/>
      <c r="ES279" s="19"/>
      <c r="ET279" s="19"/>
      <c r="EU279" s="19"/>
      <c r="EV279" s="19"/>
      <c r="EW279" s="19"/>
      <c r="EX279" s="19"/>
      <c r="EY279" s="19"/>
      <c r="EZ279" s="19"/>
      <c r="FA279" s="19"/>
      <c r="FB279" s="19"/>
      <c r="FC279" s="19"/>
      <c r="FD279" s="19"/>
      <c r="FE279" s="19"/>
      <c r="FF279" s="19"/>
      <c r="FG279" s="19"/>
      <c r="FH279" s="19"/>
      <c r="FI279" s="19"/>
    </row>
    <row r="280" spans="1:165" x14ac:dyDescent="0.25">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c r="BE280" s="19"/>
      <c r="BF280" s="19"/>
      <c r="BG280" s="19"/>
      <c r="BH280" s="19"/>
      <c r="BI280" s="19"/>
      <c r="BJ280" s="19"/>
      <c r="BK280" s="19"/>
      <c r="BL280" s="19"/>
      <c r="BM280" s="19"/>
      <c r="BN280" s="19"/>
      <c r="BO280" s="19"/>
      <c r="BP280" s="19"/>
      <c r="BQ280" s="19"/>
      <c r="BR280" s="19"/>
      <c r="BS280" s="19"/>
      <c r="BT280" s="19"/>
      <c r="BU280" s="19"/>
      <c r="BV280" s="19"/>
      <c r="BW280" s="19"/>
      <c r="BX280" s="19"/>
      <c r="BY280" s="19"/>
      <c r="BZ280" s="19"/>
      <c r="CA280" s="19"/>
      <c r="CB280" s="19"/>
      <c r="CC280" s="19"/>
      <c r="CD280" s="19"/>
      <c r="CE280" s="19"/>
      <c r="CF280" s="19"/>
      <c r="CG280" s="19"/>
      <c r="CH280" s="19"/>
      <c r="CI280" s="19"/>
      <c r="CJ280" s="19"/>
      <c r="CK280" s="19"/>
      <c r="CL280" s="19"/>
      <c r="CM280" s="19"/>
      <c r="CN280" s="19"/>
      <c r="CO280" s="19"/>
      <c r="CP280" s="19"/>
      <c r="CQ280" s="19"/>
      <c r="CR280" s="19"/>
      <c r="CS280" s="19"/>
      <c r="CT280" s="19"/>
      <c r="CU280" s="19"/>
      <c r="CV280" s="19"/>
      <c r="CW280" s="19"/>
      <c r="CX280" s="19"/>
      <c r="CY280" s="19"/>
      <c r="CZ280" s="19"/>
      <c r="DA280" s="19"/>
      <c r="DB280" s="19"/>
      <c r="DC280" s="19"/>
      <c r="DD280" s="19"/>
      <c r="DE280" s="19"/>
      <c r="DF280" s="19"/>
      <c r="DG280" s="19"/>
      <c r="DH280" s="19"/>
      <c r="DI280" s="19"/>
      <c r="DJ280" s="19"/>
      <c r="DK280" s="19"/>
      <c r="DL280" s="19"/>
      <c r="DM280" s="19"/>
      <c r="DN280" s="19"/>
      <c r="DO280" s="19"/>
      <c r="DP280" s="19"/>
      <c r="DQ280" s="19"/>
      <c r="DR280" s="19"/>
      <c r="DS280" s="19"/>
      <c r="DT280" s="19"/>
      <c r="DU280" s="19"/>
      <c r="DV280" s="19"/>
      <c r="DW280" s="19"/>
      <c r="DX280" s="19"/>
      <c r="DY280" s="19"/>
      <c r="DZ280" s="19"/>
      <c r="EA280" s="19"/>
      <c r="EB280" s="19"/>
      <c r="EC280" s="19"/>
      <c r="ED280" s="19"/>
      <c r="EE280" s="19"/>
      <c r="EF280" s="19"/>
      <c r="EG280" s="19"/>
      <c r="EH280" s="19"/>
      <c r="EI280" s="19"/>
      <c r="EJ280" s="19"/>
      <c r="EK280" s="19"/>
      <c r="EL280" s="19"/>
      <c r="EM280" s="19"/>
      <c r="EN280" s="19"/>
      <c r="EO280" s="19"/>
      <c r="EP280" s="19"/>
      <c r="EQ280" s="19"/>
      <c r="ER280" s="19"/>
      <c r="ES280" s="19"/>
      <c r="ET280" s="19"/>
      <c r="EU280" s="19"/>
      <c r="EV280" s="19"/>
      <c r="EW280" s="19"/>
      <c r="EX280" s="19"/>
      <c r="EY280" s="19"/>
      <c r="EZ280" s="19"/>
      <c r="FA280" s="19"/>
      <c r="FB280" s="19"/>
      <c r="FC280" s="19"/>
      <c r="FD280" s="19"/>
      <c r="FE280" s="19"/>
      <c r="FF280" s="19"/>
      <c r="FG280" s="19"/>
      <c r="FH280" s="19"/>
      <c r="FI280" s="19"/>
    </row>
    <row r="281" spans="1:165" x14ac:dyDescent="0.25">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c r="BE281" s="19"/>
      <c r="BF281" s="19"/>
      <c r="BG281" s="19"/>
      <c r="BH281" s="19"/>
      <c r="BI281" s="19"/>
      <c r="BJ281" s="19"/>
      <c r="BK281" s="19"/>
      <c r="BL281" s="19"/>
      <c r="BM281" s="19"/>
      <c r="BN281" s="19"/>
      <c r="BO281" s="19"/>
      <c r="BP281" s="19"/>
      <c r="BQ281" s="19"/>
      <c r="BR281" s="19"/>
      <c r="BS281" s="19"/>
      <c r="BT281" s="19"/>
      <c r="BU281" s="19"/>
      <c r="BV281" s="19"/>
      <c r="BW281" s="19"/>
      <c r="BX281" s="19"/>
      <c r="BY281" s="19"/>
      <c r="BZ281" s="19"/>
      <c r="CA281" s="19"/>
      <c r="CB281" s="19"/>
      <c r="CC281" s="19"/>
      <c r="CD281" s="19"/>
      <c r="CE281" s="19"/>
      <c r="CF281" s="19"/>
      <c r="CG281" s="19"/>
      <c r="CH281" s="19"/>
      <c r="CI281" s="19"/>
      <c r="CJ281" s="19"/>
      <c r="CK281" s="19"/>
      <c r="CL281" s="19"/>
      <c r="CM281" s="19"/>
      <c r="CN281" s="19"/>
      <c r="CO281" s="19"/>
      <c r="CP281" s="19"/>
      <c r="CQ281" s="19"/>
      <c r="CR281" s="19"/>
      <c r="CS281" s="19"/>
      <c r="CT281" s="19"/>
      <c r="CU281" s="19"/>
      <c r="CV281" s="19"/>
      <c r="CW281" s="19"/>
      <c r="CX281" s="19"/>
      <c r="CY281" s="19"/>
      <c r="CZ281" s="19"/>
      <c r="DA281" s="19"/>
      <c r="DB281" s="19"/>
      <c r="DC281" s="19"/>
      <c r="DD281" s="19"/>
      <c r="DE281" s="19"/>
      <c r="DF281" s="19"/>
      <c r="DG281" s="19"/>
      <c r="DH281" s="19"/>
      <c r="DI281" s="19"/>
      <c r="DJ281" s="19"/>
      <c r="DK281" s="19"/>
      <c r="DL281" s="19"/>
      <c r="DM281" s="19"/>
      <c r="DN281" s="19"/>
      <c r="DO281" s="19"/>
      <c r="DP281" s="19"/>
      <c r="DQ281" s="19"/>
      <c r="DR281" s="19"/>
      <c r="DS281" s="19"/>
      <c r="DT281" s="19"/>
      <c r="DU281" s="19"/>
      <c r="DV281" s="19"/>
      <c r="DW281" s="19"/>
      <c r="DX281" s="19"/>
      <c r="DY281" s="19"/>
      <c r="DZ281" s="19"/>
      <c r="EA281" s="19"/>
      <c r="EB281" s="19"/>
      <c r="EC281" s="19"/>
      <c r="ED281" s="19"/>
      <c r="EE281" s="19"/>
      <c r="EF281" s="19"/>
      <c r="EG281" s="19"/>
      <c r="EH281" s="19"/>
      <c r="EI281" s="19"/>
      <c r="EJ281" s="19"/>
      <c r="EK281" s="19"/>
      <c r="EL281" s="19"/>
      <c r="EM281" s="19"/>
      <c r="EN281" s="19"/>
      <c r="EO281" s="19"/>
      <c r="EP281" s="19"/>
      <c r="EQ281" s="19"/>
      <c r="ER281" s="19"/>
      <c r="ES281" s="19"/>
      <c r="ET281" s="19"/>
      <c r="EU281" s="19"/>
      <c r="EV281" s="19"/>
      <c r="EW281" s="19"/>
      <c r="EX281" s="19"/>
      <c r="EY281" s="19"/>
      <c r="EZ281" s="19"/>
      <c r="FA281" s="19"/>
      <c r="FB281" s="19"/>
      <c r="FC281" s="19"/>
      <c r="FD281" s="19"/>
      <c r="FE281" s="19"/>
      <c r="FF281" s="19"/>
      <c r="FG281" s="19"/>
      <c r="FH281" s="19"/>
      <c r="FI281" s="19"/>
    </row>
    <row r="282" spans="1:165" x14ac:dyDescent="0.25">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c r="BE282" s="19"/>
      <c r="BF282" s="19"/>
      <c r="BG282" s="19"/>
      <c r="BH282" s="19"/>
      <c r="BI282" s="19"/>
      <c r="BJ282" s="19"/>
      <c r="BK282" s="19"/>
      <c r="BL282" s="19"/>
      <c r="BM282" s="19"/>
      <c r="BN282" s="19"/>
      <c r="BO282" s="19"/>
      <c r="BP282" s="19"/>
      <c r="BQ282" s="19"/>
      <c r="BR282" s="19"/>
      <c r="BS282" s="19"/>
      <c r="BT282" s="19"/>
      <c r="BU282" s="19"/>
      <c r="BV282" s="19"/>
      <c r="BW282" s="19"/>
      <c r="BX282" s="19"/>
      <c r="BY282" s="19"/>
      <c r="BZ282" s="19"/>
      <c r="CA282" s="19"/>
      <c r="CB282" s="19"/>
      <c r="CC282" s="19"/>
      <c r="CD282" s="19"/>
      <c r="CE282" s="19"/>
      <c r="CF282" s="19"/>
      <c r="CG282" s="19"/>
      <c r="CH282" s="19"/>
      <c r="CI282" s="19"/>
      <c r="CJ282" s="19"/>
      <c r="CK282" s="19"/>
      <c r="CL282" s="19"/>
      <c r="CM282" s="19"/>
      <c r="CN282" s="19"/>
      <c r="CO282" s="19"/>
      <c r="CP282" s="19"/>
      <c r="CQ282" s="19"/>
      <c r="CR282" s="19"/>
      <c r="CS282" s="19"/>
      <c r="CT282" s="19"/>
      <c r="CU282" s="19"/>
      <c r="CV282" s="19"/>
      <c r="CW282" s="19"/>
      <c r="CX282" s="19"/>
      <c r="CY282" s="19"/>
      <c r="CZ282" s="19"/>
      <c r="DA282" s="19"/>
      <c r="DB282" s="19"/>
      <c r="DC282" s="19"/>
      <c r="DD282" s="19"/>
      <c r="DE282" s="19"/>
      <c r="DF282" s="19"/>
      <c r="DG282" s="19"/>
      <c r="DH282" s="19"/>
      <c r="DI282" s="19"/>
      <c r="DJ282" s="19"/>
      <c r="DK282" s="19"/>
      <c r="DL282" s="19"/>
      <c r="DM282" s="19"/>
      <c r="DN282" s="19"/>
      <c r="DO282" s="19"/>
      <c r="DP282" s="19"/>
      <c r="DQ282" s="19"/>
      <c r="DR282" s="19"/>
      <c r="DS282" s="19"/>
      <c r="DT282" s="19"/>
      <c r="DU282" s="19"/>
      <c r="DV282" s="19"/>
      <c r="DW282" s="19"/>
      <c r="DX282" s="19"/>
      <c r="DY282" s="19"/>
      <c r="DZ282" s="19"/>
      <c r="EA282" s="19"/>
      <c r="EB282" s="19"/>
      <c r="EC282" s="19"/>
      <c r="ED282" s="19"/>
      <c r="EE282" s="19"/>
      <c r="EF282" s="19"/>
      <c r="EG282" s="19"/>
      <c r="EH282" s="19"/>
      <c r="EI282" s="19"/>
      <c r="EJ282" s="19"/>
      <c r="EK282" s="19"/>
      <c r="EL282" s="19"/>
      <c r="EM282" s="19"/>
      <c r="EN282" s="19"/>
      <c r="EO282" s="19"/>
      <c r="EP282" s="19"/>
      <c r="EQ282" s="19"/>
      <c r="ER282" s="19"/>
      <c r="ES282" s="19"/>
      <c r="ET282" s="19"/>
      <c r="EU282" s="19"/>
      <c r="EV282" s="19"/>
      <c r="EW282" s="19"/>
      <c r="EX282" s="19"/>
      <c r="EY282" s="19"/>
      <c r="EZ282" s="19"/>
      <c r="FA282" s="19"/>
      <c r="FB282" s="19"/>
      <c r="FC282" s="19"/>
      <c r="FD282" s="19"/>
      <c r="FE282" s="19"/>
      <c r="FF282" s="19"/>
      <c r="FG282" s="19"/>
      <c r="FH282" s="19"/>
      <c r="FI282" s="19"/>
    </row>
    <row r="283" spans="1:165" x14ac:dyDescent="0.25">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c r="BE283" s="19"/>
      <c r="BF283" s="19"/>
      <c r="BG283" s="19"/>
      <c r="BH283" s="19"/>
      <c r="BI283" s="19"/>
      <c r="BJ283" s="19"/>
      <c r="BK283" s="19"/>
      <c r="BL283" s="19"/>
      <c r="BM283" s="19"/>
      <c r="BN283" s="19"/>
      <c r="BO283" s="19"/>
      <c r="BP283" s="19"/>
      <c r="BQ283" s="19"/>
      <c r="BR283" s="19"/>
      <c r="BS283" s="19"/>
      <c r="BT283" s="19"/>
      <c r="BU283" s="19"/>
      <c r="BV283" s="19"/>
      <c r="BW283" s="19"/>
      <c r="BX283" s="19"/>
      <c r="BY283" s="19"/>
      <c r="BZ283" s="19"/>
      <c r="CA283" s="19"/>
      <c r="CB283" s="19"/>
      <c r="CC283" s="19"/>
      <c r="CD283" s="19"/>
      <c r="CE283" s="19"/>
      <c r="CF283" s="19"/>
      <c r="CG283" s="19"/>
      <c r="CH283" s="19"/>
      <c r="CI283" s="19"/>
      <c r="CJ283" s="19"/>
      <c r="CK283" s="19"/>
      <c r="CL283" s="19"/>
      <c r="CM283" s="19"/>
      <c r="CN283" s="19"/>
      <c r="CO283" s="19"/>
      <c r="CP283" s="19"/>
      <c r="CQ283" s="19"/>
      <c r="CR283" s="19"/>
      <c r="CS283" s="19"/>
      <c r="CT283" s="19"/>
      <c r="CU283" s="19"/>
      <c r="CV283" s="19"/>
      <c r="CW283" s="19"/>
      <c r="CX283" s="19"/>
      <c r="CY283" s="19"/>
      <c r="CZ283" s="19"/>
      <c r="DA283" s="19"/>
      <c r="DB283" s="19"/>
      <c r="DC283" s="19"/>
      <c r="DD283" s="19"/>
      <c r="DE283" s="19"/>
      <c r="DF283" s="19"/>
      <c r="DG283" s="19"/>
      <c r="DH283" s="19"/>
      <c r="DI283" s="19"/>
      <c r="DJ283" s="19"/>
      <c r="DK283" s="19"/>
      <c r="DL283" s="19"/>
      <c r="DM283" s="19"/>
      <c r="DN283" s="19"/>
      <c r="DO283" s="19"/>
      <c r="DP283" s="19"/>
      <c r="DQ283" s="19"/>
      <c r="DR283" s="19"/>
      <c r="DS283" s="19"/>
      <c r="DT283" s="19"/>
      <c r="DU283" s="19"/>
      <c r="DV283" s="19"/>
      <c r="DW283" s="19"/>
      <c r="DX283" s="19"/>
      <c r="DY283" s="19"/>
      <c r="DZ283" s="19"/>
      <c r="EA283" s="19"/>
      <c r="EB283" s="19"/>
      <c r="EC283" s="19"/>
      <c r="ED283" s="19"/>
      <c r="EE283" s="19"/>
      <c r="EF283" s="19"/>
      <c r="EG283" s="19"/>
      <c r="EH283" s="19"/>
      <c r="EI283" s="19"/>
      <c r="EJ283" s="19"/>
      <c r="EK283" s="19"/>
      <c r="EL283" s="19"/>
      <c r="EM283" s="19"/>
      <c r="EN283" s="19"/>
      <c r="EO283" s="19"/>
      <c r="EP283" s="19"/>
      <c r="EQ283" s="19"/>
      <c r="ER283" s="19"/>
      <c r="ES283" s="19"/>
      <c r="ET283" s="19"/>
      <c r="EU283" s="19"/>
      <c r="EV283" s="19"/>
      <c r="EW283" s="19"/>
      <c r="EX283" s="19"/>
      <c r="EY283" s="19"/>
      <c r="EZ283" s="19"/>
      <c r="FA283" s="19"/>
      <c r="FB283" s="19"/>
      <c r="FC283" s="19"/>
      <c r="FD283" s="19"/>
      <c r="FE283" s="19"/>
      <c r="FF283" s="19"/>
      <c r="FG283" s="19"/>
      <c r="FH283" s="19"/>
      <c r="FI283" s="19"/>
    </row>
    <row r="284" spans="1:165" x14ac:dyDescent="0.25">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c r="BE284" s="19"/>
      <c r="BF284" s="19"/>
      <c r="BG284" s="19"/>
      <c r="BH284" s="19"/>
      <c r="BI284" s="19"/>
      <c r="BJ284" s="19"/>
      <c r="BK284" s="19"/>
      <c r="BL284" s="19"/>
      <c r="BM284" s="19"/>
      <c r="BN284" s="19"/>
      <c r="BO284" s="19"/>
      <c r="BP284" s="19"/>
      <c r="BQ284" s="19"/>
      <c r="BR284" s="19"/>
      <c r="BS284" s="19"/>
      <c r="BT284" s="19"/>
      <c r="BU284" s="19"/>
      <c r="BV284" s="19"/>
      <c r="BW284" s="19"/>
      <c r="BX284" s="19"/>
      <c r="BY284" s="19"/>
      <c r="BZ284" s="19"/>
      <c r="CA284" s="19"/>
      <c r="CB284" s="19"/>
      <c r="CC284" s="19"/>
      <c r="CD284" s="19"/>
      <c r="CE284" s="19"/>
      <c r="CF284" s="19"/>
      <c r="CG284" s="19"/>
      <c r="CH284" s="19"/>
      <c r="CI284" s="19"/>
      <c r="CJ284" s="19"/>
      <c r="CK284" s="19"/>
      <c r="CL284" s="19"/>
      <c r="CM284" s="19"/>
      <c r="CN284" s="19"/>
      <c r="CO284" s="19"/>
      <c r="CP284" s="19"/>
      <c r="CQ284" s="19"/>
      <c r="CR284" s="19"/>
      <c r="CS284" s="19"/>
      <c r="CT284" s="19"/>
      <c r="CU284" s="19"/>
      <c r="CV284" s="19"/>
      <c r="CW284" s="19"/>
      <c r="CX284" s="19"/>
      <c r="CY284" s="19"/>
      <c r="CZ284" s="19"/>
      <c r="DA284" s="19"/>
      <c r="DB284" s="19"/>
      <c r="DC284" s="19"/>
      <c r="DD284" s="19"/>
      <c r="DE284" s="19"/>
      <c r="DF284" s="19"/>
      <c r="DG284" s="19"/>
      <c r="DH284" s="19"/>
      <c r="DI284" s="19"/>
      <c r="DJ284" s="19"/>
      <c r="DK284" s="19"/>
      <c r="DL284" s="19"/>
      <c r="DM284" s="19"/>
      <c r="DN284" s="19"/>
      <c r="DO284" s="19"/>
      <c r="DP284" s="19"/>
      <c r="DQ284" s="19"/>
      <c r="DR284" s="19"/>
      <c r="DS284" s="19"/>
      <c r="DT284" s="19"/>
      <c r="DU284" s="19"/>
      <c r="DV284" s="19"/>
      <c r="DW284" s="19"/>
      <c r="DX284" s="19"/>
      <c r="DY284" s="19"/>
      <c r="DZ284" s="19"/>
      <c r="EA284" s="19"/>
      <c r="EB284" s="19"/>
      <c r="EC284" s="19"/>
      <c r="ED284" s="19"/>
      <c r="EE284" s="19"/>
      <c r="EF284" s="19"/>
      <c r="EG284" s="19"/>
      <c r="EH284" s="19"/>
      <c r="EI284" s="19"/>
      <c r="EJ284" s="19"/>
      <c r="EK284" s="19"/>
      <c r="EL284" s="19"/>
      <c r="EM284" s="19"/>
      <c r="EN284" s="19"/>
      <c r="EO284" s="19"/>
      <c r="EP284" s="19"/>
      <c r="EQ284" s="19"/>
      <c r="ER284" s="19"/>
      <c r="ES284" s="19"/>
      <c r="ET284" s="19"/>
      <c r="EU284" s="19"/>
      <c r="EV284" s="19"/>
      <c r="EW284" s="19"/>
      <c r="EX284" s="19"/>
      <c r="EY284" s="19"/>
      <c r="EZ284" s="19"/>
      <c r="FA284" s="19"/>
      <c r="FB284" s="19"/>
      <c r="FC284" s="19"/>
      <c r="FD284" s="19"/>
      <c r="FE284" s="19"/>
      <c r="FF284" s="19"/>
      <c r="FG284" s="19"/>
      <c r="FH284" s="19"/>
      <c r="FI284" s="19"/>
    </row>
    <row r="285" spans="1:165" x14ac:dyDescent="0.25">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c r="BE285" s="19"/>
      <c r="BF285" s="19"/>
      <c r="BG285" s="19"/>
      <c r="BH285" s="19"/>
      <c r="BI285" s="19"/>
      <c r="BJ285" s="19"/>
      <c r="BK285" s="19"/>
      <c r="BL285" s="19"/>
      <c r="BM285" s="19"/>
      <c r="BN285" s="19"/>
      <c r="BO285" s="19"/>
      <c r="BP285" s="19"/>
      <c r="BQ285" s="19"/>
      <c r="BR285" s="19"/>
      <c r="BS285" s="19"/>
      <c r="BT285" s="19"/>
      <c r="BU285" s="19"/>
      <c r="BV285" s="19"/>
      <c r="BW285" s="19"/>
      <c r="BX285" s="19"/>
      <c r="BY285" s="19"/>
      <c r="BZ285" s="19"/>
      <c r="CA285" s="19"/>
      <c r="CB285" s="19"/>
      <c r="CC285" s="19"/>
      <c r="CD285" s="19"/>
      <c r="CE285" s="19"/>
      <c r="CF285" s="19"/>
      <c r="CG285" s="19"/>
      <c r="CH285" s="19"/>
      <c r="CI285" s="19"/>
      <c r="CJ285" s="19"/>
      <c r="CK285" s="19"/>
      <c r="CL285" s="19"/>
      <c r="CM285" s="19"/>
      <c r="CN285" s="19"/>
      <c r="CO285" s="19"/>
      <c r="CP285" s="19"/>
      <c r="CQ285" s="19"/>
      <c r="CR285" s="19"/>
      <c r="CS285" s="19"/>
      <c r="CT285" s="19"/>
      <c r="CU285" s="19"/>
      <c r="CV285" s="19"/>
      <c r="CW285" s="19"/>
      <c r="CX285" s="19"/>
      <c r="CY285" s="19"/>
      <c r="CZ285" s="19"/>
      <c r="DA285" s="19"/>
      <c r="DB285" s="19"/>
      <c r="DC285" s="19"/>
      <c r="DD285" s="19"/>
      <c r="DE285" s="19"/>
      <c r="DF285" s="19"/>
      <c r="DG285" s="19"/>
      <c r="DH285" s="19"/>
      <c r="DI285" s="19"/>
      <c r="DJ285" s="19"/>
      <c r="DK285" s="19"/>
      <c r="DL285" s="19"/>
      <c r="DM285" s="19"/>
      <c r="DN285" s="19"/>
      <c r="DO285" s="19"/>
      <c r="DP285" s="19"/>
      <c r="DQ285" s="19"/>
      <c r="DR285" s="19"/>
      <c r="DS285" s="19"/>
      <c r="DT285" s="19"/>
      <c r="DU285" s="19"/>
      <c r="DV285" s="19"/>
      <c r="DW285" s="19"/>
      <c r="DX285" s="19"/>
      <c r="DY285" s="19"/>
      <c r="DZ285" s="19"/>
      <c r="EA285" s="19"/>
      <c r="EB285" s="19"/>
      <c r="EC285" s="19"/>
      <c r="ED285" s="19"/>
      <c r="EE285" s="19"/>
      <c r="EF285" s="19"/>
      <c r="EG285" s="19"/>
      <c r="EH285" s="19"/>
      <c r="EI285" s="19"/>
      <c r="EJ285" s="19"/>
      <c r="EK285" s="19"/>
      <c r="EL285" s="19"/>
      <c r="EM285" s="19"/>
      <c r="EN285" s="19"/>
      <c r="EO285" s="19"/>
      <c r="EP285" s="19"/>
      <c r="EQ285" s="19"/>
      <c r="ER285" s="19"/>
      <c r="ES285" s="19"/>
      <c r="ET285" s="19"/>
      <c r="EU285" s="19"/>
      <c r="EV285" s="19"/>
      <c r="EW285" s="19"/>
      <c r="EX285" s="19"/>
      <c r="EY285" s="19"/>
      <c r="EZ285" s="19"/>
      <c r="FA285" s="19"/>
      <c r="FB285" s="19"/>
      <c r="FC285" s="19"/>
      <c r="FD285" s="19"/>
      <c r="FE285" s="19"/>
      <c r="FF285" s="19"/>
      <c r="FG285" s="19"/>
      <c r="FH285" s="19"/>
      <c r="FI285" s="19"/>
    </row>
    <row r="286" spans="1:165" x14ac:dyDescent="0.25">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c r="BE286" s="19"/>
      <c r="BF286" s="19"/>
      <c r="BG286" s="19"/>
      <c r="BH286" s="19"/>
      <c r="BI286" s="19"/>
      <c r="BJ286" s="19"/>
      <c r="BK286" s="19"/>
      <c r="BL286" s="19"/>
      <c r="BM286" s="19"/>
      <c r="BN286" s="19"/>
      <c r="BO286" s="19"/>
      <c r="BP286" s="19"/>
      <c r="BQ286" s="19"/>
      <c r="BR286" s="19"/>
      <c r="BS286" s="19"/>
      <c r="BT286" s="19"/>
      <c r="BU286" s="19"/>
      <c r="BV286" s="19"/>
      <c r="BW286" s="19"/>
      <c r="BX286" s="19"/>
      <c r="BY286" s="19"/>
      <c r="BZ286" s="19"/>
      <c r="CA286" s="19"/>
      <c r="CB286" s="19"/>
      <c r="CC286" s="19"/>
      <c r="CD286" s="19"/>
      <c r="CE286" s="19"/>
      <c r="CF286" s="19"/>
      <c r="CG286" s="19"/>
      <c r="CH286" s="19"/>
      <c r="CI286" s="19"/>
      <c r="CJ286" s="19"/>
      <c r="CK286" s="19"/>
      <c r="CL286" s="19"/>
      <c r="CM286" s="19"/>
      <c r="CN286" s="19"/>
      <c r="CO286" s="19"/>
      <c r="CP286" s="19"/>
      <c r="CQ286" s="19"/>
      <c r="CR286" s="19"/>
      <c r="CS286" s="19"/>
      <c r="CT286" s="19"/>
      <c r="CU286" s="19"/>
      <c r="CV286" s="19"/>
      <c r="CW286" s="19"/>
      <c r="CX286" s="19"/>
      <c r="CY286" s="19"/>
      <c r="CZ286" s="19"/>
      <c r="DA286" s="19"/>
      <c r="DB286" s="19"/>
      <c r="DC286" s="19"/>
      <c r="DD286" s="19"/>
      <c r="DE286" s="19"/>
      <c r="DF286" s="19"/>
      <c r="DG286" s="19"/>
      <c r="DH286" s="19"/>
      <c r="DI286" s="19"/>
      <c r="DJ286" s="19"/>
      <c r="DK286" s="19"/>
      <c r="DL286" s="19"/>
      <c r="DM286" s="19"/>
      <c r="DN286" s="19"/>
      <c r="DO286" s="19"/>
      <c r="DP286" s="19"/>
      <c r="DQ286" s="19"/>
      <c r="DR286" s="19"/>
      <c r="DS286" s="19"/>
      <c r="DT286" s="19"/>
      <c r="DU286" s="19"/>
      <c r="DV286" s="19"/>
      <c r="DW286" s="19"/>
      <c r="DX286" s="19"/>
      <c r="DY286" s="19"/>
      <c r="DZ286" s="19"/>
      <c r="EA286" s="19"/>
      <c r="EB286" s="19"/>
      <c r="EC286" s="19"/>
      <c r="ED286" s="19"/>
      <c r="EE286" s="19"/>
      <c r="EF286" s="19"/>
      <c r="EG286" s="19"/>
      <c r="EH286" s="19"/>
      <c r="EI286" s="19"/>
      <c r="EJ286" s="19"/>
      <c r="EK286" s="19"/>
      <c r="EL286" s="19"/>
      <c r="EM286" s="19"/>
      <c r="EN286" s="19"/>
      <c r="EO286" s="19"/>
      <c r="EP286" s="19"/>
      <c r="EQ286" s="19"/>
      <c r="ER286" s="19"/>
      <c r="ES286" s="19"/>
      <c r="ET286" s="19"/>
      <c r="EU286" s="19"/>
      <c r="EV286" s="19"/>
      <c r="EW286" s="19"/>
      <c r="EX286" s="19"/>
      <c r="EY286" s="19"/>
      <c r="EZ286" s="19"/>
      <c r="FA286" s="19"/>
      <c r="FB286" s="19"/>
      <c r="FC286" s="19"/>
      <c r="FD286" s="19"/>
      <c r="FE286" s="19"/>
      <c r="FF286" s="19"/>
      <c r="FG286" s="19"/>
      <c r="FH286" s="19"/>
      <c r="FI286" s="19"/>
    </row>
    <row r="287" spans="1:165" x14ac:dyDescent="0.25">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c r="BE287" s="19"/>
      <c r="BF287" s="19"/>
      <c r="BG287" s="19"/>
      <c r="BH287" s="19"/>
      <c r="BI287" s="19"/>
      <c r="BJ287" s="19"/>
      <c r="BK287" s="19"/>
      <c r="BL287" s="19"/>
      <c r="BM287" s="19"/>
      <c r="BN287" s="19"/>
      <c r="BO287" s="19"/>
      <c r="BP287" s="19"/>
      <c r="BQ287" s="19"/>
      <c r="BR287" s="19"/>
      <c r="BS287" s="19"/>
      <c r="BT287" s="19"/>
      <c r="BU287" s="19"/>
      <c r="BV287" s="19"/>
      <c r="BW287" s="19"/>
      <c r="BX287" s="19"/>
      <c r="BY287" s="19"/>
      <c r="BZ287" s="19"/>
      <c r="CA287" s="19"/>
      <c r="CB287" s="19"/>
      <c r="CC287" s="19"/>
      <c r="CD287" s="19"/>
      <c r="CE287" s="19"/>
      <c r="CF287" s="19"/>
      <c r="CG287" s="19"/>
      <c r="CH287" s="19"/>
      <c r="CI287" s="19"/>
      <c r="CJ287" s="19"/>
      <c r="CK287" s="19"/>
      <c r="CL287" s="19"/>
      <c r="CM287" s="19"/>
      <c r="CN287" s="19"/>
      <c r="CO287" s="19"/>
      <c r="CP287" s="19"/>
      <c r="CQ287" s="19"/>
      <c r="CR287" s="19"/>
      <c r="CS287" s="19"/>
      <c r="CT287" s="19"/>
      <c r="CU287" s="19"/>
      <c r="CV287" s="19"/>
      <c r="CW287" s="19"/>
      <c r="CX287" s="19"/>
      <c r="CY287" s="19"/>
      <c r="CZ287" s="19"/>
      <c r="DA287" s="19"/>
      <c r="DB287" s="19"/>
      <c r="DC287" s="19"/>
      <c r="DD287" s="19"/>
      <c r="DE287" s="19"/>
      <c r="DF287" s="19"/>
      <c r="DG287" s="19"/>
      <c r="DH287" s="19"/>
      <c r="DI287" s="19"/>
      <c r="DJ287" s="19"/>
      <c r="DK287" s="19"/>
      <c r="DL287" s="19"/>
      <c r="DM287" s="19"/>
      <c r="DN287" s="19"/>
      <c r="DO287" s="19"/>
      <c r="DP287" s="19"/>
      <c r="DQ287" s="19"/>
      <c r="DR287" s="19"/>
      <c r="DS287" s="19"/>
      <c r="DT287" s="19"/>
      <c r="DU287" s="19"/>
      <c r="DV287" s="19"/>
      <c r="DW287" s="19"/>
      <c r="DX287" s="19"/>
      <c r="DY287" s="19"/>
      <c r="DZ287" s="19"/>
      <c r="EA287" s="19"/>
      <c r="EB287" s="19"/>
      <c r="EC287" s="19"/>
      <c r="ED287" s="19"/>
      <c r="EE287" s="19"/>
      <c r="EF287" s="19"/>
      <c r="EG287" s="19"/>
      <c r="EH287" s="19"/>
      <c r="EI287" s="19"/>
      <c r="EJ287" s="19"/>
      <c r="EK287" s="19"/>
      <c r="EL287" s="19"/>
      <c r="EM287" s="19"/>
      <c r="EN287" s="19"/>
      <c r="EO287" s="19"/>
      <c r="EP287" s="19"/>
      <c r="EQ287" s="19"/>
      <c r="ER287" s="19"/>
      <c r="ES287" s="19"/>
      <c r="ET287" s="19"/>
      <c r="EU287" s="19"/>
      <c r="EV287" s="19"/>
      <c r="EW287" s="19"/>
      <c r="EX287" s="19"/>
      <c r="EY287" s="19"/>
      <c r="EZ287" s="19"/>
      <c r="FA287" s="19"/>
      <c r="FB287" s="19"/>
      <c r="FC287" s="19"/>
      <c r="FD287" s="19"/>
      <c r="FE287" s="19"/>
      <c r="FF287" s="19"/>
      <c r="FG287" s="19"/>
      <c r="FH287" s="19"/>
      <c r="FI287" s="19"/>
    </row>
    <row r="288" spans="1:165" x14ac:dyDescent="0.25">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c r="BE288" s="19"/>
      <c r="BF288" s="19"/>
      <c r="BG288" s="19"/>
      <c r="BH288" s="19"/>
      <c r="BI288" s="19"/>
      <c r="BJ288" s="19"/>
      <c r="BK288" s="19"/>
      <c r="BL288" s="19"/>
      <c r="BM288" s="19"/>
      <c r="BN288" s="19"/>
      <c r="BO288" s="19"/>
      <c r="BP288" s="19"/>
      <c r="BQ288" s="19"/>
      <c r="BR288" s="19"/>
      <c r="BS288" s="19"/>
      <c r="BT288" s="19"/>
      <c r="BU288" s="19"/>
      <c r="BV288" s="19"/>
      <c r="BW288" s="19"/>
      <c r="BX288" s="19"/>
      <c r="BY288" s="19"/>
      <c r="BZ288" s="19"/>
      <c r="CA288" s="19"/>
      <c r="CB288" s="19"/>
      <c r="CC288" s="19"/>
      <c r="CD288" s="19"/>
      <c r="CE288" s="19"/>
      <c r="CF288" s="19"/>
      <c r="CG288" s="19"/>
      <c r="CH288" s="19"/>
      <c r="CI288" s="19"/>
      <c r="CJ288" s="19"/>
      <c r="CK288" s="19"/>
      <c r="CL288" s="19"/>
      <c r="CM288" s="19"/>
      <c r="CN288" s="19"/>
      <c r="CO288" s="19"/>
      <c r="CP288" s="19"/>
      <c r="CQ288" s="19"/>
      <c r="CR288" s="19"/>
      <c r="CS288" s="19"/>
      <c r="CT288" s="19"/>
      <c r="CU288" s="19"/>
      <c r="CV288" s="19"/>
      <c r="CW288" s="19"/>
      <c r="CX288" s="19"/>
      <c r="CY288" s="19"/>
      <c r="CZ288" s="19"/>
      <c r="DA288" s="19"/>
      <c r="DB288" s="19"/>
      <c r="DC288" s="19"/>
      <c r="DD288" s="19"/>
      <c r="DE288" s="19"/>
      <c r="DF288" s="19"/>
      <c r="DG288" s="19"/>
      <c r="DH288" s="19"/>
      <c r="DI288" s="19"/>
      <c r="DJ288" s="19"/>
      <c r="DK288" s="19"/>
      <c r="DL288" s="19"/>
      <c r="DM288" s="19"/>
      <c r="DN288" s="19"/>
      <c r="DO288" s="19"/>
      <c r="DP288" s="19"/>
      <c r="DQ288" s="19"/>
      <c r="DR288" s="19"/>
      <c r="DS288" s="19"/>
      <c r="DT288" s="19"/>
      <c r="DU288" s="19"/>
      <c r="DV288" s="19"/>
      <c r="DW288" s="19"/>
      <c r="DX288" s="19"/>
      <c r="DY288" s="19"/>
      <c r="DZ288" s="19"/>
      <c r="EA288" s="19"/>
      <c r="EB288" s="19"/>
      <c r="EC288" s="19"/>
      <c r="ED288" s="19"/>
      <c r="EE288" s="19"/>
      <c r="EF288" s="19"/>
      <c r="EG288" s="19"/>
      <c r="EH288" s="19"/>
      <c r="EI288" s="19"/>
      <c r="EJ288" s="19"/>
      <c r="EK288" s="19"/>
      <c r="EL288" s="19"/>
      <c r="EM288" s="19"/>
      <c r="EN288" s="19"/>
      <c r="EO288" s="19"/>
      <c r="EP288" s="19"/>
      <c r="EQ288" s="19"/>
      <c r="ER288" s="19"/>
      <c r="ES288" s="19"/>
      <c r="ET288" s="19"/>
      <c r="EU288" s="19"/>
      <c r="EV288" s="19"/>
      <c r="EW288" s="19"/>
      <c r="EX288" s="19"/>
      <c r="EY288" s="19"/>
      <c r="EZ288" s="19"/>
      <c r="FA288" s="19"/>
      <c r="FB288" s="19"/>
      <c r="FC288" s="19"/>
      <c r="FD288" s="19"/>
      <c r="FE288" s="19"/>
      <c r="FF288" s="19"/>
      <c r="FG288" s="19"/>
      <c r="FH288" s="19"/>
      <c r="FI288" s="19"/>
    </row>
    <row r="289" spans="1:165" x14ac:dyDescent="0.25">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c r="BE289" s="19"/>
      <c r="BF289" s="19"/>
      <c r="BG289" s="19"/>
      <c r="BH289" s="19"/>
      <c r="BI289" s="19"/>
      <c r="BJ289" s="19"/>
      <c r="BK289" s="19"/>
      <c r="BL289" s="19"/>
      <c r="BM289" s="19"/>
      <c r="BN289" s="19"/>
      <c r="BO289" s="19"/>
      <c r="BP289" s="19"/>
      <c r="BQ289" s="19"/>
      <c r="BR289" s="19"/>
      <c r="BS289" s="19"/>
      <c r="BT289" s="19"/>
      <c r="BU289" s="19"/>
      <c r="BV289" s="19"/>
      <c r="BW289" s="19"/>
      <c r="BX289" s="19"/>
      <c r="BY289" s="19"/>
      <c r="BZ289" s="19"/>
      <c r="CA289" s="19"/>
      <c r="CB289" s="19"/>
      <c r="CC289" s="19"/>
      <c r="CD289" s="19"/>
      <c r="CE289" s="19"/>
      <c r="CF289" s="19"/>
      <c r="CG289" s="19"/>
      <c r="CH289" s="19"/>
      <c r="CI289" s="19"/>
      <c r="CJ289" s="19"/>
      <c r="CK289" s="19"/>
      <c r="CL289" s="19"/>
      <c r="CM289" s="19"/>
      <c r="CN289" s="19"/>
      <c r="CO289" s="19"/>
      <c r="CP289" s="19"/>
      <c r="CQ289" s="19"/>
      <c r="CR289" s="19"/>
      <c r="CS289" s="19"/>
      <c r="CT289" s="19"/>
      <c r="CU289" s="19"/>
      <c r="CV289" s="19"/>
      <c r="CW289" s="19"/>
      <c r="CX289" s="19"/>
      <c r="CY289" s="19"/>
      <c r="CZ289" s="19"/>
      <c r="DA289" s="19"/>
      <c r="DB289" s="19"/>
      <c r="DC289" s="19"/>
      <c r="DD289" s="19"/>
      <c r="DE289" s="19"/>
      <c r="DF289" s="19"/>
      <c r="DG289" s="19"/>
      <c r="DH289" s="19"/>
      <c r="DI289" s="19"/>
      <c r="DJ289" s="19"/>
      <c r="DK289" s="19"/>
      <c r="DL289" s="19"/>
      <c r="DM289" s="19"/>
      <c r="DN289" s="19"/>
      <c r="DO289" s="19"/>
      <c r="DP289" s="19"/>
      <c r="DQ289" s="19"/>
      <c r="DR289" s="19"/>
      <c r="DS289" s="19"/>
      <c r="DT289" s="19"/>
      <c r="DU289" s="19"/>
      <c r="DV289" s="19"/>
      <c r="DW289" s="19"/>
      <c r="DX289" s="19"/>
      <c r="DY289" s="19"/>
      <c r="DZ289" s="19"/>
      <c r="EA289" s="19"/>
      <c r="EB289" s="19"/>
      <c r="EC289" s="19"/>
      <c r="ED289" s="19"/>
      <c r="EE289" s="19"/>
      <c r="EF289" s="19"/>
      <c r="EG289" s="19"/>
      <c r="EH289" s="19"/>
      <c r="EI289" s="19"/>
      <c r="EJ289" s="19"/>
      <c r="EK289" s="19"/>
      <c r="EL289" s="19"/>
      <c r="EM289" s="19"/>
      <c r="EN289" s="19"/>
      <c r="EO289" s="19"/>
      <c r="EP289" s="19"/>
      <c r="EQ289" s="19"/>
      <c r="ER289" s="19"/>
      <c r="ES289" s="19"/>
      <c r="ET289" s="19"/>
      <c r="EU289" s="19"/>
      <c r="EV289" s="19"/>
      <c r="EW289" s="19"/>
      <c r="EX289" s="19"/>
      <c r="EY289" s="19"/>
      <c r="EZ289" s="19"/>
      <c r="FA289" s="19"/>
      <c r="FB289" s="19"/>
      <c r="FC289" s="19"/>
      <c r="FD289" s="19"/>
      <c r="FE289" s="19"/>
      <c r="FF289" s="19"/>
      <c r="FG289" s="19"/>
      <c r="FH289" s="19"/>
      <c r="FI289" s="19"/>
    </row>
    <row r="290" spans="1:165" x14ac:dyDescent="0.25">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c r="BE290" s="19"/>
      <c r="BF290" s="19"/>
      <c r="BG290" s="19"/>
      <c r="BH290" s="19"/>
      <c r="BI290" s="19"/>
      <c r="BJ290" s="19"/>
      <c r="BK290" s="19"/>
      <c r="BL290" s="19"/>
      <c r="BM290" s="19"/>
      <c r="BN290" s="19"/>
      <c r="BO290" s="19"/>
      <c r="BP290" s="19"/>
      <c r="BQ290" s="19"/>
      <c r="BR290" s="19"/>
      <c r="BS290" s="19"/>
      <c r="BT290" s="19"/>
      <c r="BU290" s="19"/>
      <c r="BV290" s="19"/>
      <c r="BW290" s="19"/>
      <c r="BX290" s="19"/>
      <c r="BY290" s="19"/>
      <c r="BZ290" s="19"/>
      <c r="CA290" s="19"/>
      <c r="CB290" s="19"/>
      <c r="CC290" s="19"/>
      <c r="CD290" s="19"/>
      <c r="CE290" s="19"/>
      <c r="CF290" s="19"/>
      <c r="CG290" s="19"/>
      <c r="CH290" s="19"/>
      <c r="CI290" s="19"/>
      <c r="CJ290" s="19"/>
      <c r="CK290" s="19"/>
      <c r="CL290" s="19"/>
      <c r="CM290" s="19"/>
      <c r="CN290" s="19"/>
      <c r="CO290" s="19"/>
      <c r="CP290" s="19"/>
      <c r="CQ290" s="19"/>
      <c r="CR290" s="19"/>
      <c r="CS290" s="19"/>
      <c r="CT290" s="19"/>
      <c r="CU290" s="19"/>
      <c r="CV290" s="19"/>
      <c r="CW290" s="19"/>
      <c r="CX290" s="19"/>
      <c r="CY290" s="19"/>
      <c r="CZ290" s="19"/>
      <c r="DA290" s="19"/>
      <c r="DB290" s="19"/>
      <c r="DC290" s="19"/>
      <c r="DD290" s="19"/>
      <c r="DE290" s="19"/>
      <c r="DF290" s="19"/>
      <c r="DG290" s="19"/>
      <c r="DH290" s="19"/>
      <c r="DI290" s="19"/>
      <c r="DJ290" s="19"/>
      <c r="DK290" s="19"/>
      <c r="DL290" s="19"/>
      <c r="DM290" s="19"/>
      <c r="DN290" s="19"/>
      <c r="DO290" s="19"/>
      <c r="DP290" s="19"/>
      <c r="DQ290" s="19"/>
      <c r="DR290" s="19"/>
      <c r="DS290" s="19"/>
      <c r="DT290" s="19"/>
      <c r="DU290" s="19"/>
      <c r="DV290" s="19"/>
      <c r="DW290" s="19"/>
      <c r="DX290" s="19"/>
      <c r="DY290" s="19"/>
      <c r="DZ290" s="19"/>
      <c r="EA290" s="19"/>
      <c r="EB290" s="19"/>
      <c r="EC290" s="19"/>
      <c r="ED290" s="19"/>
      <c r="EE290" s="19"/>
      <c r="EF290" s="19"/>
      <c r="EG290" s="19"/>
      <c r="EH290" s="19"/>
      <c r="EI290" s="19"/>
      <c r="EJ290" s="19"/>
      <c r="EK290" s="19"/>
      <c r="EL290" s="19"/>
      <c r="EM290" s="19"/>
      <c r="EN290" s="19"/>
      <c r="EO290" s="19"/>
      <c r="EP290" s="19"/>
      <c r="EQ290" s="19"/>
      <c r="ER290" s="19"/>
      <c r="ES290" s="19"/>
      <c r="ET290" s="19"/>
      <c r="EU290" s="19"/>
      <c r="EV290" s="19"/>
      <c r="EW290" s="19"/>
      <c r="EX290" s="19"/>
      <c r="EY290" s="19"/>
      <c r="EZ290" s="19"/>
      <c r="FA290" s="19"/>
      <c r="FB290" s="19"/>
      <c r="FC290" s="19"/>
      <c r="FD290" s="19"/>
      <c r="FE290" s="19"/>
      <c r="FF290" s="19"/>
      <c r="FG290" s="19"/>
      <c r="FH290" s="19"/>
      <c r="FI290" s="19"/>
    </row>
    <row r="291" spans="1:165" x14ac:dyDescent="0.25">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c r="BE291" s="19"/>
      <c r="BF291" s="19"/>
      <c r="BG291" s="19"/>
      <c r="BH291" s="19"/>
      <c r="BI291" s="19"/>
      <c r="BJ291" s="19"/>
      <c r="BK291" s="19"/>
      <c r="BL291" s="19"/>
      <c r="BM291" s="19"/>
      <c r="BN291" s="19"/>
      <c r="BO291" s="19"/>
      <c r="BP291" s="19"/>
      <c r="BQ291" s="19"/>
      <c r="BR291" s="19"/>
      <c r="BS291" s="19"/>
      <c r="BT291" s="19"/>
      <c r="BU291" s="19"/>
      <c r="BV291" s="19"/>
      <c r="BW291" s="19"/>
      <c r="BX291" s="19"/>
      <c r="BY291" s="19"/>
      <c r="BZ291" s="19"/>
      <c r="CA291" s="19"/>
      <c r="CB291" s="19"/>
      <c r="CC291" s="19"/>
      <c r="CD291" s="19"/>
      <c r="CE291" s="19"/>
      <c r="CF291" s="19"/>
      <c r="CG291" s="19"/>
      <c r="CH291" s="19"/>
      <c r="CI291" s="19"/>
      <c r="CJ291" s="19"/>
      <c r="CK291" s="19"/>
      <c r="CL291" s="19"/>
      <c r="CM291" s="19"/>
      <c r="CN291" s="19"/>
      <c r="CO291" s="19"/>
      <c r="CP291" s="19"/>
      <c r="CQ291" s="19"/>
      <c r="CR291" s="19"/>
      <c r="CS291" s="19"/>
      <c r="CT291" s="19"/>
      <c r="CU291" s="19"/>
      <c r="CV291" s="19"/>
      <c r="CW291" s="19"/>
      <c r="CX291" s="19"/>
      <c r="CY291" s="19"/>
      <c r="CZ291" s="19"/>
      <c r="DA291" s="19"/>
      <c r="DB291" s="19"/>
      <c r="DC291" s="19"/>
      <c r="DD291" s="19"/>
      <c r="DE291" s="19"/>
      <c r="DF291" s="19"/>
      <c r="DG291" s="19"/>
      <c r="DH291" s="19"/>
      <c r="DI291" s="19"/>
      <c r="DJ291" s="19"/>
      <c r="DK291" s="19"/>
      <c r="DL291" s="19"/>
      <c r="DM291" s="19"/>
      <c r="DN291" s="19"/>
      <c r="DO291" s="19"/>
      <c r="DP291" s="19"/>
      <c r="DQ291" s="19"/>
      <c r="DR291" s="19"/>
      <c r="DS291" s="19"/>
      <c r="DT291" s="19"/>
      <c r="DU291" s="19"/>
      <c r="DV291" s="19"/>
      <c r="DW291" s="19"/>
      <c r="DX291" s="19"/>
      <c r="DY291" s="19"/>
      <c r="DZ291" s="19"/>
      <c r="EA291" s="19"/>
      <c r="EB291" s="19"/>
      <c r="EC291" s="19"/>
      <c r="ED291" s="19"/>
      <c r="EE291" s="19"/>
      <c r="EF291" s="19"/>
      <c r="EG291" s="19"/>
      <c r="EH291" s="19"/>
      <c r="EI291" s="19"/>
      <c r="EJ291" s="19"/>
      <c r="EK291" s="19"/>
      <c r="EL291" s="19"/>
      <c r="EM291" s="19"/>
      <c r="EN291" s="19"/>
      <c r="EO291" s="19"/>
      <c r="EP291" s="19"/>
      <c r="EQ291" s="19"/>
      <c r="ER291" s="19"/>
      <c r="ES291" s="19"/>
      <c r="ET291" s="19"/>
      <c r="EU291" s="19"/>
      <c r="EV291" s="19"/>
      <c r="EW291" s="19"/>
      <c r="EX291" s="19"/>
      <c r="EY291" s="19"/>
      <c r="EZ291" s="19"/>
      <c r="FA291" s="19"/>
      <c r="FB291" s="19"/>
      <c r="FC291" s="19"/>
      <c r="FD291" s="19"/>
      <c r="FE291" s="19"/>
      <c r="FF291" s="19"/>
      <c r="FG291" s="19"/>
      <c r="FH291" s="19"/>
      <c r="FI291" s="19"/>
    </row>
    <row r="292" spans="1:165" x14ac:dyDescent="0.25">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c r="BE292" s="19"/>
      <c r="BF292" s="19"/>
      <c r="BG292" s="19"/>
      <c r="BH292" s="19"/>
      <c r="BI292" s="19"/>
      <c r="BJ292" s="19"/>
      <c r="BK292" s="19"/>
      <c r="BL292" s="19"/>
      <c r="BM292" s="19"/>
      <c r="BN292" s="19"/>
      <c r="BO292" s="19"/>
      <c r="BP292" s="19"/>
      <c r="BQ292" s="19"/>
      <c r="BR292" s="19"/>
      <c r="BS292" s="19"/>
      <c r="BT292" s="19"/>
      <c r="BU292" s="19"/>
      <c r="BV292" s="19"/>
      <c r="BW292" s="19"/>
      <c r="BX292" s="19"/>
      <c r="BY292" s="19"/>
      <c r="BZ292" s="19"/>
      <c r="CA292" s="19"/>
      <c r="CB292" s="19"/>
      <c r="CC292" s="19"/>
      <c r="CD292" s="19"/>
      <c r="CE292" s="19"/>
      <c r="CF292" s="19"/>
      <c r="CG292" s="19"/>
      <c r="CH292" s="19"/>
      <c r="CI292" s="19"/>
      <c r="CJ292" s="19"/>
      <c r="CK292" s="19"/>
      <c r="CL292" s="19"/>
      <c r="CM292" s="19"/>
      <c r="CN292" s="19"/>
      <c r="CO292" s="19"/>
      <c r="CP292" s="19"/>
      <c r="CQ292" s="19"/>
      <c r="CR292" s="19"/>
      <c r="CS292" s="19"/>
      <c r="CT292" s="19"/>
      <c r="CU292" s="19"/>
      <c r="CV292" s="19"/>
      <c r="CW292" s="19"/>
      <c r="CX292" s="19"/>
      <c r="CY292" s="19"/>
      <c r="CZ292" s="19"/>
      <c r="DA292" s="19"/>
      <c r="DB292" s="19"/>
      <c r="DC292" s="19"/>
      <c r="DD292" s="19"/>
      <c r="DE292" s="19"/>
      <c r="DF292" s="19"/>
      <c r="DG292" s="19"/>
      <c r="DH292" s="19"/>
      <c r="DI292" s="19"/>
      <c r="DJ292" s="19"/>
      <c r="DK292" s="19"/>
      <c r="DL292" s="19"/>
      <c r="DM292" s="19"/>
      <c r="DN292" s="19"/>
      <c r="DO292" s="19"/>
      <c r="DP292" s="19"/>
      <c r="DQ292" s="19"/>
      <c r="DR292" s="19"/>
      <c r="DS292" s="19"/>
      <c r="DT292" s="19"/>
      <c r="DU292" s="19"/>
      <c r="DV292" s="19"/>
      <c r="DW292" s="19"/>
      <c r="DX292" s="19"/>
      <c r="DY292" s="19"/>
      <c r="DZ292" s="19"/>
      <c r="EA292" s="19"/>
      <c r="EB292" s="19"/>
      <c r="EC292" s="19"/>
      <c r="ED292" s="19"/>
      <c r="EE292" s="19"/>
      <c r="EF292" s="19"/>
      <c r="EG292" s="19"/>
      <c r="EH292" s="19"/>
      <c r="EI292" s="19"/>
      <c r="EJ292" s="19"/>
      <c r="EK292" s="19"/>
      <c r="EL292" s="19"/>
      <c r="EM292" s="19"/>
      <c r="EN292" s="19"/>
      <c r="EO292" s="19"/>
      <c r="EP292" s="19"/>
      <c r="EQ292" s="19"/>
      <c r="ER292" s="19"/>
      <c r="ES292" s="19"/>
      <c r="ET292" s="19"/>
      <c r="EU292" s="19"/>
      <c r="EV292" s="19"/>
      <c r="EW292" s="19"/>
      <c r="EX292" s="19"/>
      <c r="EY292" s="19"/>
      <c r="EZ292" s="19"/>
      <c r="FA292" s="19"/>
      <c r="FB292" s="19"/>
      <c r="FC292" s="19"/>
      <c r="FD292" s="19"/>
      <c r="FE292" s="19"/>
      <c r="FF292" s="19"/>
      <c r="FG292" s="19"/>
      <c r="FH292" s="19"/>
      <c r="FI292" s="19"/>
    </row>
    <row r="293" spans="1:165" x14ac:dyDescent="0.25">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c r="BE293" s="19"/>
      <c r="BF293" s="19"/>
      <c r="BG293" s="19"/>
      <c r="BH293" s="19"/>
      <c r="BI293" s="19"/>
      <c r="BJ293" s="19"/>
      <c r="BK293" s="19"/>
      <c r="BL293" s="19"/>
      <c r="BM293" s="19"/>
      <c r="BN293" s="19"/>
      <c r="BO293" s="19"/>
      <c r="BP293" s="19"/>
      <c r="BQ293" s="19"/>
      <c r="BR293" s="19"/>
      <c r="BS293" s="19"/>
      <c r="BT293" s="19"/>
      <c r="BU293" s="19"/>
      <c r="BV293" s="19"/>
      <c r="BW293" s="19"/>
      <c r="BX293" s="19"/>
      <c r="BY293" s="19"/>
      <c r="BZ293" s="19"/>
      <c r="CA293" s="19"/>
      <c r="CB293" s="19"/>
      <c r="CC293" s="19"/>
      <c r="CD293" s="19"/>
      <c r="CE293" s="19"/>
      <c r="CF293" s="19"/>
      <c r="CG293" s="19"/>
      <c r="CH293" s="19"/>
      <c r="CI293" s="19"/>
      <c r="CJ293" s="19"/>
      <c r="CK293" s="19"/>
      <c r="CL293" s="19"/>
      <c r="CM293" s="19"/>
      <c r="CN293" s="19"/>
      <c r="CO293" s="19"/>
      <c r="CP293" s="19"/>
      <c r="CQ293" s="19"/>
      <c r="CR293" s="19"/>
      <c r="CS293" s="19"/>
      <c r="CT293" s="19"/>
      <c r="CU293" s="19"/>
      <c r="CV293" s="19"/>
      <c r="CW293" s="19"/>
      <c r="CX293" s="19"/>
      <c r="CY293" s="19"/>
      <c r="CZ293" s="19"/>
      <c r="DA293" s="19"/>
      <c r="DB293" s="19"/>
      <c r="DC293" s="19"/>
      <c r="DD293" s="19"/>
      <c r="DE293" s="19"/>
      <c r="DF293" s="19"/>
      <c r="DG293" s="19"/>
      <c r="DH293" s="19"/>
      <c r="DI293" s="19"/>
      <c r="DJ293" s="19"/>
      <c r="DK293" s="19"/>
      <c r="DL293" s="19"/>
      <c r="DM293" s="19"/>
      <c r="DN293" s="19"/>
      <c r="DO293" s="19"/>
      <c r="DP293" s="19"/>
      <c r="DQ293" s="19"/>
      <c r="DR293" s="19"/>
      <c r="DS293" s="19"/>
      <c r="DT293" s="19"/>
      <c r="DU293" s="19"/>
      <c r="DV293" s="19"/>
      <c r="DW293" s="19"/>
      <c r="DX293" s="19"/>
      <c r="DY293" s="19"/>
      <c r="DZ293" s="19"/>
      <c r="EA293" s="19"/>
      <c r="EB293" s="19"/>
      <c r="EC293" s="19"/>
      <c r="ED293" s="19"/>
      <c r="EE293" s="19"/>
      <c r="EF293" s="19"/>
      <c r="EG293" s="19"/>
      <c r="EH293" s="19"/>
      <c r="EI293" s="19"/>
      <c r="EJ293" s="19"/>
      <c r="EK293" s="19"/>
      <c r="EL293" s="19"/>
      <c r="EM293" s="19"/>
      <c r="EN293" s="19"/>
      <c r="EO293" s="19"/>
      <c r="EP293" s="19"/>
      <c r="EQ293" s="19"/>
      <c r="ER293" s="19"/>
      <c r="ES293" s="19"/>
      <c r="ET293" s="19"/>
      <c r="EU293" s="19"/>
      <c r="EV293" s="19"/>
      <c r="EW293" s="19"/>
      <c r="EX293" s="19"/>
      <c r="EY293" s="19"/>
      <c r="EZ293" s="19"/>
      <c r="FA293" s="19"/>
      <c r="FB293" s="19"/>
      <c r="FC293" s="19"/>
      <c r="FD293" s="19"/>
      <c r="FE293" s="19"/>
      <c r="FF293" s="19"/>
      <c r="FG293" s="19"/>
      <c r="FH293" s="19"/>
      <c r="FI293" s="19"/>
    </row>
    <row r="294" spans="1:165" x14ac:dyDescent="0.25">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c r="BE294" s="19"/>
      <c r="BF294" s="19"/>
      <c r="BG294" s="19"/>
      <c r="BH294" s="19"/>
      <c r="BI294" s="19"/>
      <c r="BJ294" s="19"/>
      <c r="BK294" s="19"/>
      <c r="BL294" s="19"/>
      <c r="BM294" s="19"/>
      <c r="BN294" s="19"/>
      <c r="BO294" s="19"/>
      <c r="BP294" s="19"/>
      <c r="BQ294" s="19"/>
      <c r="BR294" s="19"/>
      <c r="BS294" s="19"/>
      <c r="BT294" s="19"/>
      <c r="BU294" s="19"/>
      <c r="BV294" s="19"/>
      <c r="BW294" s="19"/>
      <c r="BX294" s="19"/>
      <c r="BY294" s="19"/>
      <c r="BZ294" s="19"/>
      <c r="CA294" s="19"/>
      <c r="CB294" s="19"/>
      <c r="CC294" s="19"/>
      <c r="CD294" s="19"/>
      <c r="CE294" s="19"/>
      <c r="CF294" s="19"/>
      <c r="CG294" s="19"/>
      <c r="CH294" s="19"/>
      <c r="CI294" s="19"/>
      <c r="CJ294" s="19"/>
      <c r="CK294" s="19"/>
      <c r="CL294" s="19"/>
      <c r="CM294" s="19"/>
      <c r="CN294" s="19"/>
      <c r="CO294" s="19"/>
      <c r="CP294" s="19"/>
      <c r="CQ294" s="19"/>
      <c r="CR294" s="19"/>
      <c r="CS294" s="19"/>
      <c r="CT294" s="19"/>
      <c r="CU294" s="19"/>
      <c r="CV294" s="19"/>
      <c r="CW294" s="19"/>
      <c r="CX294" s="19"/>
      <c r="CY294" s="19"/>
      <c r="CZ294" s="19"/>
      <c r="DA294" s="19"/>
      <c r="DB294" s="19"/>
      <c r="DC294" s="19"/>
      <c r="DD294" s="19"/>
      <c r="DE294" s="19"/>
      <c r="DF294" s="19"/>
      <c r="DG294" s="19"/>
      <c r="DH294" s="19"/>
      <c r="DI294" s="19"/>
      <c r="DJ294" s="19"/>
      <c r="DK294" s="19"/>
      <c r="DL294" s="19"/>
      <c r="DM294" s="19"/>
      <c r="DN294" s="19"/>
      <c r="DO294" s="19"/>
      <c r="DP294" s="19"/>
      <c r="DQ294" s="19"/>
      <c r="DR294" s="19"/>
      <c r="DS294" s="19"/>
      <c r="DT294" s="19"/>
      <c r="DU294" s="19"/>
      <c r="DV294" s="19"/>
      <c r="DW294" s="19"/>
      <c r="DX294" s="19"/>
      <c r="DY294" s="19"/>
      <c r="DZ294" s="19"/>
      <c r="EA294" s="19"/>
      <c r="EB294" s="19"/>
      <c r="EC294" s="19"/>
      <c r="ED294" s="19"/>
      <c r="EE294" s="19"/>
      <c r="EF294" s="19"/>
      <c r="EG294" s="19"/>
      <c r="EH294" s="19"/>
      <c r="EI294" s="19"/>
      <c r="EJ294" s="19"/>
      <c r="EK294" s="19"/>
      <c r="EL294" s="19"/>
      <c r="EM294" s="19"/>
      <c r="EN294" s="19"/>
      <c r="EO294" s="19"/>
      <c r="EP294" s="19"/>
      <c r="EQ294" s="19"/>
      <c r="ER294" s="19"/>
      <c r="ES294" s="19"/>
      <c r="ET294" s="19"/>
      <c r="EU294" s="19"/>
      <c r="EV294" s="19"/>
      <c r="EW294" s="19"/>
      <c r="EX294" s="19"/>
      <c r="EY294" s="19"/>
      <c r="EZ294" s="19"/>
      <c r="FA294" s="19"/>
      <c r="FB294" s="19"/>
      <c r="FC294" s="19"/>
      <c r="FD294" s="19"/>
      <c r="FE294" s="19"/>
      <c r="FF294" s="19"/>
      <c r="FG294" s="19"/>
      <c r="FH294" s="19"/>
      <c r="FI294" s="19"/>
    </row>
    <row r="295" spans="1:165" x14ac:dyDescent="0.25">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c r="BE295" s="19"/>
      <c r="BF295" s="19"/>
      <c r="BG295" s="19"/>
      <c r="BH295" s="19"/>
      <c r="BI295" s="19"/>
      <c r="BJ295" s="19"/>
      <c r="BK295" s="19"/>
      <c r="BL295" s="19"/>
      <c r="BM295" s="19"/>
      <c r="BN295" s="19"/>
      <c r="BO295" s="19"/>
      <c r="BP295" s="19"/>
      <c r="BQ295" s="19"/>
      <c r="BR295" s="19"/>
      <c r="BS295" s="19"/>
      <c r="BT295" s="19"/>
      <c r="BU295" s="19"/>
      <c r="BV295" s="19"/>
      <c r="BW295" s="19"/>
      <c r="BX295" s="19"/>
      <c r="BY295" s="19"/>
      <c r="BZ295" s="19"/>
      <c r="CA295" s="19"/>
      <c r="CB295" s="19"/>
      <c r="CC295" s="19"/>
      <c r="CD295" s="19"/>
      <c r="CE295" s="19"/>
      <c r="CF295" s="19"/>
      <c r="CG295" s="19"/>
      <c r="CH295" s="19"/>
      <c r="CI295" s="19"/>
      <c r="CJ295" s="19"/>
      <c r="CK295" s="19"/>
      <c r="CL295" s="19"/>
      <c r="CM295" s="19"/>
      <c r="CN295" s="19"/>
      <c r="CO295" s="19"/>
      <c r="CP295" s="19"/>
      <c r="CQ295" s="19"/>
      <c r="CR295" s="19"/>
      <c r="CS295" s="19"/>
      <c r="CT295" s="19"/>
      <c r="CU295" s="19"/>
      <c r="CV295" s="19"/>
      <c r="CW295" s="19"/>
      <c r="CX295" s="19"/>
      <c r="CY295" s="19"/>
      <c r="CZ295" s="19"/>
      <c r="DA295" s="19"/>
      <c r="DB295" s="19"/>
      <c r="DC295" s="19"/>
      <c r="DD295" s="19"/>
      <c r="DE295" s="19"/>
      <c r="DF295" s="19"/>
      <c r="DG295" s="19"/>
      <c r="DH295" s="19"/>
      <c r="DI295" s="19"/>
      <c r="DJ295" s="19"/>
      <c r="DK295" s="19"/>
      <c r="DL295" s="19"/>
      <c r="DM295" s="19"/>
      <c r="DN295" s="19"/>
      <c r="DO295" s="19"/>
      <c r="DP295" s="19"/>
      <c r="DQ295" s="19"/>
      <c r="DR295" s="19"/>
      <c r="DS295" s="19"/>
      <c r="DT295" s="19"/>
      <c r="DU295" s="19"/>
      <c r="DV295" s="19"/>
      <c r="DW295" s="19"/>
      <c r="DX295" s="19"/>
      <c r="DY295" s="19"/>
      <c r="DZ295" s="19"/>
      <c r="EA295" s="19"/>
      <c r="EB295" s="19"/>
      <c r="EC295" s="19"/>
      <c r="ED295" s="19"/>
      <c r="EE295" s="19"/>
      <c r="EF295" s="19"/>
      <c r="EG295" s="19"/>
      <c r="EH295" s="19"/>
      <c r="EI295" s="19"/>
      <c r="EJ295" s="19"/>
      <c r="EK295" s="19"/>
      <c r="EL295" s="19"/>
      <c r="EM295" s="19"/>
      <c r="EN295" s="19"/>
      <c r="EO295" s="19"/>
      <c r="EP295" s="19"/>
      <c r="EQ295" s="19"/>
      <c r="ER295" s="19"/>
      <c r="ES295" s="19"/>
      <c r="ET295" s="19"/>
      <c r="EU295" s="19"/>
      <c r="EV295" s="19"/>
      <c r="EW295" s="19"/>
      <c r="EX295" s="19"/>
      <c r="EY295" s="19"/>
      <c r="EZ295" s="19"/>
      <c r="FA295" s="19"/>
      <c r="FB295" s="19"/>
      <c r="FC295" s="19"/>
      <c r="FD295" s="19"/>
      <c r="FE295" s="19"/>
      <c r="FF295" s="19"/>
      <c r="FG295" s="19"/>
      <c r="FH295" s="19"/>
      <c r="FI295" s="19"/>
    </row>
    <row r="296" spans="1:165" x14ac:dyDescent="0.25">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c r="BE296" s="19"/>
      <c r="BF296" s="19"/>
      <c r="BG296" s="19"/>
      <c r="BH296" s="19"/>
      <c r="BI296" s="19"/>
      <c r="BJ296" s="19"/>
      <c r="BK296" s="19"/>
      <c r="BL296" s="19"/>
      <c r="BM296" s="19"/>
      <c r="BN296" s="19"/>
      <c r="BO296" s="19"/>
      <c r="BP296" s="19"/>
      <c r="BQ296" s="19"/>
      <c r="BR296" s="19"/>
      <c r="BS296" s="19"/>
      <c r="BT296" s="19"/>
      <c r="BU296" s="19"/>
      <c r="BV296" s="19"/>
      <c r="BW296" s="19"/>
      <c r="BX296" s="19"/>
      <c r="BY296" s="19"/>
      <c r="BZ296" s="19"/>
      <c r="CA296" s="19"/>
      <c r="CB296" s="19"/>
      <c r="CC296" s="19"/>
      <c r="CD296" s="19"/>
      <c r="CE296" s="19"/>
      <c r="CF296" s="19"/>
      <c r="CG296" s="19"/>
      <c r="CH296" s="19"/>
      <c r="CI296" s="19"/>
      <c r="CJ296" s="19"/>
      <c r="CK296" s="19"/>
      <c r="CL296" s="19"/>
      <c r="CM296" s="19"/>
      <c r="CN296" s="19"/>
      <c r="CO296" s="19"/>
      <c r="CP296" s="19"/>
      <c r="CQ296" s="19"/>
      <c r="CR296" s="19"/>
      <c r="CS296" s="19"/>
      <c r="CT296" s="19"/>
      <c r="CU296" s="19"/>
      <c r="CV296" s="19"/>
      <c r="CW296" s="19"/>
      <c r="CX296" s="19"/>
      <c r="CY296" s="19"/>
      <c r="CZ296" s="19"/>
      <c r="DA296" s="19"/>
      <c r="DB296" s="19"/>
      <c r="DC296" s="19"/>
      <c r="DD296" s="19"/>
      <c r="DE296" s="19"/>
      <c r="DF296" s="19"/>
      <c r="DG296" s="19"/>
      <c r="DH296" s="19"/>
      <c r="DI296" s="19"/>
      <c r="DJ296" s="19"/>
      <c r="DK296" s="19"/>
      <c r="DL296" s="19"/>
      <c r="DM296" s="19"/>
      <c r="DN296" s="19"/>
      <c r="DO296" s="19"/>
      <c r="DP296" s="19"/>
      <c r="DQ296" s="19"/>
      <c r="DR296" s="19"/>
      <c r="DS296" s="19"/>
      <c r="DT296" s="19"/>
      <c r="DU296" s="19"/>
      <c r="DV296" s="19"/>
      <c r="DW296" s="19"/>
      <c r="DX296" s="19"/>
      <c r="DY296" s="19"/>
      <c r="DZ296" s="19"/>
      <c r="EA296" s="19"/>
      <c r="EB296" s="19"/>
      <c r="EC296" s="19"/>
      <c r="ED296" s="19"/>
      <c r="EE296" s="19"/>
      <c r="EF296" s="19"/>
      <c r="EG296" s="19"/>
      <c r="EH296" s="19"/>
      <c r="EI296" s="19"/>
      <c r="EJ296" s="19"/>
      <c r="EK296" s="19"/>
      <c r="EL296" s="19"/>
      <c r="EM296" s="19"/>
      <c r="EN296" s="19"/>
      <c r="EO296" s="19"/>
      <c r="EP296" s="19"/>
      <c r="EQ296" s="19"/>
      <c r="ER296" s="19"/>
      <c r="ES296" s="19"/>
      <c r="ET296" s="19"/>
      <c r="EU296" s="19"/>
      <c r="EV296" s="19"/>
      <c r="EW296" s="19"/>
      <c r="EX296" s="19"/>
      <c r="EY296" s="19"/>
      <c r="EZ296" s="19"/>
      <c r="FA296" s="19"/>
      <c r="FB296" s="19"/>
      <c r="FC296" s="19"/>
      <c r="FD296" s="19"/>
      <c r="FE296" s="19"/>
      <c r="FF296" s="19"/>
      <c r="FG296" s="19"/>
      <c r="FH296" s="19"/>
      <c r="FI296" s="19"/>
    </row>
    <row r="297" spans="1:165" x14ac:dyDescent="0.25">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c r="BE297" s="19"/>
      <c r="BF297" s="19"/>
      <c r="BG297" s="19"/>
      <c r="BH297" s="19"/>
      <c r="BI297" s="19"/>
      <c r="BJ297" s="19"/>
      <c r="BK297" s="19"/>
      <c r="BL297" s="19"/>
      <c r="BM297" s="19"/>
      <c r="BN297" s="19"/>
      <c r="BO297" s="19"/>
      <c r="BP297" s="19"/>
      <c r="BQ297" s="19"/>
      <c r="BR297" s="19"/>
      <c r="BS297" s="19"/>
      <c r="BT297" s="19"/>
      <c r="BU297" s="19"/>
      <c r="BV297" s="19"/>
      <c r="BW297" s="19"/>
      <c r="BX297" s="19"/>
      <c r="BY297" s="19"/>
      <c r="BZ297" s="19"/>
      <c r="CA297" s="19"/>
      <c r="CB297" s="19"/>
      <c r="CC297" s="19"/>
      <c r="CD297" s="19"/>
      <c r="CE297" s="19"/>
      <c r="CF297" s="19"/>
      <c r="CG297" s="19"/>
      <c r="CH297" s="19"/>
      <c r="CI297" s="19"/>
      <c r="CJ297" s="19"/>
      <c r="CK297" s="19"/>
      <c r="CL297" s="19"/>
      <c r="CM297" s="19"/>
      <c r="CN297" s="19"/>
      <c r="CO297" s="19"/>
      <c r="CP297" s="19"/>
      <c r="CQ297" s="19"/>
      <c r="CR297" s="19"/>
      <c r="CS297" s="19"/>
      <c r="CT297" s="19"/>
      <c r="CU297" s="19"/>
      <c r="CV297" s="19"/>
      <c r="CW297" s="19"/>
      <c r="CX297" s="19"/>
      <c r="CY297" s="19"/>
      <c r="CZ297" s="19"/>
      <c r="DA297" s="19"/>
      <c r="DB297" s="19"/>
      <c r="DC297" s="19"/>
      <c r="DD297" s="19"/>
      <c r="DE297" s="19"/>
      <c r="DF297" s="19"/>
      <c r="DG297" s="19"/>
      <c r="DH297" s="19"/>
      <c r="DI297" s="19"/>
      <c r="DJ297" s="19"/>
      <c r="DK297" s="19"/>
      <c r="DL297" s="19"/>
      <c r="DM297" s="19"/>
      <c r="DN297" s="19"/>
      <c r="DO297" s="19"/>
      <c r="DP297" s="19"/>
      <c r="DQ297" s="19"/>
      <c r="DR297" s="19"/>
      <c r="DS297" s="19"/>
      <c r="DT297" s="19"/>
      <c r="DU297" s="19"/>
      <c r="DV297" s="19"/>
      <c r="DW297" s="19"/>
      <c r="DX297" s="19"/>
      <c r="DY297" s="19"/>
      <c r="DZ297" s="19"/>
      <c r="EA297" s="19"/>
      <c r="EB297" s="19"/>
      <c r="EC297" s="19"/>
      <c r="ED297" s="19"/>
      <c r="EE297" s="19"/>
      <c r="EF297" s="19"/>
      <c r="EG297" s="19"/>
      <c r="EH297" s="19"/>
      <c r="EI297" s="19"/>
      <c r="EJ297" s="19"/>
      <c r="EK297" s="19"/>
      <c r="EL297" s="19"/>
      <c r="EM297" s="19"/>
      <c r="EN297" s="19"/>
      <c r="EO297" s="19"/>
      <c r="EP297" s="19"/>
      <c r="EQ297" s="19"/>
      <c r="ER297" s="19"/>
      <c r="ES297" s="19"/>
      <c r="ET297" s="19"/>
      <c r="EU297" s="19"/>
      <c r="EV297" s="19"/>
      <c r="EW297" s="19"/>
      <c r="EX297" s="19"/>
      <c r="EY297" s="19"/>
      <c r="EZ297" s="19"/>
      <c r="FA297" s="19"/>
      <c r="FB297" s="19"/>
      <c r="FC297" s="19"/>
      <c r="FD297" s="19"/>
      <c r="FE297" s="19"/>
      <c r="FF297" s="19"/>
      <c r="FG297" s="19"/>
      <c r="FH297" s="19"/>
      <c r="FI297" s="19"/>
    </row>
    <row r="298" spans="1:165" x14ac:dyDescent="0.25">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c r="BE298" s="19"/>
      <c r="BF298" s="19"/>
      <c r="BG298" s="19"/>
      <c r="BH298" s="19"/>
      <c r="BI298" s="19"/>
      <c r="BJ298" s="19"/>
      <c r="BK298" s="19"/>
      <c r="BL298" s="19"/>
      <c r="BM298" s="19"/>
      <c r="BN298" s="19"/>
      <c r="BO298" s="19"/>
      <c r="BP298" s="19"/>
      <c r="BQ298" s="19"/>
      <c r="BR298" s="19"/>
      <c r="BS298" s="19"/>
      <c r="BT298" s="19"/>
      <c r="BU298" s="19"/>
      <c r="BV298" s="19"/>
      <c r="BW298" s="19"/>
      <c r="BX298" s="19"/>
      <c r="BY298" s="19"/>
      <c r="BZ298" s="19"/>
      <c r="CA298" s="19"/>
      <c r="CB298" s="19"/>
      <c r="CC298" s="19"/>
      <c r="CD298" s="19"/>
      <c r="CE298" s="19"/>
      <c r="CF298" s="19"/>
      <c r="CG298" s="19"/>
      <c r="CH298" s="19"/>
      <c r="CI298" s="19"/>
      <c r="CJ298" s="19"/>
      <c r="CK298" s="19"/>
      <c r="CL298" s="19"/>
      <c r="CM298" s="19"/>
      <c r="CN298" s="19"/>
      <c r="CO298" s="19"/>
      <c r="CP298" s="19"/>
      <c r="CQ298" s="19"/>
      <c r="CR298" s="19"/>
      <c r="CS298" s="19"/>
      <c r="CT298" s="19"/>
      <c r="CU298" s="19"/>
      <c r="CV298" s="19"/>
      <c r="CW298" s="19"/>
      <c r="CX298" s="19"/>
      <c r="CY298" s="19"/>
      <c r="CZ298" s="19"/>
      <c r="DA298" s="19"/>
      <c r="DB298" s="19"/>
      <c r="DC298" s="19"/>
      <c r="DD298" s="19"/>
      <c r="DE298" s="19"/>
      <c r="DF298" s="19"/>
      <c r="DG298" s="19"/>
      <c r="DH298" s="19"/>
      <c r="DI298" s="19"/>
      <c r="DJ298" s="19"/>
      <c r="DK298" s="19"/>
      <c r="DL298" s="19"/>
      <c r="DM298" s="19"/>
      <c r="DN298" s="19"/>
      <c r="DO298" s="19"/>
      <c r="DP298" s="19"/>
      <c r="DQ298" s="19"/>
      <c r="DR298" s="19"/>
      <c r="DS298" s="19"/>
      <c r="DT298" s="19"/>
      <c r="DU298" s="19"/>
      <c r="DV298" s="19"/>
      <c r="DW298" s="19"/>
      <c r="DX298" s="19"/>
      <c r="DY298" s="19"/>
      <c r="DZ298" s="19"/>
      <c r="EA298" s="19"/>
      <c r="EB298" s="19"/>
      <c r="EC298" s="19"/>
      <c r="ED298" s="19"/>
      <c r="EE298" s="19"/>
      <c r="EF298" s="19"/>
      <c r="EG298" s="19"/>
      <c r="EH298" s="19"/>
      <c r="EI298" s="19"/>
      <c r="EJ298" s="19"/>
      <c r="EK298" s="19"/>
      <c r="EL298" s="19"/>
      <c r="EM298" s="19"/>
      <c r="EN298" s="19"/>
      <c r="EO298" s="19"/>
      <c r="EP298" s="19"/>
      <c r="EQ298" s="19"/>
      <c r="ER298" s="19"/>
      <c r="ES298" s="19"/>
      <c r="ET298" s="19"/>
      <c r="EU298" s="19"/>
      <c r="EV298" s="19"/>
      <c r="EW298" s="19"/>
      <c r="EX298" s="19"/>
      <c r="EY298" s="19"/>
      <c r="EZ298" s="19"/>
      <c r="FA298" s="19"/>
      <c r="FB298" s="19"/>
      <c r="FC298" s="19"/>
      <c r="FD298" s="19"/>
      <c r="FE298" s="19"/>
      <c r="FF298" s="19"/>
      <c r="FG298" s="19"/>
      <c r="FH298" s="19"/>
      <c r="FI298" s="19"/>
    </row>
    <row r="299" spans="1:165" x14ac:dyDescent="0.25">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c r="BE299" s="19"/>
      <c r="BF299" s="19"/>
      <c r="BG299" s="19"/>
      <c r="BH299" s="19"/>
      <c r="BI299" s="19"/>
      <c r="BJ299" s="19"/>
      <c r="BK299" s="19"/>
      <c r="BL299" s="19"/>
      <c r="BM299" s="19"/>
      <c r="BN299" s="19"/>
      <c r="BO299" s="19"/>
      <c r="BP299" s="19"/>
      <c r="BQ299" s="19"/>
      <c r="BR299" s="19"/>
      <c r="BS299" s="19"/>
      <c r="BT299" s="19"/>
      <c r="BU299" s="19"/>
      <c r="BV299" s="19"/>
      <c r="BW299" s="19"/>
      <c r="BX299" s="19"/>
      <c r="BY299" s="19"/>
      <c r="BZ299" s="19"/>
      <c r="CA299" s="19"/>
      <c r="CB299" s="19"/>
      <c r="CC299" s="19"/>
      <c r="CD299" s="19"/>
      <c r="CE299" s="19"/>
      <c r="CF299" s="19"/>
      <c r="CG299" s="19"/>
      <c r="CH299" s="19"/>
      <c r="CI299" s="19"/>
      <c r="CJ299" s="19"/>
      <c r="CK299" s="19"/>
      <c r="CL299" s="19"/>
      <c r="CM299" s="19"/>
      <c r="CN299" s="19"/>
      <c r="CO299" s="19"/>
      <c r="CP299" s="19"/>
      <c r="CQ299" s="19"/>
      <c r="CR299" s="19"/>
      <c r="CS299" s="19"/>
      <c r="CT299" s="19"/>
      <c r="CU299" s="19"/>
      <c r="CV299" s="19"/>
      <c r="CW299" s="19"/>
      <c r="CX299" s="19"/>
      <c r="CY299" s="19"/>
      <c r="CZ299" s="19"/>
      <c r="DA299" s="19"/>
      <c r="DB299" s="19"/>
      <c r="DC299" s="19"/>
      <c r="DD299" s="19"/>
      <c r="DE299" s="19"/>
      <c r="DF299" s="19"/>
      <c r="DG299" s="19"/>
      <c r="DH299" s="19"/>
      <c r="DI299" s="19"/>
      <c r="DJ299" s="19"/>
      <c r="DK299" s="19"/>
      <c r="DL299" s="19"/>
      <c r="DM299" s="19"/>
      <c r="DN299" s="19"/>
      <c r="DO299" s="19"/>
      <c r="DP299" s="19"/>
      <c r="DQ299" s="19"/>
      <c r="DR299" s="19"/>
      <c r="DS299" s="19"/>
      <c r="DT299" s="19"/>
      <c r="DU299" s="19"/>
      <c r="DV299" s="19"/>
      <c r="DW299" s="19"/>
      <c r="DX299" s="19"/>
      <c r="DY299" s="19"/>
      <c r="DZ299" s="19"/>
      <c r="EA299" s="19"/>
      <c r="EB299" s="19"/>
      <c r="EC299" s="19"/>
      <c r="ED299" s="19"/>
      <c r="EE299" s="19"/>
      <c r="EF299" s="19"/>
      <c r="EG299" s="19"/>
      <c r="EH299" s="19"/>
      <c r="EI299" s="19"/>
      <c r="EJ299" s="19"/>
      <c r="EK299" s="19"/>
      <c r="EL299" s="19"/>
      <c r="EM299" s="19"/>
      <c r="EN299" s="19"/>
      <c r="EO299" s="19"/>
      <c r="EP299" s="19"/>
      <c r="EQ299" s="19"/>
      <c r="ER299" s="19"/>
      <c r="ES299" s="19"/>
      <c r="ET299" s="19"/>
      <c r="EU299" s="19"/>
      <c r="EV299" s="19"/>
      <c r="EW299" s="19"/>
      <c r="EX299" s="19"/>
      <c r="EY299" s="19"/>
      <c r="EZ299" s="19"/>
      <c r="FA299" s="19"/>
      <c r="FB299" s="19"/>
      <c r="FC299" s="19"/>
      <c r="FD299" s="19"/>
      <c r="FE299" s="19"/>
      <c r="FF299" s="19"/>
      <c r="FG299" s="19"/>
      <c r="FH299" s="19"/>
      <c r="FI299" s="19"/>
    </row>
    <row r="300" spans="1:165" x14ac:dyDescent="0.25">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c r="BE300" s="19"/>
      <c r="BF300" s="19"/>
      <c r="BG300" s="19"/>
      <c r="BH300" s="19"/>
      <c r="BI300" s="19"/>
      <c r="BJ300" s="19"/>
      <c r="BK300" s="19"/>
      <c r="BL300" s="19"/>
      <c r="BM300" s="19"/>
      <c r="BN300" s="19"/>
      <c r="BO300" s="19"/>
      <c r="BP300" s="19"/>
      <c r="BQ300" s="19"/>
      <c r="BR300" s="19"/>
      <c r="BS300" s="19"/>
      <c r="BT300" s="19"/>
      <c r="BU300" s="19"/>
      <c r="BV300" s="19"/>
      <c r="BW300" s="19"/>
      <c r="BX300" s="19"/>
      <c r="BY300" s="19"/>
      <c r="BZ300" s="19"/>
      <c r="CA300" s="19"/>
      <c r="CB300" s="19"/>
      <c r="CC300" s="19"/>
      <c r="CD300" s="19"/>
      <c r="CE300" s="19"/>
      <c r="CF300" s="19"/>
      <c r="CG300" s="19"/>
      <c r="CH300" s="19"/>
      <c r="CI300" s="19"/>
      <c r="CJ300" s="19"/>
      <c r="CK300" s="19"/>
      <c r="CL300" s="19"/>
      <c r="CM300" s="19"/>
      <c r="CN300" s="19"/>
      <c r="CO300" s="19"/>
      <c r="CP300" s="19"/>
      <c r="CQ300" s="19"/>
      <c r="CR300" s="19"/>
      <c r="CS300" s="19"/>
      <c r="CT300" s="19"/>
      <c r="CU300" s="19"/>
      <c r="CV300" s="19"/>
      <c r="CW300" s="19"/>
      <c r="CX300" s="19"/>
      <c r="CY300" s="19"/>
      <c r="CZ300" s="19"/>
      <c r="DA300" s="19"/>
      <c r="DB300" s="19"/>
      <c r="DC300" s="19"/>
      <c r="DD300" s="19"/>
      <c r="DE300" s="19"/>
      <c r="DF300" s="19"/>
      <c r="DG300" s="19"/>
      <c r="DH300" s="19"/>
      <c r="DI300" s="19"/>
      <c r="DJ300" s="19"/>
      <c r="DK300" s="19"/>
      <c r="DL300" s="19"/>
      <c r="DM300" s="19"/>
      <c r="DN300" s="19"/>
      <c r="DO300" s="19"/>
      <c r="DP300" s="19"/>
      <c r="DQ300" s="19"/>
      <c r="DR300" s="19"/>
      <c r="DS300" s="19"/>
      <c r="DT300" s="19"/>
      <c r="DU300" s="19"/>
      <c r="DV300" s="19"/>
      <c r="DW300" s="19"/>
      <c r="DX300" s="19"/>
      <c r="DY300" s="19"/>
      <c r="DZ300" s="19"/>
      <c r="EA300" s="19"/>
      <c r="EB300" s="19"/>
      <c r="EC300" s="19"/>
      <c r="ED300" s="19"/>
      <c r="EE300" s="19"/>
      <c r="EF300" s="19"/>
      <c r="EG300" s="19"/>
      <c r="EH300" s="19"/>
      <c r="EI300" s="19"/>
      <c r="EJ300" s="19"/>
      <c r="EK300" s="19"/>
      <c r="EL300" s="19"/>
      <c r="EM300" s="19"/>
      <c r="EN300" s="19"/>
      <c r="EO300" s="19"/>
      <c r="EP300" s="19"/>
      <c r="EQ300" s="19"/>
      <c r="ER300" s="19"/>
      <c r="ES300" s="19"/>
      <c r="ET300" s="19"/>
      <c r="EU300" s="19"/>
      <c r="EV300" s="19"/>
      <c r="EW300" s="19"/>
      <c r="EX300" s="19"/>
      <c r="EY300" s="19"/>
      <c r="EZ300" s="19"/>
      <c r="FA300" s="19"/>
      <c r="FB300" s="19"/>
      <c r="FC300" s="19"/>
      <c r="FD300" s="19"/>
      <c r="FE300" s="19"/>
      <c r="FF300" s="19"/>
      <c r="FG300" s="19"/>
      <c r="FH300" s="19"/>
      <c r="FI300" s="19"/>
    </row>
    <row r="301" spans="1:165" x14ac:dyDescent="0.25">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c r="BE301" s="19"/>
      <c r="BF301" s="19"/>
      <c r="BG301" s="19"/>
      <c r="BH301" s="19"/>
      <c r="BI301" s="19"/>
      <c r="BJ301" s="19"/>
      <c r="BK301" s="19"/>
      <c r="BL301" s="19"/>
      <c r="BM301" s="19"/>
      <c r="BN301" s="19"/>
      <c r="BO301" s="19"/>
      <c r="BP301" s="19"/>
      <c r="BQ301" s="19"/>
      <c r="BR301" s="19"/>
      <c r="BS301" s="19"/>
      <c r="BT301" s="19"/>
      <c r="BU301" s="19"/>
      <c r="BV301" s="19"/>
      <c r="BW301" s="19"/>
      <c r="BX301" s="19"/>
      <c r="BY301" s="19"/>
      <c r="BZ301" s="19"/>
      <c r="CA301" s="19"/>
      <c r="CB301" s="19"/>
      <c r="CC301" s="19"/>
      <c r="CD301" s="19"/>
      <c r="CE301" s="19"/>
      <c r="CF301" s="19"/>
      <c r="CG301" s="19"/>
      <c r="CH301" s="19"/>
      <c r="CI301" s="19"/>
      <c r="CJ301" s="19"/>
      <c r="CK301" s="19"/>
      <c r="CL301" s="19"/>
      <c r="CM301" s="19"/>
      <c r="CN301" s="19"/>
      <c r="CO301" s="19"/>
      <c r="CP301" s="19"/>
      <c r="CQ301" s="19"/>
      <c r="CR301" s="19"/>
      <c r="CS301" s="19"/>
      <c r="CT301" s="19"/>
      <c r="CU301" s="19"/>
      <c r="CV301" s="19"/>
      <c r="CW301" s="19"/>
      <c r="CX301" s="19"/>
      <c r="CY301" s="19"/>
      <c r="CZ301" s="19"/>
      <c r="DA301" s="19"/>
      <c r="DB301" s="19"/>
      <c r="DC301" s="19"/>
      <c r="DD301" s="19"/>
      <c r="DE301" s="19"/>
      <c r="DF301" s="19"/>
      <c r="DG301" s="19"/>
      <c r="DH301" s="19"/>
      <c r="DI301" s="19"/>
      <c r="DJ301" s="19"/>
      <c r="DK301" s="19"/>
      <c r="DL301" s="19"/>
      <c r="DM301" s="19"/>
      <c r="DN301" s="19"/>
      <c r="DO301" s="19"/>
      <c r="DP301" s="19"/>
      <c r="DQ301" s="19"/>
      <c r="DR301" s="19"/>
      <c r="DS301" s="19"/>
      <c r="DT301" s="19"/>
      <c r="DU301" s="19"/>
      <c r="DV301" s="19"/>
      <c r="DW301" s="19"/>
      <c r="DX301" s="19"/>
      <c r="DY301" s="19"/>
      <c r="DZ301" s="19"/>
      <c r="EA301" s="19"/>
      <c r="EB301" s="19"/>
      <c r="EC301" s="19"/>
      <c r="ED301" s="19"/>
      <c r="EE301" s="19"/>
      <c r="EF301" s="19"/>
      <c r="EG301" s="19"/>
      <c r="EH301" s="19"/>
      <c r="EI301" s="19"/>
      <c r="EJ301" s="19"/>
      <c r="EK301" s="19"/>
      <c r="EL301" s="19"/>
      <c r="EM301" s="19"/>
      <c r="EN301" s="19"/>
      <c r="EO301" s="19"/>
      <c r="EP301" s="19"/>
      <c r="EQ301" s="19"/>
      <c r="ER301" s="19"/>
      <c r="ES301" s="19"/>
      <c r="ET301" s="19"/>
      <c r="EU301" s="19"/>
      <c r="EV301" s="19"/>
      <c r="EW301" s="19"/>
      <c r="EX301" s="19"/>
      <c r="EY301" s="19"/>
      <c r="EZ301" s="19"/>
      <c r="FA301" s="19"/>
      <c r="FB301" s="19"/>
      <c r="FC301" s="19"/>
      <c r="FD301" s="19"/>
      <c r="FE301" s="19"/>
      <c r="FF301" s="19"/>
      <c r="FG301" s="19"/>
      <c r="FH301" s="19"/>
      <c r="FI301" s="19"/>
    </row>
    <row r="302" spans="1:165" x14ac:dyDescent="0.25">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c r="BE302" s="19"/>
      <c r="BF302" s="19"/>
      <c r="BG302" s="19"/>
      <c r="BH302" s="19"/>
      <c r="BI302" s="19"/>
      <c r="BJ302" s="19"/>
      <c r="BK302" s="19"/>
      <c r="BL302" s="19"/>
      <c r="BM302" s="19"/>
      <c r="BN302" s="19"/>
      <c r="BO302" s="19"/>
      <c r="BP302" s="19"/>
      <c r="BQ302" s="19"/>
      <c r="BR302" s="19"/>
      <c r="BS302" s="19"/>
      <c r="BT302" s="19"/>
      <c r="BU302" s="19"/>
      <c r="BV302" s="19"/>
      <c r="BW302" s="19"/>
      <c r="BX302" s="19"/>
      <c r="BY302" s="19"/>
      <c r="BZ302" s="19"/>
      <c r="CA302" s="19"/>
      <c r="CB302" s="19"/>
      <c r="CC302" s="19"/>
      <c r="CD302" s="19"/>
      <c r="CE302" s="19"/>
      <c r="CF302" s="19"/>
      <c r="CG302" s="19"/>
      <c r="CH302" s="19"/>
      <c r="CI302" s="19"/>
      <c r="CJ302" s="19"/>
      <c r="CK302" s="19"/>
      <c r="CL302" s="19"/>
      <c r="CM302" s="19"/>
      <c r="CN302" s="19"/>
      <c r="CO302" s="19"/>
      <c r="CP302" s="19"/>
      <c r="CQ302" s="19"/>
      <c r="CR302" s="19"/>
      <c r="CS302" s="19"/>
      <c r="CT302" s="19"/>
      <c r="CU302" s="19"/>
      <c r="CV302" s="19"/>
      <c r="CW302" s="19"/>
      <c r="CX302" s="19"/>
      <c r="CY302" s="19"/>
      <c r="CZ302" s="19"/>
      <c r="DA302" s="19"/>
      <c r="DB302" s="19"/>
      <c r="DC302" s="19"/>
      <c r="DD302" s="19"/>
      <c r="DE302" s="19"/>
      <c r="DF302" s="19"/>
      <c r="DG302" s="19"/>
      <c r="DH302" s="19"/>
      <c r="DI302" s="19"/>
      <c r="DJ302" s="19"/>
      <c r="DK302" s="19"/>
      <c r="DL302" s="19"/>
      <c r="DM302" s="19"/>
      <c r="DN302" s="19"/>
      <c r="DO302" s="19"/>
      <c r="DP302" s="19"/>
      <c r="DQ302" s="19"/>
      <c r="DR302" s="19"/>
      <c r="DS302" s="19"/>
      <c r="DT302" s="19"/>
      <c r="DU302" s="19"/>
      <c r="DV302" s="19"/>
      <c r="DW302" s="19"/>
      <c r="DX302" s="19"/>
      <c r="DY302" s="19"/>
      <c r="DZ302" s="19"/>
      <c r="EA302" s="19"/>
      <c r="EB302" s="19"/>
      <c r="EC302" s="19"/>
      <c r="ED302" s="19"/>
      <c r="EE302" s="19"/>
      <c r="EF302" s="19"/>
      <c r="EG302" s="19"/>
      <c r="EH302" s="19"/>
      <c r="EI302" s="19"/>
      <c r="EJ302" s="19"/>
      <c r="EK302" s="19"/>
      <c r="EL302" s="19"/>
      <c r="EM302" s="19"/>
      <c r="EN302" s="19"/>
      <c r="EO302" s="19"/>
      <c r="EP302" s="19"/>
      <c r="EQ302" s="19"/>
      <c r="ER302" s="19"/>
      <c r="ES302" s="19"/>
      <c r="ET302" s="19"/>
      <c r="EU302" s="19"/>
      <c r="EV302" s="19"/>
      <c r="EW302" s="19"/>
      <c r="EX302" s="19"/>
      <c r="EY302" s="19"/>
      <c r="EZ302" s="19"/>
      <c r="FA302" s="19"/>
      <c r="FB302" s="19"/>
      <c r="FC302" s="19"/>
      <c r="FD302" s="19"/>
      <c r="FE302" s="19"/>
      <c r="FF302" s="19"/>
      <c r="FG302" s="19"/>
      <c r="FH302" s="19"/>
      <c r="FI302" s="19"/>
    </row>
    <row r="303" spans="1:165" x14ac:dyDescent="0.25">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c r="BE303" s="19"/>
      <c r="BF303" s="19"/>
      <c r="BG303" s="19"/>
      <c r="BH303" s="19"/>
      <c r="BI303" s="19"/>
      <c r="BJ303" s="19"/>
      <c r="BK303" s="19"/>
      <c r="BL303" s="19"/>
      <c r="BM303" s="19"/>
      <c r="BN303" s="19"/>
      <c r="BO303" s="19"/>
      <c r="BP303" s="19"/>
      <c r="BQ303" s="19"/>
      <c r="BR303" s="19"/>
      <c r="BS303" s="19"/>
      <c r="BT303" s="19"/>
      <c r="BU303" s="19"/>
      <c r="BV303" s="19"/>
      <c r="BW303" s="19"/>
      <c r="BX303" s="19"/>
      <c r="BY303" s="19"/>
      <c r="BZ303" s="19"/>
      <c r="CA303" s="19"/>
      <c r="CB303" s="19"/>
      <c r="CC303" s="19"/>
      <c r="CD303" s="19"/>
      <c r="CE303" s="19"/>
      <c r="CF303" s="19"/>
      <c r="CG303" s="19"/>
      <c r="CH303" s="19"/>
      <c r="CI303" s="19"/>
      <c r="CJ303" s="19"/>
      <c r="CK303" s="19"/>
      <c r="CL303" s="19"/>
      <c r="CM303" s="19"/>
      <c r="CN303" s="19"/>
      <c r="CO303" s="19"/>
      <c r="CP303" s="19"/>
      <c r="CQ303" s="19"/>
      <c r="CR303" s="19"/>
      <c r="CS303" s="19"/>
      <c r="CT303" s="19"/>
      <c r="CU303" s="19"/>
      <c r="CV303" s="19"/>
      <c r="CW303" s="19"/>
      <c r="CX303" s="19"/>
      <c r="CY303" s="19"/>
      <c r="CZ303" s="19"/>
      <c r="DA303" s="19"/>
      <c r="DB303" s="19"/>
      <c r="DC303" s="19"/>
      <c r="DD303" s="19"/>
      <c r="DE303" s="19"/>
      <c r="DF303" s="19"/>
      <c r="DG303" s="19"/>
      <c r="DH303" s="19"/>
      <c r="DI303" s="19"/>
      <c r="DJ303" s="19"/>
      <c r="DK303" s="19"/>
      <c r="DL303" s="19"/>
      <c r="DM303" s="19"/>
      <c r="DN303" s="19"/>
      <c r="DO303" s="19"/>
      <c r="DP303" s="19"/>
      <c r="DQ303" s="19"/>
      <c r="DR303" s="19"/>
      <c r="DS303" s="19"/>
      <c r="DT303" s="19"/>
      <c r="DU303" s="19"/>
      <c r="DV303" s="19"/>
      <c r="DW303" s="19"/>
      <c r="DX303" s="19"/>
      <c r="DY303" s="19"/>
      <c r="DZ303" s="19"/>
      <c r="EA303" s="19"/>
      <c r="EB303" s="19"/>
      <c r="EC303" s="19"/>
      <c r="ED303" s="19"/>
      <c r="EE303" s="19"/>
      <c r="EF303" s="19"/>
      <c r="EG303" s="19"/>
      <c r="EH303" s="19"/>
      <c r="EI303" s="19"/>
      <c r="EJ303" s="19"/>
      <c r="EK303" s="19"/>
      <c r="EL303" s="19"/>
      <c r="EM303" s="19"/>
      <c r="EN303" s="19"/>
      <c r="EO303" s="19"/>
      <c r="EP303" s="19"/>
      <c r="EQ303" s="19"/>
      <c r="ER303" s="19"/>
      <c r="ES303" s="19"/>
      <c r="ET303" s="19"/>
      <c r="EU303" s="19"/>
      <c r="EV303" s="19"/>
      <c r="EW303" s="19"/>
      <c r="EX303" s="19"/>
      <c r="EY303" s="19"/>
      <c r="EZ303" s="19"/>
      <c r="FA303" s="19"/>
      <c r="FB303" s="19"/>
      <c r="FC303" s="19"/>
      <c r="FD303" s="19"/>
      <c r="FE303" s="19"/>
      <c r="FF303" s="19"/>
      <c r="FG303" s="19"/>
      <c r="FH303" s="19"/>
      <c r="FI303" s="19"/>
    </row>
    <row r="304" spans="1:165" x14ac:dyDescent="0.25">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c r="BE304" s="19"/>
      <c r="BF304" s="19"/>
      <c r="BG304" s="19"/>
      <c r="BH304" s="19"/>
      <c r="BI304" s="19"/>
      <c r="BJ304" s="19"/>
      <c r="BK304" s="19"/>
      <c r="BL304" s="19"/>
      <c r="BM304" s="19"/>
      <c r="BN304" s="19"/>
      <c r="BO304" s="19"/>
      <c r="BP304" s="19"/>
      <c r="BQ304" s="19"/>
      <c r="BR304" s="19"/>
      <c r="BS304" s="19"/>
      <c r="BT304" s="19"/>
      <c r="BU304" s="19"/>
      <c r="BV304" s="19"/>
      <c r="BW304" s="19"/>
      <c r="BX304" s="19"/>
      <c r="BY304" s="19"/>
      <c r="BZ304" s="19"/>
      <c r="CA304" s="19"/>
      <c r="CB304" s="19"/>
      <c r="CC304" s="19"/>
      <c r="CD304" s="19"/>
      <c r="CE304" s="19"/>
      <c r="CF304" s="19"/>
      <c r="CG304" s="19"/>
      <c r="CH304" s="19"/>
      <c r="CI304" s="19"/>
      <c r="CJ304" s="19"/>
      <c r="CK304" s="19"/>
      <c r="CL304" s="19"/>
      <c r="CM304" s="19"/>
      <c r="CN304" s="19"/>
      <c r="CO304" s="19"/>
      <c r="CP304" s="19"/>
      <c r="CQ304" s="19"/>
      <c r="CR304" s="19"/>
      <c r="CS304" s="19"/>
      <c r="CT304" s="19"/>
      <c r="CU304" s="19"/>
      <c r="CV304" s="19"/>
      <c r="CW304" s="19"/>
      <c r="CX304" s="19"/>
      <c r="CY304" s="19"/>
      <c r="CZ304" s="19"/>
      <c r="DA304" s="19"/>
      <c r="DB304" s="19"/>
      <c r="DC304" s="19"/>
      <c r="DD304" s="19"/>
      <c r="DE304" s="19"/>
      <c r="DF304" s="19"/>
      <c r="DG304" s="19"/>
      <c r="DH304" s="19"/>
      <c r="DI304" s="19"/>
      <c r="DJ304" s="19"/>
      <c r="DK304" s="19"/>
      <c r="DL304" s="19"/>
      <c r="DM304" s="19"/>
      <c r="DN304" s="19"/>
      <c r="DO304" s="19"/>
      <c r="DP304" s="19"/>
      <c r="DQ304" s="19"/>
      <c r="DR304" s="19"/>
      <c r="DS304" s="19"/>
      <c r="DT304" s="19"/>
      <c r="DU304" s="19"/>
      <c r="DV304" s="19"/>
      <c r="DW304" s="19"/>
      <c r="DX304" s="19"/>
      <c r="DY304" s="19"/>
      <c r="DZ304" s="19"/>
      <c r="EA304" s="19"/>
      <c r="EB304" s="19"/>
      <c r="EC304" s="19"/>
      <c r="ED304" s="19"/>
      <c r="EE304" s="19"/>
      <c r="EF304" s="19"/>
      <c r="EG304" s="19"/>
      <c r="EH304" s="19"/>
      <c r="EI304" s="19"/>
      <c r="EJ304" s="19"/>
      <c r="EK304" s="19"/>
      <c r="EL304" s="19"/>
      <c r="EM304" s="19"/>
      <c r="EN304" s="19"/>
      <c r="EO304" s="19"/>
      <c r="EP304" s="19"/>
      <c r="EQ304" s="19"/>
      <c r="ER304" s="19"/>
      <c r="ES304" s="19"/>
      <c r="ET304" s="19"/>
      <c r="EU304" s="19"/>
      <c r="EV304" s="19"/>
      <c r="EW304" s="19"/>
      <c r="EX304" s="19"/>
      <c r="EY304" s="19"/>
      <c r="EZ304" s="19"/>
      <c r="FA304" s="19"/>
      <c r="FB304" s="19"/>
      <c r="FC304" s="19"/>
      <c r="FD304" s="19"/>
      <c r="FE304" s="19"/>
      <c r="FF304" s="19"/>
      <c r="FG304" s="19"/>
      <c r="FH304" s="19"/>
      <c r="FI304" s="19"/>
    </row>
    <row r="305" spans="1:165" x14ac:dyDescent="0.25">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c r="BE305" s="19"/>
      <c r="BF305" s="19"/>
      <c r="BG305" s="19"/>
      <c r="BH305" s="19"/>
      <c r="BI305" s="19"/>
      <c r="BJ305" s="19"/>
      <c r="BK305" s="19"/>
      <c r="BL305" s="19"/>
      <c r="BM305" s="19"/>
      <c r="BN305" s="19"/>
      <c r="BO305" s="19"/>
      <c r="BP305" s="19"/>
      <c r="BQ305" s="19"/>
      <c r="BR305" s="19"/>
      <c r="BS305" s="19"/>
      <c r="BT305" s="19"/>
      <c r="BU305" s="19"/>
      <c r="BV305" s="19"/>
      <c r="BW305" s="19"/>
      <c r="BX305" s="19"/>
      <c r="BY305" s="19"/>
      <c r="BZ305" s="19"/>
      <c r="CA305" s="19"/>
      <c r="CB305" s="19"/>
      <c r="CC305" s="19"/>
      <c r="CD305" s="19"/>
      <c r="CE305" s="19"/>
      <c r="CF305" s="19"/>
      <c r="CG305" s="19"/>
      <c r="CH305" s="19"/>
      <c r="CI305" s="19"/>
      <c r="CJ305" s="19"/>
      <c r="CK305" s="19"/>
      <c r="CL305" s="19"/>
      <c r="CM305" s="19"/>
      <c r="CN305" s="19"/>
      <c r="CO305" s="19"/>
      <c r="CP305" s="19"/>
      <c r="CQ305" s="19"/>
      <c r="CR305" s="19"/>
      <c r="CS305" s="19"/>
      <c r="CT305" s="19"/>
      <c r="CU305" s="19"/>
      <c r="CV305" s="19"/>
      <c r="CW305" s="19"/>
      <c r="CX305" s="19"/>
      <c r="CY305" s="19"/>
      <c r="CZ305" s="19"/>
      <c r="DA305" s="19"/>
      <c r="DB305" s="19"/>
      <c r="DC305" s="19"/>
      <c r="DD305" s="19"/>
      <c r="DE305" s="19"/>
      <c r="DF305" s="19"/>
      <c r="DG305" s="19"/>
      <c r="DH305" s="19"/>
      <c r="DI305" s="19"/>
      <c r="DJ305" s="19"/>
      <c r="DK305" s="19"/>
      <c r="DL305" s="19"/>
      <c r="DM305" s="19"/>
      <c r="DN305" s="19"/>
      <c r="DO305" s="19"/>
      <c r="DP305" s="19"/>
      <c r="DQ305" s="19"/>
      <c r="DR305" s="19"/>
      <c r="DS305" s="19"/>
      <c r="DT305" s="19"/>
      <c r="DU305" s="19"/>
      <c r="DV305" s="19"/>
      <c r="DW305" s="19"/>
      <c r="DX305" s="19"/>
      <c r="DY305" s="19"/>
      <c r="DZ305" s="19"/>
      <c r="EA305" s="19"/>
      <c r="EB305" s="19"/>
      <c r="EC305" s="19"/>
      <c r="ED305" s="19"/>
      <c r="EE305" s="19"/>
      <c r="EF305" s="19"/>
      <c r="EG305" s="19"/>
      <c r="EH305" s="19"/>
      <c r="EI305" s="19"/>
      <c r="EJ305" s="19"/>
      <c r="EK305" s="19"/>
      <c r="EL305" s="19"/>
      <c r="EM305" s="19"/>
      <c r="EN305" s="19"/>
      <c r="EO305" s="19"/>
      <c r="EP305" s="19"/>
      <c r="EQ305" s="19"/>
      <c r="ER305" s="19"/>
      <c r="ES305" s="19"/>
      <c r="ET305" s="19"/>
      <c r="EU305" s="19"/>
      <c r="EV305" s="19"/>
      <c r="EW305" s="19"/>
      <c r="EX305" s="19"/>
      <c r="EY305" s="19"/>
      <c r="EZ305" s="19"/>
      <c r="FA305" s="19"/>
      <c r="FB305" s="19"/>
      <c r="FC305" s="19"/>
      <c r="FD305" s="19"/>
      <c r="FE305" s="19"/>
      <c r="FF305" s="19"/>
      <c r="FG305" s="19"/>
      <c r="FH305" s="19"/>
      <c r="FI305" s="19"/>
    </row>
    <row r="306" spans="1:165" x14ac:dyDescent="0.25">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c r="BE306" s="19"/>
      <c r="BF306" s="19"/>
      <c r="BG306" s="19"/>
      <c r="BH306" s="19"/>
      <c r="BI306" s="19"/>
      <c r="BJ306" s="19"/>
      <c r="BK306" s="19"/>
      <c r="BL306" s="19"/>
      <c r="BM306" s="19"/>
      <c r="BN306" s="19"/>
      <c r="BO306" s="19"/>
      <c r="BP306" s="19"/>
      <c r="BQ306" s="19"/>
      <c r="BR306" s="19"/>
      <c r="BS306" s="19"/>
      <c r="BT306" s="19"/>
      <c r="BU306" s="19"/>
      <c r="BV306" s="19"/>
      <c r="BW306" s="19"/>
      <c r="BX306" s="19"/>
      <c r="BY306" s="19"/>
      <c r="BZ306" s="19"/>
      <c r="CA306" s="19"/>
      <c r="CB306" s="19"/>
      <c r="CC306" s="19"/>
      <c r="CD306" s="19"/>
      <c r="CE306" s="19"/>
      <c r="CF306" s="19"/>
      <c r="CG306" s="19"/>
      <c r="CH306" s="19"/>
      <c r="CI306" s="19"/>
      <c r="CJ306" s="19"/>
      <c r="CK306" s="19"/>
      <c r="CL306" s="19"/>
      <c r="CM306" s="19"/>
      <c r="CN306" s="19"/>
      <c r="CO306" s="19"/>
      <c r="CP306" s="19"/>
      <c r="CQ306" s="19"/>
      <c r="CR306" s="19"/>
      <c r="CS306" s="19"/>
      <c r="CT306" s="19"/>
      <c r="CU306" s="19"/>
      <c r="CV306" s="19"/>
      <c r="CW306" s="19"/>
      <c r="CX306" s="19"/>
      <c r="CY306" s="19"/>
      <c r="CZ306" s="19"/>
      <c r="DA306" s="19"/>
      <c r="DB306" s="19"/>
      <c r="DC306" s="19"/>
      <c r="DD306" s="19"/>
      <c r="DE306" s="19"/>
      <c r="DF306" s="19"/>
      <c r="DG306" s="19"/>
      <c r="DH306" s="19"/>
      <c r="DI306" s="19"/>
      <c r="DJ306" s="19"/>
      <c r="DK306" s="19"/>
      <c r="DL306" s="19"/>
      <c r="DM306" s="19"/>
      <c r="DN306" s="19"/>
      <c r="DO306" s="19"/>
      <c r="DP306" s="19"/>
      <c r="DQ306" s="19"/>
      <c r="DR306" s="19"/>
      <c r="DS306" s="19"/>
      <c r="DT306" s="19"/>
      <c r="DU306" s="19"/>
      <c r="DV306" s="19"/>
      <c r="DW306" s="19"/>
      <c r="DX306" s="19"/>
      <c r="DY306" s="19"/>
      <c r="DZ306" s="19"/>
      <c r="EA306" s="19"/>
      <c r="EB306" s="19"/>
      <c r="EC306" s="19"/>
      <c r="ED306" s="19"/>
      <c r="EE306" s="19"/>
      <c r="EF306" s="19"/>
      <c r="EG306" s="19"/>
      <c r="EH306" s="19"/>
      <c r="EI306" s="19"/>
      <c r="EJ306" s="19"/>
      <c r="EK306" s="19"/>
      <c r="EL306" s="19"/>
      <c r="EM306" s="19"/>
      <c r="EN306" s="19"/>
      <c r="EO306" s="19"/>
      <c r="EP306" s="19"/>
      <c r="EQ306" s="19"/>
      <c r="ER306" s="19"/>
      <c r="ES306" s="19"/>
      <c r="ET306" s="19"/>
      <c r="EU306" s="19"/>
      <c r="EV306" s="19"/>
      <c r="EW306" s="19"/>
      <c r="EX306" s="19"/>
      <c r="EY306" s="19"/>
      <c r="EZ306" s="19"/>
      <c r="FA306" s="19"/>
      <c r="FB306" s="19"/>
      <c r="FC306" s="19"/>
      <c r="FD306" s="19"/>
      <c r="FE306" s="19"/>
      <c r="FF306" s="19"/>
      <c r="FG306" s="19"/>
      <c r="FH306" s="19"/>
      <c r="FI306" s="19"/>
    </row>
    <row r="307" spans="1:165" x14ac:dyDescent="0.25">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c r="BE307" s="19"/>
      <c r="BF307" s="19"/>
      <c r="BG307" s="19"/>
      <c r="BH307" s="19"/>
      <c r="BI307" s="19"/>
      <c r="BJ307" s="19"/>
      <c r="BK307" s="19"/>
      <c r="BL307" s="19"/>
      <c r="BM307" s="19"/>
      <c r="BN307" s="19"/>
      <c r="BO307" s="19"/>
      <c r="BP307" s="19"/>
      <c r="BQ307" s="19"/>
      <c r="BR307" s="19"/>
      <c r="BS307" s="19"/>
      <c r="BT307" s="19"/>
      <c r="BU307" s="19"/>
      <c r="BV307" s="19"/>
      <c r="BW307" s="19"/>
      <c r="BX307" s="19"/>
      <c r="BY307" s="19"/>
      <c r="BZ307" s="19"/>
      <c r="CA307" s="19"/>
      <c r="CB307" s="19"/>
      <c r="CC307" s="19"/>
      <c r="CD307" s="19"/>
      <c r="CE307" s="19"/>
      <c r="CF307" s="19"/>
      <c r="CG307" s="19"/>
      <c r="CH307" s="19"/>
      <c r="CI307" s="19"/>
      <c r="CJ307" s="19"/>
      <c r="CK307" s="19"/>
      <c r="CL307" s="19"/>
      <c r="CM307" s="19"/>
      <c r="CN307" s="19"/>
      <c r="CO307" s="19"/>
      <c r="CP307" s="19"/>
      <c r="CQ307" s="19"/>
      <c r="CR307" s="19"/>
      <c r="CS307" s="19"/>
      <c r="CT307" s="19"/>
      <c r="CU307" s="19"/>
      <c r="CV307" s="19"/>
      <c r="CW307" s="19"/>
      <c r="CX307" s="19"/>
      <c r="CY307" s="19"/>
      <c r="CZ307" s="19"/>
      <c r="DA307" s="19"/>
      <c r="DB307" s="19"/>
      <c r="DC307" s="19"/>
      <c r="DD307" s="19"/>
      <c r="DE307" s="19"/>
      <c r="DF307" s="19"/>
      <c r="DG307" s="19"/>
      <c r="DH307" s="19"/>
      <c r="DI307" s="19"/>
      <c r="DJ307" s="19"/>
      <c r="DK307" s="19"/>
      <c r="DL307" s="19"/>
      <c r="DM307" s="19"/>
      <c r="DN307" s="19"/>
      <c r="DO307" s="19"/>
      <c r="DP307" s="19"/>
      <c r="DQ307" s="19"/>
      <c r="DR307" s="19"/>
      <c r="DS307" s="19"/>
      <c r="DT307" s="19"/>
      <c r="DU307" s="19"/>
      <c r="DV307" s="19"/>
      <c r="DW307" s="19"/>
      <c r="DX307" s="19"/>
      <c r="DY307" s="19"/>
      <c r="DZ307" s="19"/>
      <c r="EA307" s="19"/>
      <c r="EB307" s="19"/>
      <c r="EC307" s="19"/>
      <c r="ED307" s="19"/>
      <c r="EE307" s="19"/>
      <c r="EF307" s="19"/>
      <c r="EG307" s="19"/>
      <c r="EH307" s="19"/>
      <c r="EI307" s="19"/>
      <c r="EJ307" s="19"/>
      <c r="EK307" s="19"/>
      <c r="EL307" s="19"/>
      <c r="EM307" s="19"/>
      <c r="EN307" s="19"/>
      <c r="EO307" s="19"/>
      <c r="EP307" s="19"/>
      <c r="EQ307" s="19"/>
      <c r="ER307" s="19"/>
      <c r="ES307" s="19"/>
      <c r="ET307" s="19"/>
      <c r="EU307" s="19"/>
      <c r="EV307" s="19"/>
      <c r="EW307" s="19"/>
      <c r="EX307" s="19"/>
      <c r="EY307" s="19"/>
      <c r="EZ307" s="19"/>
      <c r="FA307" s="19"/>
      <c r="FB307" s="19"/>
      <c r="FC307" s="19"/>
      <c r="FD307" s="19"/>
      <c r="FE307" s="19"/>
      <c r="FF307" s="19"/>
      <c r="FG307" s="19"/>
      <c r="FH307" s="19"/>
      <c r="FI307" s="19"/>
    </row>
    <row r="308" spans="1:165" x14ac:dyDescent="0.25">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c r="BE308" s="19"/>
      <c r="BF308" s="19"/>
      <c r="BG308" s="19"/>
      <c r="BH308" s="19"/>
      <c r="BI308" s="19"/>
      <c r="BJ308" s="19"/>
      <c r="BK308" s="19"/>
      <c r="BL308" s="19"/>
      <c r="BM308" s="19"/>
      <c r="BN308" s="19"/>
      <c r="BO308" s="19"/>
      <c r="BP308" s="19"/>
      <c r="BQ308" s="19"/>
      <c r="BR308" s="19"/>
      <c r="BS308" s="19"/>
      <c r="BT308" s="19"/>
      <c r="BU308" s="19"/>
      <c r="BV308" s="19"/>
      <c r="BW308" s="19"/>
      <c r="BX308" s="19"/>
      <c r="BY308" s="19"/>
      <c r="BZ308" s="19"/>
      <c r="CA308" s="19"/>
      <c r="CB308" s="19"/>
      <c r="CC308" s="19"/>
      <c r="CD308" s="19"/>
      <c r="CE308" s="19"/>
      <c r="CF308" s="19"/>
      <c r="CG308" s="19"/>
      <c r="CH308" s="19"/>
      <c r="CI308" s="19"/>
      <c r="CJ308" s="19"/>
      <c r="CK308" s="19"/>
      <c r="CL308" s="19"/>
      <c r="CM308" s="19"/>
      <c r="CN308" s="19"/>
      <c r="CO308" s="19"/>
      <c r="CP308" s="19"/>
      <c r="CQ308" s="19"/>
      <c r="CR308" s="19"/>
      <c r="CS308" s="19"/>
      <c r="CT308" s="19"/>
      <c r="CU308" s="19"/>
      <c r="CV308" s="19"/>
      <c r="CW308" s="19"/>
      <c r="CX308" s="19"/>
      <c r="CY308" s="19"/>
      <c r="CZ308" s="19"/>
      <c r="DA308" s="19"/>
      <c r="DB308" s="19"/>
      <c r="DC308" s="19"/>
      <c r="DD308" s="19"/>
      <c r="DE308" s="19"/>
      <c r="DF308" s="19"/>
      <c r="DG308" s="19"/>
      <c r="DH308" s="19"/>
      <c r="DI308" s="19"/>
      <c r="DJ308" s="19"/>
      <c r="DK308" s="19"/>
      <c r="DL308" s="19"/>
      <c r="DM308" s="19"/>
      <c r="DN308" s="19"/>
      <c r="DO308" s="19"/>
      <c r="DP308" s="19"/>
      <c r="DQ308" s="19"/>
      <c r="DR308" s="19"/>
      <c r="DS308" s="19"/>
      <c r="DT308" s="19"/>
      <c r="DU308" s="19"/>
      <c r="DV308" s="19"/>
      <c r="DW308" s="19"/>
      <c r="DX308" s="19"/>
      <c r="DY308" s="19"/>
      <c r="DZ308" s="19"/>
      <c r="EA308" s="19"/>
      <c r="EB308" s="19"/>
      <c r="EC308" s="19"/>
      <c r="ED308" s="19"/>
      <c r="EE308" s="19"/>
      <c r="EF308" s="19"/>
      <c r="EG308" s="19"/>
      <c r="EH308" s="19"/>
      <c r="EI308" s="19"/>
      <c r="EJ308" s="19"/>
      <c r="EK308" s="19"/>
      <c r="EL308" s="19"/>
      <c r="EM308" s="19"/>
      <c r="EN308" s="19"/>
      <c r="EO308" s="19"/>
      <c r="EP308" s="19"/>
      <c r="EQ308" s="19"/>
      <c r="ER308" s="19"/>
      <c r="ES308" s="19"/>
      <c r="ET308" s="19"/>
      <c r="EU308" s="19"/>
      <c r="EV308" s="19"/>
      <c r="EW308" s="19"/>
      <c r="EX308" s="19"/>
      <c r="EY308" s="19"/>
      <c r="EZ308" s="19"/>
      <c r="FA308" s="19"/>
      <c r="FB308" s="19"/>
      <c r="FC308" s="19"/>
      <c r="FD308" s="19"/>
      <c r="FE308" s="19"/>
      <c r="FF308" s="19"/>
      <c r="FG308" s="19"/>
      <c r="FH308" s="19"/>
      <c r="FI308" s="19"/>
    </row>
    <row r="309" spans="1:165" x14ac:dyDescent="0.25">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c r="BE309" s="19"/>
      <c r="BF309" s="19"/>
      <c r="BG309" s="19"/>
      <c r="BH309" s="19"/>
      <c r="BI309" s="19"/>
      <c r="BJ309" s="19"/>
      <c r="BK309" s="19"/>
      <c r="BL309" s="19"/>
      <c r="BM309" s="19"/>
      <c r="BN309" s="19"/>
      <c r="BO309" s="19"/>
      <c r="BP309" s="19"/>
      <c r="BQ309" s="19"/>
      <c r="BR309" s="19"/>
      <c r="BS309" s="19"/>
      <c r="BT309" s="19"/>
      <c r="BU309" s="19"/>
      <c r="BV309" s="19"/>
      <c r="BW309" s="19"/>
      <c r="BX309" s="19"/>
      <c r="BY309" s="19"/>
      <c r="BZ309" s="19"/>
      <c r="CA309" s="19"/>
      <c r="CB309" s="19"/>
      <c r="CC309" s="19"/>
      <c r="CD309" s="19"/>
      <c r="CE309" s="19"/>
      <c r="CF309" s="19"/>
      <c r="CG309" s="19"/>
      <c r="CH309" s="19"/>
      <c r="CI309" s="19"/>
      <c r="CJ309" s="19"/>
      <c r="CK309" s="19"/>
      <c r="CL309" s="19"/>
      <c r="CM309" s="19"/>
      <c r="CN309" s="19"/>
      <c r="CO309" s="19"/>
      <c r="CP309" s="19"/>
      <c r="CQ309" s="19"/>
      <c r="CR309" s="19"/>
      <c r="CS309" s="19"/>
      <c r="CT309" s="19"/>
      <c r="CU309" s="19"/>
      <c r="CV309" s="19"/>
      <c r="CW309" s="19"/>
      <c r="CX309" s="19"/>
      <c r="CY309" s="19"/>
      <c r="CZ309" s="19"/>
      <c r="DA309" s="19"/>
      <c r="DB309" s="19"/>
      <c r="DC309" s="19"/>
      <c r="DD309" s="19"/>
      <c r="DE309" s="19"/>
      <c r="DF309" s="19"/>
      <c r="DG309" s="19"/>
      <c r="DH309" s="19"/>
      <c r="DI309" s="19"/>
      <c r="DJ309" s="19"/>
      <c r="DK309" s="19"/>
      <c r="DL309" s="19"/>
      <c r="DM309" s="19"/>
      <c r="DN309" s="19"/>
      <c r="DO309" s="19"/>
      <c r="DP309" s="19"/>
      <c r="DQ309" s="19"/>
      <c r="DR309" s="19"/>
      <c r="DS309" s="19"/>
      <c r="DT309" s="19"/>
      <c r="DU309" s="19"/>
      <c r="DV309" s="19"/>
      <c r="DW309" s="19"/>
      <c r="DX309" s="19"/>
      <c r="DY309" s="19"/>
      <c r="DZ309" s="19"/>
      <c r="EA309" s="19"/>
      <c r="EB309" s="19"/>
      <c r="EC309" s="19"/>
      <c r="ED309" s="19"/>
      <c r="EE309" s="19"/>
      <c r="EF309" s="19"/>
      <c r="EG309" s="19"/>
      <c r="EH309" s="19"/>
      <c r="EI309" s="19"/>
      <c r="EJ309" s="19"/>
      <c r="EK309" s="19"/>
      <c r="EL309" s="19"/>
      <c r="EM309" s="19"/>
      <c r="EN309" s="19"/>
      <c r="EO309" s="19"/>
      <c r="EP309" s="19"/>
      <c r="EQ309" s="19"/>
      <c r="ER309" s="19"/>
      <c r="ES309" s="19"/>
      <c r="ET309" s="19"/>
      <c r="EU309" s="19"/>
      <c r="EV309" s="19"/>
      <c r="EW309" s="19"/>
      <c r="EX309" s="19"/>
      <c r="EY309" s="19"/>
      <c r="EZ309" s="19"/>
      <c r="FA309" s="19"/>
      <c r="FB309" s="19"/>
      <c r="FC309" s="19"/>
      <c r="FD309" s="19"/>
      <c r="FE309" s="19"/>
      <c r="FF309" s="19"/>
      <c r="FG309" s="19"/>
      <c r="FH309" s="19"/>
      <c r="FI309" s="19"/>
    </row>
    <row r="310" spans="1:165" x14ac:dyDescent="0.25">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c r="BE310" s="19"/>
      <c r="BF310" s="19"/>
      <c r="BG310" s="19"/>
      <c r="BH310" s="19"/>
      <c r="BI310" s="19"/>
      <c r="BJ310" s="19"/>
      <c r="BK310" s="19"/>
      <c r="BL310" s="19"/>
      <c r="BM310" s="19"/>
      <c r="BN310" s="19"/>
      <c r="BO310" s="19"/>
      <c r="BP310" s="19"/>
      <c r="BQ310" s="19"/>
      <c r="BR310" s="19"/>
      <c r="BS310" s="19"/>
      <c r="BT310" s="19"/>
      <c r="BU310" s="19"/>
      <c r="BV310" s="19"/>
      <c r="BW310" s="19"/>
      <c r="BX310" s="19"/>
      <c r="BY310" s="19"/>
      <c r="BZ310" s="19"/>
      <c r="CA310" s="19"/>
      <c r="CB310" s="19"/>
      <c r="CC310" s="19"/>
      <c r="CD310" s="19"/>
      <c r="CE310" s="19"/>
      <c r="CF310" s="19"/>
      <c r="CG310" s="19"/>
      <c r="CH310" s="19"/>
      <c r="CI310" s="19"/>
      <c r="CJ310" s="19"/>
      <c r="CK310" s="19"/>
      <c r="CL310" s="19"/>
      <c r="CM310" s="19"/>
      <c r="CN310" s="19"/>
      <c r="CO310" s="19"/>
      <c r="CP310" s="19"/>
      <c r="CQ310" s="19"/>
      <c r="CR310" s="19"/>
      <c r="CS310" s="19"/>
      <c r="CT310" s="19"/>
      <c r="CU310" s="19"/>
      <c r="CV310" s="19"/>
      <c r="CW310" s="19"/>
      <c r="CX310" s="19"/>
      <c r="CY310" s="19"/>
      <c r="CZ310" s="19"/>
      <c r="DA310" s="19"/>
      <c r="DB310" s="19"/>
      <c r="DC310" s="19"/>
      <c r="DD310" s="19"/>
      <c r="DE310" s="19"/>
      <c r="DF310" s="19"/>
      <c r="DG310" s="19"/>
      <c r="DH310" s="19"/>
      <c r="DI310" s="19"/>
      <c r="DJ310" s="19"/>
      <c r="DK310" s="19"/>
      <c r="DL310" s="19"/>
      <c r="DM310" s="19"/>
      <c r="DN310" s="19"/>
      <c r="DO310" s="19"/>
      <c r="DP310" s="19"/>
      <c r="DQ310" s="19"/>
      <c r="DR310" s="19"/>
      <c r="DS310" s="19"/>
      <c r="DT310" s="19"/>
      <c r="DU310" s="19"/>
      <c r="DV310" s="19"/>
      <c r="DW310" s="19"/>
      <c r="DX310" s="19"/>
      <c r="DY310" s="19"/>
      <c r="DZ310" s="19"/>
      <c r="EA310" s="19"/>
      <c r="EB310" s="19"/>
      <c r="EC310" s="19"/>
      <c r="ED310" s="19"/>
      <c r="EE310" s="19"/>
      <c r="EF310" s="19"/>
      <c r="EG310" s="19"/>
      <c r="EH310" s="19"/>
      <c r="EI310" s="19"/>
      <c r="EJ310" s="19"/>
      <c r="EK310" s="19"/>
      <c r="EL310" s="19"/>
      <c r="EM310" s="19"/>
      <c r="EN310" s="19"/>
      <c r="EO310" s="19"/>
      <c r="EP310" s="19"/>
      <c r="EQ310" s="19"/>
      <c r="ER310" s="19"/>
      <c r="ES310" s="19"/>
      <c r="ET310" s="19"/>
      <c r="EU310" s="19"/>
      <c r="EV310" s="19"/>
      <c r="EW310" s="19"/>
      <c r="EX310" s="19"/>
      <c r="EY310" s="19"/>
      <c r="EZ310" s="19"/>
      <c r="FA310" s="19"/>
      <c r="FB310" s="19"/>
      <c r="FC310" s="19"/>
      <c r="FD310" s="19"/>
      <c r="FE310" s="19"/>
      <c r="FF310" s="19"/>
      <c r="FG310" s="19"/>
      <c r="FH310" s="19"/>
      <c r="FI310" s="19"/>
    </row>
    <row r="311" spans="1:165" x14ac:dyDescent="0.25">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c r="BE311" s="19"/>
      <c r="BF311" s="19"/>
      <c r="BG311" s="19"/>
      <c r="BH311" s="19"/>
      <c r="BI311" s="19"/>
      <c r="BJ311" s="19"/>
      <c r="BK311" s="19"/>
      <c r="BL311" s="19"/>
      <c r="BM311" s="19"/>
      <c r="BN311" s="19"/>
      <c r="BO311" s="19"/>
      <c r="BP311" s="19"/>
      <c r="BQ311" s="19"/>
      <c r="BR311" s="19"/>
      <c r="BS311" s="19"/>
      <c r="BT311" s="19"/>
      <c r="BU311" s="19"/>
      <c r="BV311" s="19"/>
      <c r="BW311" s="19"/>
      <c r="BX311" s="19"/>
      <c r="BY311" s="19"/>
      <c r="BZ311" s="19"/>
      <c r="CA311" s="19"/>
      <c r="CB311" s="19"/>
      <c r="CC311" s="19"/>
      <c r="CD311" s="19"/>
      <c r="CE311" s="19"/>
      <c r="CF311" s="19"/>
      <c r="CG311" s="19"/>
      <c r="CH311" s="19"/>
      <c r="CI311" s="19"/>
      <c r="CJ311" s="19"/>
      <c r="CK311" s="19"/>
      <c r="CL311" s="19"/>
      <c r="CM311" s="19"/>
      <c r="CN311" s="19"/>
      <c r="CO311" s="19"/>
      <c r="CP311" s="19"/>
      <c r="CQ311" s="19"/>
      <c r="CR311" s="19"/>
      <c r="CS311" s="19"/>
      <c r="CT311" s="19"/>
      <c r="CU311" s="19"/>
      <c r="CV311" s="19"/>
      <c r="CW311" s="19"/>
      <c r="CX311" s="19"/>
      <c r="CY311" s="19"/>
      <c r="CZ311" s="19"/>
      <c r="DA311" s="19"/>
      <c r="DB311" s="19"/>
      <c r="DC311" s="19"/>
      <c r="DD311" s="19"/>
      <c r="DE311" s="19"/>
      <c r="DF311" s="19"/>
      <c r="DG311" s="19"/>
      <c r="DH311" s="19"/>
      <c r="DI311" s="19"/>
      <c r="DJ311" s="19"/>
      <c r="DK311" s="19"/>
      <c r="DL311" s="19"/>
      <c r="DM311" s="19"/>
      <c r="DN311" s="19"/>
      <c r="DO311" s="19"/>
      <c r="DP311" s="19"/>
      <c r="DQ311" s="19"/>
      <c r="DR311" s="19"/>
      <c r="DS311" s="19"/>
      <c r="DT311" s="19"/>
      <c r="DU311" s="19"/>
      <c r="DV311" s="19"/>
      <c r="DW311" s="19"/>
      <c r="DX311" s="19"/>
      <c r="DY311" s="19"/>
      <c r="DZ311" s="19"/>
      <c r="EA311" s="19"/>
      <c r="EB311" s="19"/>
      <c r="EC311" s="19"/>
      <c r="ED311" s="19"/>
      <c r="EE311" s="19"/>
      <c r="EF311" s="19"/>
      <c r="EG311" s="19"/>
      <c r="EH311" s="19"/>
      <c r="EI311" s="19"/>
      <c r="EJ311" s="19"/>
      <c r="EK311" s="19"/>
      <c r="EL311" s="19"/>
      <c r="EM311" s="19"/>
      <c r="EN311" s="19"/>
      <c r="EO311" s="19"/>
      <c r="EP311" s="19"/>
      <c r="EQ311" s="19"/>
      <c r="ER311" s="19"/>
      <c r="ES311" s="19"/>
      <c r="ET311" s="19"/>
      <c r="EU311" s="19"/>
      <c r="EV311" s="19"/>
      <c r="EW311" s="19"/>
      <c r="EX311" s="19"/>
      <c r="EY311" s="19"/>
      <c r="EZ311" s="19"/>
      <c r="FA311" s="19"/>
      <c r="FB311" s="19"/>
      <c r="FC311" s="19"/>
      <c r="FD311" s="19"/>
      <c r="FE311" s="19"/>
      <c r="FF311" s="19"/>
      <c r="FG311" s="19"/>
      <c r="FH311" s="19"/>
      <c r="FI311" s="19"/>
    </row>
    <row r="312" spans="1:165" x14ac:dyDescent="0.25">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c r="BE312" s="19"/>
      <c r="BF312" s="19"/>
      <c r="BG312" s="19"/>
      <c r="BH312" s="19"/>
      <c r="BI312" s="19"/>
      <c r="BJ312" s="19"/>
      <c r="BK312" s="19"/>
      <c r="BL312" s="19"/>
      <c r="BM312" s="19"/>
      <c r="BN312" s="19"/>
      <c r="BO312" s="19"/>
      <c r="BP312" s="19"/>
      <c r="BQ312" s="19"/>
      <c r="BR312" s="19"/>
      <c r="BS312" s="19"/>
      <c r="BT312" s="19"/>
      <c r="BU312" s="19"/>
      <c r="BV312" s="19"/>
      <c r="BW312" s="19"/>
      <c r="BX312" s="19"/>
      <c r="BY312" s="19"/>
      <c r="BZ312" s="19"/>
      <c r="CA312" s="19"/>
      <c r="CB312" s="19"/>
      <c r="CC312" s="19"/>
      <c r="CD312" s="19"/>
      <c r="CE312" s="19"/>
      <c r="CF312" s="19"/>
      <c r="CG312" s="19"/>
      <c r="CH312" s="19"/>
      <c r="CI312" s="19"/>
      <c r="CJ312" s="19"/>
      <c r="CK312" s="19"/>
      <c r="CL312" s="19"/>
      <c r="CM312" s="19"/>
      <c r="CN312" s="19"/>
      <c r="CO312" s="19"/>
      <c r="CP312" s="19"/>
      <c r="CQ312" s="19"/>
      <c r="CR312" s="19"/>
      <c r="CS312" s="19"/>
      <c r="CT312" s="19"/>
      <c r="CU312" s="19"/>
      <c r="CV312" s="19"/>
      <c r="CW312" s="19"/>
      <c r="CX312" s="19"/>
      <c r="CY312" s="19"/>
      <c r="CZ312" s="19"/>
      <c r="DA312" s="19"/>
      <c r="DB312" s="19"/>
      <c r="DC312" s="19"/>
      <c r="DD312" s="19"/>
      <c r="DE312" s="19"/>
      <c r="DF312" s="19"/>
      <c r="DG312" s="19"/>
      <c r="DH312" s="19"/>
      <c r="DI312" s="19"/>
      <c r="DJ312" s="19"/>
      <c r="DK312" s="19"/>
      <c r="DL312" s="19"/>
      <c r="DM312" s="19"/>
      <c r="DN312" s="19"/>
      <c r="DO312" s="19"/>
      <c r="DP312" s="19"/>
      <c r="DQ312" s="19"/>
      <c r="DR312" s="19"/>
      <c r="DS312" s="19"/>
      <c r="DT312" s="19"/>
      <c r="DU312" s="19"/>
      <c r="DV312" s="19"/>
      <c r="DW312" s="19"/>
      <c r="DX312" s="19"/>
      <c r="DY312" s="19"/>
      <c r="DZ312" s="19"/>
      <c r="EA312" s="19"/>
      <c r="EB312" s="19"/>
      <c r="EC312" s="19"/>
      <c r="ED312" s="19"/>
      <c r="EE312" s="19"/>
      <c r="EF312" s="19"/>
      <c r="EG312" s="19"/>
      <c r="EH312" s="19"/>
      <c r="EI312" s="19"/>
      <c r="EJ312" s="19"/>
      <c r="EK312" s="19"/>
      <c r="EL312" s="19"/>
      <c r="EM312" s="19"/>
      <c r="EN312" s="19"/>
      <c r="EO312" s="19"/>
      <c r="EP312" s="19"/>
      <c r="EQ312" s="19"/>
      <c r="ER312" s="19"/>
      <c r="ES312" s="19"/>
      <c r="ET312" s="19"/>
      <c r="EU312" s="19"/>
      <c r="EV312" s="19"/>
      <c r="EW312" s="19"/>
      <c r="EX312" s="19"/>
      <c r="EY312" s="19"/>
      <c r="EZ312" s="19"/>
      <c r="FA312" s="19"/>
      <c r="FB312" s="19"/>
      <c r="FC312" s="19"/>
      <c r="FD312" s="19"/>
      <c r="FE312" s="19"/>
      <c r="FF312" s="19"/>
      <c r="FG312" s="19"/>
      <c r="FH312" s="19"/>
      <c r="FI312" s="19"/>
    </row>
    <row r="313" spans="1:165" x14ac:dyDescent="0.25">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c r="BE313" s="19"/>
      <c r="BF313" s="19"/>
      <c r="BG313" s="19"/>
      <c r="BH313" s="19"/>
      <c r="BI313" s="19"/>
      <c r="BJ313" s="19"/>
      <c r="BK313" s="19"/>
      <c r="BL313" s="19"/>
      <c r="BM313" s="19"/>
      <c r="BN313" s="19"/>
      <c r="BO313" s="19"/>
      <c r="BP313" s="19"/>
      <c r="BQ313" s="19"/>
      <c r="BR313" s="19"/>
      <c r="BS313" s="19"/>
      <c r="BT313" s="19"/>
      <c r="BU313" s="19"/>
      <c r="BV313" s="19"/>
      <c r="BW313" s="19"/>
      <c r="BX313" s="19"/>
      <c r="BY313" s="19"/>
      <c r="BZ313" s="19"/>
      <c r="CA313" s="19"/>
      <c r="CB313" s="19"/>
      <c r="CC313" s="19"/>
      <c r="CD313" s="19"/>
      <c r="CE313" s="19"/>
      <c r="CF313" s="19"/>
      <c r="CG313" s="19"/>
      <c r="CH313" s="19"/>
      <c r="CI313" s="19"/>
      <c r="CJ313" s="19"/>
      <c r="CK313" s="19"/>
      <c r="CL313" s="19"/>
      <c r="CM313" s="19"/>
      <c r="CN313" s="19"/>
      <c r="CO313" s="19"/>
      <c r="CP313" s="19"/>
      <c r="CQ313" s="19"/>
      <c r="CR313" s="19"/>
      <c r="CS313" s="19"/>
      <c r="CT313" s="19"/>
      <c r="CU313" s="19"/>
      <c r="CV313" s="19"/>
      <c r="CW313" s="19"/>
      <c r="CX313" s="19"/>
      <c r="CY313" s="19"/>
      <c r="CZ313" s="19"/>
      <c r="DA313" s="19"/>
      <c r="DB313" s="19"/>
      <c r="DC313" s="19"/>
      <c r="DD313" s="19"/>
      <c r="DE313" s="19"/>
      <c r="DF313" s="19"/>
      <c r="DG313" s="19"/>
      <c r="DH313" s="19"/>
      <c r="DI313" s="19"/>
      <c r="DJ313" s="19"/>
      <c r="DK313" s="19"/>
      <c r="DL313" s="19"/>
      <c r="DM313" s="19"/>
      <c r="DN313" s="19"/>
      <c r="DO313" s="19"/>
      <c r="DP313" s="19"/>
      <c r="DQ313" s="19"/>
      <c r="DR313" s="19"/>
      <c r="DS313" s="19"/>
      <c r="DT313" s="19"/>
      <c r="DU313" s="19"/>
      <c r="DV313" s="19"/>
      <c r="DW313" s="19"/>
      <c r="DX313" s="19"/>
      <c r="DY313" s="19"/>
      <c r="DZ313" s="19"/>
      <c r="EA313" s="19"/>
      <c r="EB313" s="19"/>
      <c r="EC313" s="19"/>
      <c r="ED313" s="19"/>
      <c r="EE313" s="19"/>
      <c r="EF313" s="19"/>
      <c r="EG313" s="19"/>
      <c r="EH313" s="19"/>
      <c r="EI313" s="19"/>
      <c r="EJ313" s="19"/>
      <c r="EK313" s="19"/>
      <c r="EL313" s="19"/>
      <c r="EM313" s="19"/>
      <c r="EN313" s="19"/>
      <c r="EO313" s="19"/>
      <c r="EP313" s="19"/>
      <c r="EQ313" s="19"/>
      <c r="ER313" s="19"/>
      <c r="ES313" s="19"/>
      <c r="ET313" s="19"/>
      <c r="EU313" s="19"/>
      <c r="EV313" s="19"/>
      <c r="EW313" s="19"/>
      <c r="EX313" s="19"/>
      <c r="EY313" s="19"/>
      <c r="EZ313" s="19"/>
      <c r="FA313" s="19"/>
      <c r="FB313" s="19"/>
      <c r="FC313" s="19"/>
      <c r="FD313" s="19"/>
      <c r="FE313" s="19"/>
      <c r="FF313" s="19"/>
      <c r="FG313" s="19"/>
      <c r="FH313" s="19"/>
      <c r="FI313" s="19"/>
    </row>
    <row r="314" spans="1:165" x14ac:dyDescent="0.25">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c r="BE314" s="19"/>
      <c r="BF314" s="19"/>
      <c r="BG314" s="19"/>
      <c r="BH314" s="19"/>
      <c r="BI314" s="19"/>
      <c r="BJ314" s="19"/>
      <c r="BK314" s="19"/>
      <c r="BL314" s="19"/>
      <c r="BM314" s="19"/>
      <c r="BN314" s="19"/>
      <c r="BO314" s="19"/>
      <c r="BP314" s="19"/>
      <c r="BQ314" s="19"/>
      <c r="BR314" s="19"/>
      <c r="BS314" s="19"/>
      <c r="BT314" s="19"/>
      <c r="BU314" s="19"/>
      <c r="BV314" s="19"/>
      <c r="BW314" s="19"/>
      <c r="BX314" s="19"/>
      <c r="BY314" s="19"/>
      <c r="BZ314" s="19"/>
      <c r="CA314" s="19"/>
      <c r="CB314" s="19"/>
      <c r="CC314" s="19"/>
      <c r="CD314" s="19"/>
      <c r="CE314" s="19"/>
      <c r="CF314" s="19"/>
      <c r="CG314" s="19"/>
      <c r="CH314" s="19"/>
      <c r="CI314" s="19"/>
      <c r="CJ314" s="19"/>
      <c r="CK314" s="19"/>
      <c r="CL314" s="19"/>
      <c r="CM314" s="19"/>
      <c r="CN314" s="19"/>
      <c r="CO314" s="19"/>
      <c r="CP314" s="19"/>
      <c r="CQ314" s="19"/>
      <c r="CR314" s="19"/>
      <c r="CS314" s="19"/>
      <c r="CT314" s="19"/>
      <c r="CU314" s="19"/>
      <c r="CV314" s="19"/>
      <c r="CW314" s="19"/>
      <c r="CX314" s="19"/>
      <c r="CY314" s="19"/>
      <c r="CZ314" s="19"/>
      <c r="DA314" s="19"/>
      <c r="DB314" s="19"/>
      <c r="DC314" s="19"/>
      <c r="DD314" s="19"/>
      <c r="DE314" s="19"/>
      <c r="DF314" s="19"/>
      <c r="DG314" s="19"/>
      <c r="DH314" s="19"/>
      <c r="DI314" s="19"/>
      <c r="DJ314" s="19"/>
      <c r="DK314" s="19"/>
      <c r="DL314" s="19"/>
      <c r="DM314" s="19"/>
      <c r="DN314" s="19"/>
      <c r="DO314" s="19"/>
      <c r="DP314" s="19"/>
      <c r="DQ314" s="19"/>
      <c r="DR314" s="19"/>
      <c r="DS314" s="19"/>
      <c r="DT314" s="19"/>
      <c r="DU314" s="19"/>
      <c r="DV314" s="19"/>
      <c r="DW314" s="19"/>
      <c r="DX314" s="19"/>
      <c r="DY314" s="19"/>
      <c r="DZ314" s="19"/>
      <c r="EA314" s="19"/>
      <c r="EB314" s="19"/>
      <c r="EC314" s="19"/>
      <c r="ED314" s="19"/>
      <c r="EE314" s="19"/>
      <c r="EF314" s="19"/>
      <c r="EG314" s="19"/>
      <c r="EH314" s="19"/>
      <c r="EI314" s="19"/>
      <c r="EJ314" s="19"/>
      <c r="EK314" s="19"/>
      <c r="EL314" s="19"/>
      <c r="EM314" s="19"/>
      <c r="EN314" s="19"/>
      <c r="EO314" s="19"/>
      <c r="EP314" s="19"/>
      <c r="EQ314" s="19"/>
      <c r="ER314" s="19"/>
      <c r="ES314" s="19"/>
      <c r="ET314" s="19"/>
      <c r="EU314" s="19"/>
      <c r="EV314" s="19"/>
      <c r="EW314" s="19"/>
      <c r="EX314" s="19"/>
      <c r="EY314" s="19"/>
      <c r="EZ314" s="19"/>
      <c r="FA314" s="19"/>
      <c r="FB314" s="19"/>
      <c r="FC314" s="19"/>
      <c r="FD314" s="19"/>
      <c r="FE314" s="19"/>
      <c r="FF314" s="19"/>
      <c r="FG314" s="19"/>
      <c r="FH314" s="19"/>
      <c r="FI314" s="19"/>
    </row>
    <row r="315" spans="1:165" x14ac:dyDescent="0.25">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c r="BE315" s="19"/>
      <c r="BF315" s="19"/>
      <c r="BG315" s="19"/>
      <c r="BH315" s="19"/>
      <c r="BI315" s="19"/>
      <c r="BJ315" s="19"/>
      <c r="BK315" s="19"/>
      <c r="BL315" s="19"/>
      <c r="BM315" s="19"/>
      <c r="BN315" s="19"/>
      <c r="BO315" s="19"/>
      <c r="BP315" s="19"/>
      <c r="BQ315" s="19"/>
      <c r="BR315" s="19"/>
      <c r="BS315" s="19"/>
      <c r="BT315" s="19"/>
      <c r="BU315" s="19"/>
      <c r="BV315" s="19"/>
      <c r="BW315" s="19"/>
      <c r="BX315" s="19"/>
      <c r="BY315" s="19"/>
      <c r="BZ315" s="19"/>
      <c r="CA315" s="19"/>
      <c r="CB315" s="19"/>
      <c r="CC315" s="19"/>
      <c r="CD315" s="19"/>
      <c r="CE315" s="19"/>
      <c r="CF315" s="19"/>
      <c r="CG315" s="19"/>
      <c r="CH315" s="19"/>
      <c r="CI315" s="19"/>
      <c r="CJ315" s="19"/>
      <c r="CK315" s="19"/>
      <c r="CL315" s="19"/>
      <c r="CM315" s="19"/>
      <c r="CN315" s="19"/>
      <c r="CO315" s="19"/>
      <c r="CP315" s="19"/>
      <c r="CQ315" s="19"/>
      <c r="CR315" s="19"/>
      <c r="CS315" s="19"/>
      <c r="CT315" s="19"/>
      <c r="CU315" s="19"/>
      <c r="CV315" s="19"/>
      <c r="CW315" s="19"/>
      <c r="CX315" s="19"/>
      <c r="CY315" s="19"/>
      <c r="CZ315" s="19"/>
      <c r="DA315" s="19"/>
      <c r="DB315" s="19"/>
      <c r="DC315" s="19"/>
      <c r="DD315" s="19"/>
      <c r="DE315" s="19"/>
      <c r="DF315" s="19"/>
      <c r="DG315" s="19"/>
      <c r="DH315" s="19"/>
      <c r="DI315" s="19"/>
      <c r="DJ315" s="19"/>
      <c r="DK315" s="19"/>
      <c r="DL315" s="19"/>
      <c r="DM315" s="19"/>
      <c r="DN315" s="19"/>
      <c r="DO315" s="19"/>
      <c r="DP315" s="19"/>
      <c r="DQ315" s="19"/>
      <c r="DR315" s="19"/>
      <c r="DS315" s="19"/>
      <c r="DT315" s="19"/>
      <c r="DU315" s="19"/>
      <c r="DV315" s="19"/>
      <c r="DW315" s="19"/>
      <c r="DX315" s="19"/>
      <c r="DY315" s="19"/>
      <c r="DZ315" s="19"/>
      <c r="EA315" s="19"/>
      <c r="EB315" s="19"/>
      <c r="EC315" s="19"/>
      <c r="ED315" s="19"/>
      <c r="EE315" s="19"/>
      <c r="EF315" s="19"/>
      <c r="EG315" s="19"/>
      <c r="EH315" s="19"/>
      <c r="EI315" s="19"/>
      <c r="EJ315" s="19"/>
      <c r="EK315" s="19"/>
      <c r="EL315" s="19"/>
      <c r="EM315" s="19"/>
      <c r="EN315" s="19"/>
      <c r="EO315" s="19"/>
      <c r="EP315" s="19"/>
      <c r="EQ315" s="19"/>
      <c r="ER315" s="19"/>
      <c r="ES315" s="19"/>
      <c r="ET315" s="19"/>
      <c r="EU315" s="19"/>
      <c r="EV315" s="19"/>
      <c r="EW315" s="19"/>
      <c r="EX315" s="19"/>
      <c r="EY315" s="19"/>
      <c r="EZ315" s="19"/>
      <c r="FA315" s="19"/>
      <c r="FB315" s="19"/>
      <c r="FC315" s="19"/>
      <c r="FD315" s="19"/>
      <c r="FE315" s="19"/>
      <c r="FF315" s="19"/>
      <c r="FG315" s="19"/>
      <c r="FH315" s="19"/>
      <c r="FI315" s="19"/>
    </row>
    <row r="316" spans="1:165" x14ac:dyDescent="0.25">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c r="BE316" s="19"/>
      <c r="BF316" s="19"/>
      <c r="BG316" s="19"/>
      <c r="BH316" s="19"/>
      <c r="BI316" s="19"/>
      <c r="BJ316" s="19"/>
      <c r="BK316" s="19"/>
      <c r="BL316" s="19"/>
      <c r="BM316" s="19"/>
      <c r="BN316" s="19"/>
      <c r="BO316" s="19"/>
      <c r="BP316" s="19"/>
      <c r="BQ316" s="19"/>
      <c r="BR316" s="19"/>
      <c r="BS316" s="19"/>
      <c r="BT316" s="19"/>
      <c r="BU316" s="19"/>
      <c r="BV316" s="19"/>
      <c r="BW316" s="19"/>
      <c r="BX316" s="19"/>
      <c r="BY316" s="19"/>
      <c r="BZ316" s="19"/>
      <c r="CA316" s="19"/>
      <c r="CB316" s="19"/>
      <c r="CC316" s="19"/>
      <c r="CD316" s="19"/>
      <c r="CE316" s="19"/>
      <c r="CF316" s="19"/>
      <c r="CG316" s="19"/>
      <c r="CH316" s="19"/>
      <c r="CI316" s="19"/>
      <c r="CJ316" s="19"/>
      <c r="CK316" s="19"/>
      <c r="CL316" s="19"/>
      <c r="CM316" s="19"/>
      <c r="CN316" s="19"/>
      <c r="CO316" s="19"/>
      <c r="CP316" s="19"/>
      <c r="CQ316" s="19"/>
      <c r="CR316" s="19"/>
      <c r="CS316" s="19"/>
      <c r="CT316" s="19"/>
      <c r="CU316" s="19"/>
      <c r="CV316" s="19"/>
      <c r="CW316" s="19"/>
      <c r="CX316" s="19"/>
      <c r="CY316" s="19"/>
      <c r="CZ316" s="19"/>
      <c r="DA316" s="19"/>
      <c r="DB316" s="19"/>
      <c r="DC316" s="19"/>
      <c r="DD316" s="19"/>
      <c r="DE316" s="19"/>
      <c r="DF316" s="19"/>
      <c r="DG316" s="19"/>
      <c r="DH316" s="19"/>
      <c r="DI316" s="19"/>
      <c r="DJ316" s="19"/>
      <c r="DK316" s="19"/>
      <c r="DL316" s="19"/>
      <c r="DM316" s="19"/>
      <c r="DN316" s="19"/>
      <c r="DO316" s="19"/>
      <c r="DP316" s="19"/>
      <c r="DQ316" s="19"/>
      <c r="DR316" s="19"/>
      <c r="DS316" s="19"/>
      <c r="DT316" s="19"/>
      <c r="DU316" s="19"/>
      <c r="DV316" s="19"/>
      <c r="DW316" s="19"/>
      <c r="DX316" s="19"/>
      <c r="DY316" s="19"/>
      <c r="DZ316" s="19"/>
      <c r="EA316" s="19"/>
      <c r="EB316" s="19"/>
      <c r="EC316" s="19"/>
      <c r="ED316" s="19"/>
      <c r="EE316" s="19"/>
      <c r="EF316" s="19"/>
      <c r="EG316" s="19"/>
      <c r="EH316" s="19"/>
      <c r="EI316" s="19"/>
      <c r="EJ316" s="19"/>
      <c r="EK316" s="19"/>
      <c r="EL316" s="19"/>
      <c r="EM316" s="19"/>
      <c r="EN316" s="19"/>
      <c r="EO316" s="19"/>
      <c r="EP316" s="19"/>
      <c r="EQ316" s="19"/>
      <c r="ER316" s="19"/>
      <c r="ES316" s="19"/>
      <c r="ET316" s="19"/>
      <c r="EU316" s="19"/>
      <c r="EV316" s="19"/>
      <c r="EW316" s="19"/>
      <c r="EX316" s="19"/>
      <c r="EY316" s="19"/>
      <c r="EZ316" s="19"/>
      <c r="FA316" s="19"/>
      <c r="FB316" s="19"/>
      <c r="FC316" s="19"/>
      <c r="FD316" s="19"/>
      <c r="FE316" s="19"/>
      <c r="FF316" s="19"/>
      <c r="FG316" s="19"/>
      <c r="FH316" s="19"/>
      <c r="FI316" s="19"/>
    </row>
    <row r="317" spans="1:165" x14ac:dyDescent="0.25">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c r="BE317" s="19"/>
      <c r="BF317" s="19"/>
      <c r="BG317" s="19"/>
      <c r="BH317" s="19"/>
      <c r="BI317" s="19"/>
      <c r="BJ317" s="19"/>
      <c r="BK317" s="19"/>
      <c r="BL317" s="19"/>
      <c r="BM317" s="19"/>
      <c r="BN317" s="19"/>
      <c r="BO317" s="19"/>
      <c r="BP317" s="19"/>
      <c r="BQ317" s="19"/>
      <c r="BR317" s="19"/>
      <c r="BS317" s="19"/>
      <c r="BT317" s="19"/>
      <c r="BU317" s="19"/>
      <c r="BV317" s="19"/>
      <c r="BW317" s="19"/>
      <c r="BX317" s="19"/>
      <c r="BY317" s="19"/>
      <c r="BZ317" s="19"/>
      <c r="CA317" s="19"/>
      <c r="CB317" s="19"/>
      <c r="CC317" s="19"/>
      <c r="CD317" s="19"/>
      <c r="CE317" s="19"/>
      <c r="CF317" s="19"/>
      <c r="CG317" s="19"/>
      <c r="CH317" s="19"/>
      <c r="CI317" s="19"/>
      <c r="CJ317" s="19"/>
      <c r="CK317" s="19"/>
      <c r="CL317" s="19"/>
      <c r="CM317" s="19"/>
      <c r="CN317" s="19"/>
      <c r="CO317" s="19"/>
      <c r="CP317" s="19"/>
      <c r="CQ317" s="19"/>
      <c r="CR317" s="19"/>
      <c r="CS317" s="19"/>
      <c r="CT317" s="19"/>
      <c r="CU317" s="19"/>
      <c r="CV317" s="19"/>
      <c r="CW317" s="19"/>
      <c r="CX317" s="19"/>
      <c r="CY317" s="19"/>
      <c r="CZ317" s="19"/>
      <c r="DA317" s="19"/>
      <c r="DB317" s="19"/>
      <c r="DC317" s="19"/>
      <c r="DD317" s="19"/>
      <c r="DE317" s="19"/>
      <c r="DF317" s="19"/>
      <c r="DG317" s="19"/>
      <c r="DH317" s="19"/>
      <c r="DI317" s="19"/>
      <c r="DJ317" s="19"/>
      <c r="DK317" s="19"/>
      <c r="DL317" s="19"/>
      <c r="DM317" s="19"/>
      <c r="DN317" s="19"/>
      <c r="DO317" s="19"/>
      <c r="DP317" s="19"/>
      <c r="DQ317" s="19"/>
      <c r="DR317" s="19"/>
      <c r="DS317" s="19"/>
      <c r="DT317" s="19"/>
      <c r="DU317" s="19"/>
      <c r="DV317" s="19"/>
      <c r="DW317" s="19"/>
      <c r="DX317" s="19"/>
      <c r="DY317" s="19"/>
      <c r="DZ317" s="19"/>
      <c r="EA317" s="19"/>
      <c r="EB317" s="19"/>
      <c r="EC317" s="19"/>
      <c r="ED317" s="19"/>
      <c r="EE317" s="19"/>
      <c r="EF317" s="19"/>
      <c r="EG317" s="19"/>
      <c r="EH317" s="19"/>
      <c r="EI317" s="19"/>
      <c r="EJ317" s="19"/>
      <c r="EK317" s="19"/>
      <c r="EL317" s="19"/>
      <c r="EM317" s="19"/>
      <c r="EN317" s="19"/>
      <c r="EO317" s="19"/>
      <c r="EP317" s="19"/>
      <c r="EQ317" s="19"/>
      <c r="ER317" s="19"/>
      <c r="ES317" s="19"/>
      <c r="ET317" s="19"/>
      <c r="EU317" s="19"/>
      <c r="EV317" s="19"/>
      <c r="EW317" s="19"/>
      <c r="EX317" s="19"/>
      <c r="EY317" s="19"/>
      <c r="EZ317" s="19"/>
      <c r="FA317" s="19"/>
      <c r="FB317" s="19"/>
      <c r="FC317" s="19"/>
      <c r="FD317" s="19"/>
      <c r="FE317" s="19"/>
      <c r="FF317" s="19"/>
      <c r="FG317" s="19"/>
      <c r="FH317" s="19"/>
      <c r="FI317" s="19"/>
    </row>
    <row r="318" spans="1:165" x14ac:dyDescent="0.25">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c r="BE318" s="19"/>
      <c r="BF318" s="19"/>
      <c r="BG318" s="19"/>
      <c r="BH318" s="19"/>
      <c r="BI318" s="19"/>
      <c r="BJ318" s="19"/>
      <c r="BK318" s="19"/>
      <c r="BL318" s="19"/>
      <c r="BM318" s="19"/>
      <c r="BN318" s="19"/>
      <c r="BO318" s="19"/>
      <c r="BP318" s="19"/>
      <c r="BQ318" s="19"/>
      <c r="BR318" s="19"/>
      <c r="BS318" s="19"/>
      <c r="BT318" s="19"/>
      <c r="BU318" s="19"/>
      <c r="BV318" s="19"/>
      <c r="BW318" s="19"/>
      <c r="BX318" s="19"/>
      <c r="BY318" s="19"/>
      <c r="BZ318" s="19"/>
      <c r="CA318" s="19"/>
      <c r="CB318" s="19"/>
      <c r="CC318" s="19"/>
      <c r="CD318" s="19"/>
      <c r="CE318" s="19"/>
      <c r="CF318" s="19"/>
      <c r="CG318" s="19"/>
      <c r="CH318" s="19"/>
      <c r="CI318" s="19"/>
      <c r="CJ318" s="19"/>
      <c r="CK318" s="19"/>
      <c r="CL318" s="19"/>
      <c r="CM318" s="19"/>
      <c r="CN318" s="19"/>
      <c r="CO318" s="19"/>
      <c r="CP318" s="19"/>
      <c r="CQ318" s="19"/>
      <c r="CR318" s="19"/>
      <c r="CS318" s="19"/>
      <c r="CT318" s="19"/>
      <c r="CU318" s="19"/>
      <c r="CV318" s="19"/>
      <c r="CW318" s="19"/>
      <c r="CX318" s="19"/>
      <c r="CY318" s="19"/>
      <c r="CZ318" s="19"/>
      <c r="DA318" s="19"/>
      <c r="DB318" s="19"/>
      <c r="DC318" s="19"/>
      <c r="DD318" s="19"/>
      <c r="DE318" s="19"/>
      <c r="DF318" s="19"/>
      <c r="DG318" s="19"/>
      <c r="DH318" s="19"/>
      <c r="DI318" s="19"/>
      <c r="DJ318" s="19"/>
      <c r="DK318" s="19"/>
      <c r="DL318" s="19"/>
      <c r="DM318" s="19"/>
      <c r="DN318" s="19"/>
      <c r="DO318" s="19"/>
      <c r="DP318" s="19"/>
      <c r="DQ318" s="19"/>
      <c r="DR318" s="19"/>
      <c r="DS318" s="19"/>
      <c r="DT318" s="19"/>
      <c r="DU318" s="19"/>
      <c r="DV318" s="19"/>
      <c r="DW318" s="19"/>
      <c r="DX318" s="19"/>
      <c r="DY318" s="19"/>
      <c r="DZ318" s="19"/>
      <c r="EA318" s="19"/>
      <c r="EB318" s="19"/>
      <c r="EC318" s="19"/>
      <c r="ED318" s="19"/>
      <c r="EE318" s="19"/>
      <c r="EF318" s="19"/>
      <c r="EG318" s="19"/>
      <c r="EH318" s="19"/>
      <c r="EI318" s="19"/>
      <c r="EJ318" s="19"/>
      <c r="EK318" s="19"/>
      <c r="EL318" s="19"/>
      <c r="EM318" s="19"/>
      <c r="EN318" s="19"/>
      <c r="EO318" s="19"/>
      <c r="EP318" s="19"/>
      <c r="EQ318" s="19"/>
      <c r="ER318" s="19"/>
      <c r="ES318" s="19"/>
      <c r="ET318" s="19"/>
      <c r="EU318" s="19"/>
      <c r="EV318" s="19"/>
      <c r="EW318" s="19"/>
      <c r="EX318" s="19"/>
      <c r="EY318" s="19"/>
      <c r="EZ318" s="19"/>
      <c r="FA318" s="19"/>
      <c r="FB318" s="19"/>
      <c r="FC318" s="19"/>
      <c r="FD318" s="19"/>
      <c r="FE318" s="19"/>
      <c r="FF318" s="19"/>
      <c r="FG318" s="19"/>
      <c r="FH318" s="19"/>
      <c r="FI318" s="19"/>
    </row>
    <row r="319" spans="1:165" x14ac:dyDescent="0.25">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c r="BE319" s="19"/>
      <c r="BF319" s="19"/>
      <c r="BG319" s="19"/>
      <c r="BH319" s="19"/>
      <c r="BI319" s="19"/>
      <c r="BJ319" s="19"/>
      <c r="BK319" s="19"/>
      <c r="BL319" s="19"/>
      <c r="BM319" s="19"/>
      <c r="BN319" s="19"/>
      <c r="BO319" s="19"/>
      <c r="BP319" s="19"/>
      <c r="BQ319" s="19"/>
      <c r="BR319" s="19"/>
      <c r="BS319" s="19"/>
      <c r="BT319" s="19"/>
      <c r="BU319" s="19"/>
      <c r="BV319" s="19"/>
      <c r="BW319" s="19"/>
      <c r="BX319" s="19"/>
      <c r="BY319" s="19"/>
      <c r="BZ319" s="19"/>
      <c r="CA319" s="19"/>
      <c r="CB319" s="19"/>
      <c r="CC319" s="19"/>
      <c r="CD319" s="19"/>
      <c r="CE319" s="19"/>
      <c r="CF319" s="19"/>
      <c r="CG319" s="19"/>
      <c r="CH319" s="19"/>
      <c r="CI319" s="19"/>
      <c r="CJ319" s="19"/>
      <c r="CK319" s="19"/>
      <c r="CL319" s="19"/>
      <c r="CM319" s="19"/>
      <c r="CN319" s="19"/>
      <c r="CO319" s="19"/>
      <c r="CP319" s="19"/>
      <c r="CQ319" s="19"/>
      <c r="CR319" s="19"/>
      <c r="CS319" s="19"/>
      <c r="CT319" s="19"/>
      <c r="CU319" s="19"/>
      <c r="CV319" s="19"/>
      <c r="CW319" s="19"/>
      <c r="CX319" s="19"/>
      <c r="CY319" s="19"/>
      <c r="CZ319" s="19"/>
      <c r="DA319" s="19"/>
      <c r="DB319" s="19"/>
      <c r="DC319" s="19"/>
      <c r="DD319" s="19"/>
      <c r="DE319" s="19"/>
      <c r="DF319" s="19"/>
      <c r="DG319" s="19"/>
      <c r="DH319" s="19"/>
      <c r="DI319" s="19"/>
      <c r="DJ319" s="19"/>
      <c r="DK319" s="19"/>
      <c r="DL319" s="19"/>
      <c r="DM319" s="19"/>
      <c r="DN319" s="19"/>
      <c r="DO319" s="19"/>
      <c r="DP319" s="19"/>
      <c r="DQ319" s="19"/>
      <c r="DR319" s="19"/>
      <c r="DS319" s="19"/>
      <c r="DT319" s="19"/>
      <c r="DU319" s="19"/>
      <c r="DV319" s="19"/>
      <c r="DW319" s="19"/>
      <c r="DX319" s="19"/>
      <c r="DY319" s="19"/>
      <c r="DZ319" s="19"/>
      <c r="EA319" s="19"/>
      <c r="EB319" s="19"/>
      <c r="EC319" s="19"/>
      <c r="ED319" s="19"/>
      <c r="EE319" s="19"/>
      <c r="EF319" s="19"/>
      <c r="EG319" s="19"/>
      <c r="EH319" s="19"/>
      <c r="EI319" s="19"/>
      <c r="EJ319" s="19"/>
      <c r="EK319" s="19"/>
      <c r="EL319" s="19"/>
      <c r="EM319" s="19"/>
      <c r="EN319" s="19"/>
      <c r="EO319" s="19"/>
      <c r="EP319" s="19"/>
      <c r="EQ319" s="19"/>
      <c r="ER319" s="19"/>
      <c r="ES319" s="19"/>
      <c r="ET319" s="19"/>
      <c r="EU319" s="19"/>
      <c r="EV319" s="19"/>
      <c r="EW319" s="19"/>
      <c r="EX319" s="19"/>
      <c r="EY319" s="19"/>
      <c r="EZ319" s="19"/>
      <c r="FA319" s="19"/>
      <c r="FB319" s="19"/>
      <c r="FC319" s="19"/>
      <c r="FD319" s="19"/>
      <c r="FE319" s="19"/>
      <c r="FF319" s="19"/>
      <c r="FG319" s="19"/>
      <c r="FH319" s="19"/>
      <c r="FI319" s="19"/>
    </row>
    <row r="320" spans="1:165" x14ac:dyDescent="0.25">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c r="BE320" s="19"/>
      <c r="BF320" s="19"/>
      <c r="BG320" s="19"/>
      <c r="BH320" s="19"/>
      <c r="BI320" s="19"/>
      <c r="BJ320" s="19"/>
      <c r="BK320" s="19"/>
      <c r="BL320" s="19"/>
      <c r="BM320" s="19"/>
      <c r="BN320" s="19"/>
      <c r="BO320" s="19"/>
      <c r="BP320" s="19"/>
      <c r="BQ320" s="19"/>
      <c r="BR320" s="19"/>
      <c r="BS320" s="19"/>
      <c r="BT320" s="19"/>
      <c r="BU320" s="19"/>
      <c r="BV320" s="19"/>
      <c r="BW320" s="19"/>
      <c r="BX320" s="19"/>
      <c r="BY320" s="19"/>
      <c r="BZ320" s="19"/>
      <c r="CA320" s="19"/>
      <c r="CB320" s="19"/>
      <c r="CC320" s="19"/>
      <c r="CD320" s="19"/>
      <c r="CE320" s="19"/>
      <c r="CF320" s="19"/>
      <c r="CG320" s="19"/>
      <c r="CH320" s="19"/>
      <c r="CI320" s="19"/>
      <c r="CJ320" s="19"/>
      <c r="CK320" s="19"/>
      <c r="CL320" s="19"/>
      <c r="CM320" s="19"/>
      <c r="CN320" s="19"/>
      <c r="CO320" s="19"/>
      <c r="CP320" s="19"/>
      <c r="CQ320" s="19"/>
      <c r="CR320" s="19"/>
      <c r="CS320" s="19"/>
      <c r="CT320" s="19"/>
      <c r="CU320" s="19"/>
      <c r="CV320" s="19"/>
      <c r="CW320" s="19"/>
      <c r="CX320" s="19"/>
      <c r="CY320" s="19"/>
      <c r="CZ320" s="19"/>
      <c r="DA320" s="19"/>
      <c r="DB320" s="19"/>
      <c r="DC320" s="19"/>
      <c r="DD320" s="19"/>
      <c r="DE320" s="19"/>
      <c r="DF320" s="19"/>
      <c r="DG320" s="19"/>
      <c r="DH320" s="19"/>
      <c r="DI320" s="19"/>
      <c r="DJ320" s="19"/>
      <c r="DK320" s="19"/>
      <c r="DL320" s="19"/>
      <c r="DM320" s="19"/>
      <c r="DN320" s="19"/>
      <c r="DO320" s="19"/>
      <c r="DP320" s="19"/>
      <c r="DQ320" s="19"/>
      <c r="DR320" s="19"/>
      <c r="DS320" s="19"/>
      <c r="DT320" s="19"/>
      <c r="DU320" s="19"/>
      <c r="DV320" s="19"/>
      <c r="DW320" s="19"/>
      <c r="DX320" s="19"/>
      <c r="DY320" s="19"/>
      <c r="DZ320" s="19"/>
      <c r="EA320" s="19"/>
      <c r="EB320" s="19"/>
      <c r="EC320" s="19"/>
      <c r="ED320" s="19"/>
      <c r="EE320" s="19"/>
      <c r="EF320" s="19"/>
      <c r="EG320" s="19"/>
      <c r="EH320" s="19"/>
      <c r="EI320" s="19"/>
      <c r="EJ320" s="19"/>
      <c r="EK320" s="19"/>
      <c r="EL320" s="19"/>
      <c r="EM320" s="19"/>
      <c r="EN320" s="19"/>
      <c r="EO320" s="19"/>
      <c r="EP320" s="19"/>
      <c r="EQ320" s="19"/>
      <c r="ER320" s="19"/>
      <c r="ES320" s="19"/>
      <c r="ET320" s="19"/>
      <c r="EU320" s="19"/>
      <c r="EV320" s="19"/>
      <c r="EW320" s="19"/>
      <c r="EX320" s="19"/>
      <c r="EY320" s="19"/>
      <c r="EZ320" s="19"/>
      <c r="FA320" s="19"/>
      <c r="FB320" s="19"/>
      <c r="FC320" s="19"/>
      <c r="FD320" s="19"/>
      <c r="FE320" s="19"/>
      <c r="FF320" s="19"/>
      <c r="FG320" s="19"/>
      <c r="FH320" s="19"/>
      <c r="FI320" s="19"/>
    </row>
    <row r="321" spans="1:165" x14ac:dyDescent="0.25">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c r="BE321" s="19"/>
      <c r="BF321" s="19"/>
      <c r="BG321" s="19"/>
      <c r="BH321" s="19"/>
      <c r="BI321" s="19"/>
      <c r="BJ321" s="19"/>
      <c r="BK321" s="19"/>
      <c r="BL321" s="19"/>
      <c r="BM321" s="19"/>
      <c r="BN321" s="19"/>
      <c r="BO321" s="19"/>
      <c r="BP321" s="19"/>
      <c r="BQ321" s="19"/>
      <c r="BR321" s="19"/>
      <c r="BS321" s="19"/>
      <c r="BT321" s="19"/>
      <c r="BU321" s="19"/>
      <c r="BV321" s="19"/>
      <c r="BW321" s="19"/>
      <c r="BX321" s="19"/>
      <c r="BY321" s="19"/>
      <c r="BZ321" s="19"/>
      <c r="CA321" s="19"/>
      <c r="CB321" s="19"/>
      <c r="CC321" s="19"/>
      <c r="CD321" s="19"/>
      <c r="CE321" s="19"/>
      <c r="CF321" s="19"/>
      <c r="CG321" s="19"/>
      <c r="CH321" s="19"/>
      <c r="CI321" s="19"/>
      <c r="CJ321" s="19"/>
      <c r="CK321" s="19"/>
      <c r="CL321" s="19"/>
      <c r="CM321" s="19"/>
      <c r="CN321" s="19"/>
      <c r="CO321" s="19"/>
      <c r="CP321" s="19"/>
      <c r="CQ321" s="19"/>
      <c r="CR321" s="19"/>
      <c r="CS321" s="19"/>
      <c r="CT321" s="19"/>
      <c r="CU321" s="19"/>
      <c r="CV321" s="19"/>
      <c r="CW321" s="19"/>
      <c r="CX321" s="19"/>
      <c r="CY321" s="19"/>
      <c r="CZ321" s="19"/>
      <c r="DA321" s="19"/>
      <c r="DB321" s="19"/>
      <c r="DC321" s="19"/>
      <c r="DD321" s="19"/>
      <c r="DE321" s="19"/>
      <c r="DF321" s="19"/>
      <c r="DG321" s="19"/>
      <c r="DH321" s="19"/>
      <c r="DI321" s="19"/>
      <c r="DJ321" s="19"/>
      <c r="DK321" s="19"/>
      <c r="DL321" s="19"/>
      <c r="DM321" s="19"/>
      <c r="DN321" s="19"/>
      <c r="DO321" s="19"/>
      <c r="DP321" s="19"/>
      <c r="DQ321" s="19"/>
      <c r="DR321" s="19"/>
      <c r="DS321" s="19"/>
      <c r="DT321" s="19"/>
      <c r="DU321" s="19"/>
      <c r="DV321" s="19"/>
      <c r="DW321" s="19"/>
      <c r="DX321" s="19"/>
      <c r="DY321" s="19"/>
      <c r="DZ321" s="19"/>
      <c r="EA321" s="19"/>
      <c r="EB321" s="19"/>
      <c r="EC321" s="19"/>
      <c r="ED321" s="19"/>
      <c r="EE321" s="19"/>
      <c r="EF321" s="19"/>
      <c r="EG321" s="19"/>
      <c r="EH321" s="19"/>
      <c r="EI321" s="19"/>
      <c r="EJ321" s="19"/>
      <c r="EK321" s="19"/>
      <c r="EL321" s="19"/>
      <c r="EM321" s="19"/>
      <c r="EN321" s="19"/>
      <c r="EO321" s="19"/>
      <c r="EP321" s="19"/>
      <c r="EQ321" s="19"/>
      <c r="ER321" s="19"/>
      <c r="ES321" s="19"/>
      <c r="ET321" s="19"/>
      <c r="EU321" s="19"/>
      <c r="EV321" s="19"/>
      <c r="EW321" s="19"/>
      <c r="EX321" s="19"/>
      <c r="EY321" s="19"/>
      <c r="EZ321" s="19"/>
      <c r="FA321" s="19"/>
      <c r="FB321" s="19"/>
      <c r="FC321" s="19"/>
      <c r="FD321" s="19"/>
      <c r="FE321" s="19"/>
      <c r="FF321" s="19"/>
      <c r="FG321" s="19"/>
      <c r="FH321" s="19"/>
      <c r="FI321" s="19"/>
    </row>
    <row r="322" spans="1:165" x14ac:dyDescent="0.25">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c r="BE322" s="19"/>
      <c r="BF322" s="19"/>
      <c r="BG322" s="19"/>
      <c r="BH322" s="19"/>
      <c r="BI322" s="19"/>
      <c r="BJ322" s="19"/>
      <c r="BK322" s="19"/>
      <c r="BL322" s="19"/>
      <c r="BM322" s="19"/>
      <c r="BN322" s="19"/>
      <c r="BO322" s="19"/>
      <c r="BP322" s="19"/>
      <c r="BQ322" s="19"/>
      <c r="BR322" s="19"/>
      <c r="BS322" s="19"/>
      <c r="BT322" s="19"/>
      <c r="BU322" s="19"/>
      <c r="BV322" s="19"/>
      <c r="BW322" s="19"/>
      <c r="BX322" s="19"/>
      <c r="BY322" s="19"/>
      <c r="BZ322" s="19"/>
      <c r="CA322" s="19"/>
      <c r="CB322" s="19"/>
      <c r="CC322" s="19"/>
      <c r="CD322" s="19"/>
      <c r="CE322" s="19"/>
      <c r="CF322" s="19"/>
      <c r="CG322" s="19"/>
      <c r="CH322" s="19"/>
      <c r="CI322" s="19"/>
      <c r="CJ322" s="19"/>
      <c r="CK322" s="19"/>
      <c r="CL322" s="19"/>
      <c r="CM322" s="19"/>
      <c r="CN322" s="19"/>
      <c r="CO322" s="19"/>
      <c r="CP322" s="19"/>
      <c r="CQ322" s="19"/>
      <c r="CR322" s="19"/>
      <c r="CS322" s="19"/>
      <c r="CT322" s="19"/>
      <c r="CU322" s="19"/>
      <c r="CV322" s="19"/>
      <c r="CW322" s="19"/>
      <c r="CX322" s="19"/>
      <c r="CY322" s="19"/>
      <c r="CZ322" s="19"/>
      <c r="DA322" s="19"/>
      <c r="DB322" s="19"/>
      <c r="DC322" s="19"/>
      <c r="DD322" s="19"/>
      <c r="DE322" s="19"/>
      <c r="DF322" s="19"/>
      <c r="DG322" s="19"/>
      <c r="DH322" s="19"/>
      <c r="DI322" s="19"/>
      <c r="DJ322" s="19"/>
      <c r="DK322" s="19"/>
      <c r="DL322" s="19"/>
      <c r="DM322" s="19"/>
      <c r="DN322" s="19"/>
      <c r="DO322" s="19"/>
      <c r="DP322" s="19"/>
      <c r="DQ322" s="19"/>
      <c r="DR322" s="19"/>
      <c r="DS322" s="19"/>
      <c r="DT322" s="19"/>
      <c r="DU322" s="19"/>
      <c r="DV322" s="19"/>
      <c r="DW322" s="19"/>
      <c r="DX322" s="19"/>
      <c r="DY322" s="19"/>
      <c r="DZ322" s="19"/>
      <c r="EA322" s="19"/>
      <c r="EB322" s="19"/>
      <c r="EC322" s="19"/>
      <c r="ED322" s="19"/>
      <c r="EE322" s="19"/>
      <c r="EF322" s="19"/>
      <c r="EG322" s="19"/>
      <c r="EH322" s="19"/>
      <c r="EI322" s="19"/>
      <c r="EJ322" s="19"/>
      <c r="EK322" s="19"/>
      <c r="EL322" s="19"/>
      <c r="EM322" s="19"/>
      <c r="EN322" s="19"/>
      <c r="EO322" s="19"/>
      <c r="EP322" s="19"/>
      <c r="EQ322" s="19"/>
      <c r="ER322" s="19"/>
      <c r="ES322" s="19"/>
      <c r="ET322" s="19"/>
      <c r="EU322" s="19"/>
      <c r="EV322" s="19"/>
      <c r="EW322" s="19"/>
      <c r="EX322" s="19"/>
      <c r="EY322" s="19"/>
      <c r="EZ322" s="19"/>
      <c r="FA322" s="19"/>
      <c r="FB322" s="19"/>
      <c r="FC322" s="19"/>
      <c r="FD322" s="19"/>
      <c r="FE322" s="19"/>
      <c r="FF322" s="19"/>
      <c r="FG322" s="19"/>
      <c r="FH322" s="19"/>
      <c r="FI322" s="19"/>
    </row>
    <row r="323" spans="1:165" x14ac:dyDescent="0.25">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c r="BE323" s="19"/>
      <c r="BF323" s="19"/>
      <c r="BG323" s="19"/>
      <c r="BH323" s="19"/>
      <c r="BI323" s="19"/>
      <c r="BJ323" s="19"/>
      <c r="BK323" s="19"/>
      <c r="BL323" s="19"/>
      <c r="BM323" s="19"/>
      <c r="BN323" s="19"/>
      <c r="BO323" s="19"/>
      <c r="BP323" s="19"/>
      <c r="BQ323" s="19"/>
      <c r="BR323" s="19"/>
      <c r="BS323" s="19"/>
      <c r="BT323" s="19"/>
      <c r="BU323" s="19"/>
      <c r="BV323" s="19"/>
      <c r="BW323" s="19"/>
      <c r="BX323" s="19"/>
      <c r="BY323" s="19"/>
      <c r="BZ323" s="19"/>
      <c r="CA323" s="19"/>
      <c r="CB323" s="19"/>
      <c r="CC323" s="19"/>
      <c r="CD323" s="19"/>
      <c r="CE323" s="19"/>
      <c r="CF323" s="19"/>
      <c r="CG323" s="19"/>
      <c r="CH323" s="19"/>
      <c r="CI323" s="19"/>
      <c r="CJ323" s="19"/>
      <c r="CK323" s="19"/>
      <c r="CL323" s="19"/>
      <c r="CM323" s="19"/>
      <c r="CN323" s="19"/>
      <c r="CO323" s="19"/>
      <c r="CP323" s="19"/>
      <c r="CQ323" s="19"/>
      <c r="CR323" s="19"/>
      <c r="CS323" s="19"/>
      <c r="CT323" s="19"/>
      <c r="CU323" s="19"/>
      <c r="CV323" s="19"/>
      <c r="CW323" s="19"/>
      <c r="CX323" s="19"/>
      <c r="CY323" s="19"/>
      <c r="CZ323" s="19"/>
      <c r="DA323" s="19"/>
      <c r="DB323" s="19"/>
      <c r="DC323" s="19"/>
      <c r="DD323" s="19"/>
      <c r="DE323" s="19"/>
      <c r="DF323" s="19"/>
      <c r="DG323" s="19"/>
      <c r="DH323" s="19"/>
      <c r="DI323" s="19"/>
      <c r="DJ323" s="19"/>
      <c r="DK323" s="19"/>
      <c r="DL323" s="19"/>
      <c r="DM323" s="19"/>
      <c r="DN323" s="19"/>
      <c r="DO323" s="19"/>
      <c r="DP323" s="19"/>
      <c r="DQ323" s="19"/>
      <c r="DR323" s="19"/>
      <c r="DS323" s="19"/>
      <c r="DT323" s="19"/>
      <c r="DU323" s="19"/>
      <c r="DV323" s="19"/>
      <c r="DW323" s="19"/>
      <c r="DX323" s="19"/>
      <c r="DY323" s="19"/>
      <c r="DZ323" s="19"/>
      <c r="EA323" s="19"/>
      <c r="EB323" s="19"/>
      <c r="EC323" s="19"/>
      <c r="ED323" s="19"/>
      <c r="EE323" s="19"/>
      <c r="EF323" s="19"/>
      <c r="EG323" s="19"/>
      <c r="EH323" s="19"/>
      <c r="EI323" s="19"/>
      <c r="EJ323" s="19"/>
      <c r="EK323" s="19"/>
      <c r="EL323" s="19"/>
      <c r="EM323" s="19"/>
      <c r="EN323" s="19"/>
      <c r="EO323" s="19"/>
      <c r="EP323" s="19"/>
      <c r="EQ323" s="19"/>
      <c r="ER323" s="19"/>
      <c r="ES323" s="19"/>
      <c r="ET323" s="19"/>
      <c r="EU323" s="19"/>
      <c r="EV323" s="19"/>
      <c r="EW323" s="19"/>
      <c r="EX323" s="19"/>
      <c r="EY323" s="19"/>
      <c r="EZ323" s="19"/>
      <c r="FA323" s="19"/>
      <c r="FB323" s="19"/>
      <c r="FC323" s="19"/>
      <c r="FD323" s="19"/>
      <c r="FE323" s="19"/>
      <c r="FF323" s="19"/>
      <c r="FG323" s="19"/>
      <c r="FH323" s="19"/>
      <c r="FI323" s="19"/>
    </row>
    <row r="324" spans="1:165" x14ac:dyDescent="0.25">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c r="BE324" s="19"/>
      <c r="BF324" s="19"/>
      <c r="BG324" s="19"/>
      <c r="BH324" s="19"/>
      <c r="BI324" s="19"/>
      <c r="BJ324" s="19"/>
      <c r="BK324" s="19"/>
      <c r="BL324" s="19"/>
      <c r="BM324" s="19"/>
      <c r="BN324" s="19"/>
      <c r="BO324" s="19"/>
      <c r="BP324" s="19"/>
      <c r="BQ324" s="19"/>
      <c r="BR324" s="19"/>
      <c r="BS324" s="19"/>
      <c r="BT324" s="19"/>
      <c r="BU324" s="19"/>
      <c r="BV324" s="19"/>
      <c r="BW324" s="19"/>
      <c r="BX324" s="19"/>
      <c r="BY324" s="19"/>
      <c r="BZ324" s="19"/>
      <c r="CA324" s="19"/>
      <c r="CB324" s="19"/>
      <c r="CC324" s="19"/>
      <c r="CD324" s="19"/>
      <c r="CE324" s="19"/>
      <c r="CF324" s="19"/>
      <c r="CG324" s="19"/>
      <c r="CH324" s="19"/>
      <c r="CI324" s="19"/>
      <c r="CJ324" s="19"/>
      <c r="CK324" s="19"/>
      <c r="CL324" s="19"/>
      <c r="CM324" s="19"/>
      <c r="CN324" s="19"/>
      <c r="CO324" s="19"/>
      <c r="CP324" s="19"/>
      <c r="CQ324" s="19"/>
      <c r="CR324" s="19"/>
      <c r="CS324" s="19"/>
      <c r="CT324" s="19"/>
      <c r="CU324" s="19"/>
      <c r="CV324" s="19"/>
      <c r="CW324" s="19"/>
      <c r="CX324" s="19"/>
      <c r="CY324" s="19"/>
      <c r="CZ324" s="19"/>
      <c r="DA324" s="19"/>
      <c r="DB324" s="19"/>
      <c r="DC324" s="19"/>
      <c r="DD324" s="19"/>
      <c r="DE324" s="19"/>
      <c r="DF324" s="19"/>
      <c r="DG324" s="19"/>
      <c r="DH324" s="19"/>
      <c r="DI324" s="19"/>
      <c r="DJ324" s="19"/>
      <c r="DK324" s="19"/>
      <c r="DL324" s="19"/>
      <c r="DM324" s="19"/>
      <c r="DN324" s="19"/>
      <c r="DO324" s="19"/>
      <c r="DP324" s="19"/>
      <c r="DQ324" s="19"/>
      <c r="DR324" s="19"/>
      <c r="DS324" s="19"/>
      <c r="DT324" s="19"/>
      <c r="DU324" s="19"/>
      <c r="DV324" s="19"/>
      <c r="DW324" s="19"/>
      <c r="DX324" s="19"/>
      <c r="DY324" s="19"/>
      <c r="DZ324" s="19"/>
      <c r="EA324" s="19"/>
      <c r="EB324" s="19"/>
      <c r="EC324" s="19"/>
      <c r="ED324" s="19"/>
      <c r="EE324" s="19"/>
      <c r="EF324" s="19"/>
      <c r="EG324" s="19"/>
      <c r="EH324" s="19"/>
      <c r="EI324" s="19"/>
      <c r="EJ324" s="19"/>
      <c r="EK324" s="19"/>
      <c r="EL324" s="19"/>
      <c r="EM324" s="19"/>
      <c r="EN324" s="19"/>
      <c r="EO324" s="19"/>
      <c r="EP324" s="19"/>
      <c r="EQ324" s="19"/>
      <c r="ER324" s="19"/>
      <c r="ES324" s="19"/>
      <c r="ET324" s="19"/>
      <c r="EU324" s="19"/>
      <c r="EV324" s="19"/>
      <c r="EW324" s="19"/>
      <c r="EX324" s="19"/>
      <c r="EY324" s="19"/>
      <c r="EZ324" s="19"/>
      <c r="FA324" s="19"/>
      <c r="FB324" s="19"/>
      <c r="FC324" s="19"/>
      <c r="FD324" s="19"/>
      <c r="FE324" s="19"/>
      <c r="FF324" s="19"/>
      <c r="FG324" s="19"/>
      <c r="FH324" s="19"/>
      <c r="FI324" s="19"/>
    </row>
    <row r="325" spans="1:165" x14ac:dyDescent="0.25">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c r="BE325" s="19"/>
      <c r="BF325" s="19"/>
      <c r="BG325" s="19"/>
      <c r="BH325" s="19"/>
      <c r="BI325" s="19"/>
      <c r="BJ325" s="19"/>
      <c r="BK325" s="19"/>
      <c r="BL325" s="19"/>
      <c r="BM325" s="19"/>
      <c r="BN325" s="19"/>
      <c r="BO325" s="19"/>
      <c r="BP325" s="19"/>
      <c r="BQ325" s="19"/>
      <c r="BR325" s="19"/>
      <c r="BS325" s="19"/>
      <c r="BT325" s="19"/>
      <c r="BU325" s="19"/>
      <c r="BV325" s="19"/>
      <c r="BW325" s="19"/>
      <c r="BX325" s="19"/>
      <c r="BY325" s="19"/>
      <c r="BZ325" s="19"/>
      <c r="CA325" s="19"/>
      <c r="CB325" s="19"/>
      <c r="CC325" s="19"/>
      <c r="CD325" s="19"/>
      <c r="CE325" s="19"/>
      <c r="CF325" s="19"/>
      <c r="CG325" s="19"/>
      <c r="CH325" s="19"/>
      <c r="CI325" s="19"/>
      <c r="CJ325" s="19"/>
      <c r="CK325" s="19"/>
      <c r="CL325" s="19"/>
      <c r="CM325" s="19"/>
      <c r="CN325" s="19"/>
      <c r="CO325" s="19"/>
      <c r="CP325" s="19"/>
      <c r="CQ325" s="19"/>
      <c r="CR325" s="19"/>
      <c r="CS325" s="19"/>
      <c r="CT325" s="19"/>
      <c r="CU325" s="19"/>
      <c r="CV325" s="19"/>
      <c r="CW325" s="19"/>
      <c r="CX325" s="19"/>
      <c r="CY325" s="19"/>
      <c r="CZ325" s="19"/>
      <c r="DA325" s="19"/>
      <c r="DB325" s="19"/>
      <c r="DC325" s="19"/>
      <c r="DD325" s="19"/>
      <c r="DE325" s="19"/>
      <c r="DF325" s="19"/>
      <c r="DG325" s="19"/>
      <c r="DH325" s="19"/>
      <c r="DI325" s="19"/>
      <c r="DJ325" s="19"/>
      <c r="DK325" s="19"/>
      <c r="DL325" s="19"/>
      <c r="DM325" s="19"/>
      <c r="DN325" s="19"/>
      <c r="DO325" s="19"/>
      <c r="DP325" s="19"/>
      <c r="DQ325" s="19"/>
      <c r="DR325" s="19"/>
      <c r="DS325" s="19"/>
      <c r="DT325" s="19"/>
      <c r="DU325" s="19"/>
      <c r="DV325" s="19"/>
      <c r="DW325" s="19"/>
      <c r="DX325" s="19"/>
      <c r="DY325" s="19"/>
      <c r="DZ325" s="19"/>
      <c r="EA325" s="19"/>
      <c r="EB325" s="19"/>
      <c r="EC325" s="19"/>
      <c r="ED325" s="19"/>
      <c r="EE325" s="19"/>
      <c r="EF325" s="19"/>
      <c r="EG325" s="19"/>
      <c r="EH325" s="19"/>
      <c r="EI325" s="19"/>
      <c r="EJ325" s="19"/>
      <c r="EK325" s="19"/>
      <c r="EL325" s="19"/>
      <c r="EM325" s="19"/>
      <c r="EN325" s="19"/>
      <c r="EO325" s="19"/>
      <c r="EP325" s="19"/>
      <c r="EQ325" s="19"/>
      <c r="ER325" s="19"/>
      <c r="ES325" s="19"/>
      <c r="ET325" s="19"/>
      <c r="EU325" s="19"/>
      <c r="EV325" s="19"/>
      <c r="EW325" s="19"/>
      <c r="EX325" s="19"/>
      <c r="EY325" s="19"/>
      <c r="EZ325" s="19"/>
      <c r="FA325" s="19"/>
      <c r="FB325" s="19"/>
      <c r="FC325" s="19"/>
      <c r="FD325" s="19"/>
      <c r="FE325" s="19"/>
      <c r="FF325" s="19"/>
      <c r="FG325" s="19"/>
      <c r="FH325" s="19"/>
      <c r="FI325" s="19"/>
    </row>
    <row r="326" spans="1:165" x14ac:dyDescent="0.25">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c r="BE326" s="19"/>
      <c r="BF326" s="19"/>
      <c r="BG326" s="19"/>
      <c r="BH326" s="19"/>
      <c r="BI326" s="19"/>
      <c r="BJ326" s="19"/>
      <c r="BK326" s="19"/>
      <c r="BL326" s="19"/>
      <c r="BM326" s="19"/>
      <c r="BN326" s="19"/>
      <c r="BO326" s="19"/>
      <c r="BP326" s="19"/>
      <c r="BQ326" s="19"/>
      <c r="BR326" s="19"/>
      <c r="BS326" s="19"/>
      <c r="BT326" s="19"/>
      <c r="BU326" s="19"/>
      <c r="BV326" s="19"/>
      <c r="BW326" s="19"/>
      <c r="BX326" s="19"/>
      <c r="BY326" s="19"/>
      <c r="BZ326" s="19"/>
      <c r="CA326" s="19"/>
      <c r="CB326" s="19"/>
      <c r="CC326" s="19"/>
      <c r="CD326" s="19"/>
      <c r="CE326" s="19"/>
      <c r="CF326" s="19"/>
      <c r="CG326" s="19"/>
      <c r="CH326" s="19"/>
      <c r="CI326" s="19"/>
      <c r="CJ326" s="19"/>
      <c r="CK326" s="19"/>
      <c r="CL326" s="19"/>
      <c r="CM326" s="19"/>
      <c r="CN326" s="19"/>
      <c r="CO326" s="19"/>
      <c r="CP326" s="19"/>
      <c r="CQ326" s="19"/>
      <c r="CR326" s="19"/>
      <c r="CS326" s="19"/>
      <c r="CT326" s="19"/>
      <c r="CU326" s="19"/>
      <c r="CV326" s="19"/>
      <c r="CW326" s="19"/>
      <c r="CX326" s="19"/>
      <c r="CY326" s="19"/>
      <c r="CZ326" s="19"/>
      <c r="DA326" s="19"/>
      <c r="DB326" s="19"/>
      <c r="DC326" s="19"/>
      <c r="DD326" s="19"/>
      <c r="DE326" s="19"/>
      <c r="DF326" s="19"/>
      <c r="DG326" s="19"/>
      <c r="DH326" s="19"/>
      <c r="DI326" s="19"/>
      <c r="DJ326" s="19"/>
      <c r="DK326" s="19"/>
      <c r="DL326" s="19"/>
      <c r="DM326" s="19"/>
      <c r="DN326" s="19"/>
      <c r="DO326" s="19"/>
      <c r="DP326" s="19"/>
      <c r="DQ326" s="19"/>
      <c r="DR326" s="19"/>
      <c r="DS326" s="19"/>
      <c r="DT326" s="19"/>
      <c r="DU326" s="19"/>
      <c r="DV326" s="19"/>
      <c r="DW326" s="19"/>
      <c r="DX326" s="19"/>
      <c r="DY326" s="19"/>
      <c r="DZ326" s="19"/>
      <c r="EA326" s="19"/>
      <c r="EB326" s="19"/>
      <c r="EC326" s="19"/>
      <c r="ED326" s="19"/>
      <c r="EE326" s="19"/>
      <c r="EF326" s="19"/>
      <c r="EG326" s="19"/>
      <c r="EH326" s="19"/>
      <c r="EI326" s="19"/>
      <c r="EJ326" s="19"/>
      <c r="EK326" s="19"/>
      <c r="EL326" s="19"/>
      <c r="EM326" s="19"/>
      <c r="EN326" s="19"/>
      <c r="EO326" s="19"/>
      <c r="EP326" s="19"/>
      <c r="EQ326" s="19"/>
      <c r="ER326" s="19"/>
      <c r="ES326" s="19"/>
      <c r="ET326" s="19"/>
      <c r="EU326" s="19"/>
      <c r="EV326" s="19"/>
      <c r="EW326" s="19"/>
      <c r="EX326" s="19"/>
      <c r="EY326" s="19"/>
      <c r="EZ326" s="19"/>
      <c r="FA326" s="19"/>
      <c r="FB326" s="19"/>
      <c r="FC326" s="19"/>
      <c r="FD326" s="19"/>
      <c r="FE326" s="19"/>
      <c r="FF326" s="19"/>
      <c r="FG326" s="19"/>
      <c r="FH326" s="19"/>
      <c r="FI326" s="19"/>
    </row>
    <row r="327" spans="1:165" x14ac:dyDescent="0.25">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c r="BE327" s="19"/>
      <c r="BF327" s="19"/>
      <c r="BG327" s="19"/>
      <c r="BH327" s="19"/>
      <c r="BI327" s="19"/>
      <c r="BJ327" s="19"/>
      <c r="BK327" s="19"/>
      <c r="BL327" s="19"/>
      <c r="BM327" s="19"/>
      <c r="BN327" s="19"/>
      <c r="BO327" s="19"/>
      <c r="BP327" s="19"/>
      <c r="BQ327" s="19"/>
      <c r="BR327" s="19"/>
      <c r="BS327" s="19"/>
      <c r="BT327" s="19"/>
      <c r="BU327" s="19"/>
      <c r="BV327" s="19"/>
      <c r="BW327" s="19"/>
      <c r="BX327" s="19"/>
      <c r="BY327" s="19"/>
      <c r="BZ327" s="19"/>
      <c r="CA327" s="19"/>
      <c r="CB327" s="19"/>
      <c r="CC327" s="19"/>
      <c r="CD327" s="19"/>
      <c r="CE327" s="19"/>
      <c r="CF327" s="19"/>
      <c r="CG327" s="19"/>
      <c r="CH327" s="19"/>
      <c r="CI327" s="19"/>
      <c r="CJ327" s="19"/>
      <c r="CK327" s="19"/>
      <c r="CL327" s="19"/>
      <c r="CM327" s="19"/>
      <c r="CN327" s="19"/>
      <c r="CO327" s="19"/>
      <c r="CP327" s="19"/>
      <c r="CQ327" s="19"/>
      <c r="CR327" s="19"/>
      <c r="CS327" s="19"/>
      <c r="CT327" s="19"/>
      <c r="CU327" s="19"/>
      <c r="CV327" s="19"/>
      <c r="CW327" s="19"/>
      <c r="CX327" s="19"/>
      <c r="CY327" s="19"/>
      <c r="CZ327" s="19"/>
      <c r="DA327" s="19"/>
      <c r="DB327" s="19"/>
      <c r="DC327" s="19"/>
      <c r="DD327" s="19"/>
      <c r="DE327" s="19"/>
      <c r="DF327" s="19"/>
      <c r="DG327" s="19"/>
      <c r="DH327" s="19"/>
      <c r="DI327" s="19"/>
      <c r="DJ327" s="19"/>
      <c r="DK327" s="19"/>
      <c r="DL327" s="19"/>
      <c r="DM327" s="19"/>
      <c r="DN327" s="19"/>
      <c r="DO327" s="19"/>
      <c r="DP327" s="19"/>
      <c r="DQ327" s="19"/>
      <c r="DR327" s="19"/>
      <c r="DS327" s="19"/>
      <c r="DT327" s="19"/>
      <c r="DU327" s="19"/>
      <c r="DV327" s="19"/>
      <c r="DW327" s="19"/>
      <c r="DX327" s="19"/>
      <c r="DY327" s="19"/>
      <c r="DZ327" s="19"/>
      <c r="EA327" s="19"/>
      <c r="EB327" s="19"/>
      <c r="EC327" s="19"/>
      <c r="ED327" s="19"/>
      <c r="EE327" s="19"/>
      <c r="EF327" s="19"/>
      <c r="EG327" s="19"/>
      <c r="EH327" s="19"/>
      <c r="EI327" s="19"/>
      <c r="EJ327" s="19"/>
      <c r="EK327" s="19"/>
      <c r="EL327" s="19"/>
      <c r="EM327" s="19"/>
      <c r="EN327" s="19"/>
      <c r="EO327" s="19"/>
      <c r="EP327" s="19"/>
      <c r="EQ327" s="19"/>
      <c r="ER327" s="19"/>
      <c r="ES327" s="19"/>
      <c r="ET327" s="19"/>
      <c r="EU327" s="19"/>
      <c r="EV327" s="19"/>
      <c r="EW327" s="19"/>
      <c r="EX327" s="19"/>
      <c r="EY327" s="19"/>
      <c r="EZ327" s="19"/>
      <c r="FA327" s="19"/>
      <c r="FB327" s="19"/>
      <c r="FC327" s="19"/>
      <c r="FD327" s="19"/>
      <c r="FE327" s="19"/>
      <c r="FF327" s="19"/>
      <c r="FG327" s="19"/>
      <c r="FH327" s="19"/>
      <c r="FI327" s="19"/>
    </row>
    <row r="328" spans="1:165" x14ac:dyDescent="0.25">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c r="BE328" s="19"/>
      <c r="BF328" s="19"/>
      <c r="BG328" s="19"/>
      <c r="BH328" s="19"/>
      <c r="BI328" s="19"/>
      <c r="BJ328" s="19"/>
      <c r="BK328" s="19"/>
      <c r="BL328" s="19"/>
      <c r="BM328" s="19"/>
      <c r="BN328" s="19"/>
      <c r="BO328" s="19"/>
      <c r="BP328" s="19"/>
      <c r="BQ328" s="19"/>
      <c r="BR328" s="19"/>
      <c r="BS328" s="19"/>
      <c r="BT328" s="19"/>
      <c r="BU328" s="19"/>
      <c r="BV328" s="19"/>
      <c r="BW328" s="19"/>
      <c r="BX328" s="19"/>
      <c r="BY328" s="19"/>
      <c r="BZ328" s="19"/>
      <c r="CA328" s="19"/>
      <c r="CB328" s="19"/>
      <c r="CC328" s="19"/>
      <c r="CD328" s="19"/>
      <c r="CE328" s="19"/>
      <c r="CF328" s="19"/>
      <c r="CG328" s="19"/>
      <c r="CH328" s="19"/>
      <c r="CI328" s="19"/>
      <c r="CJ328" s="19"/>
      <c r="CK328" s="19"/>
      <c r="CL328" s="19"/>
      <c r="CM328" s="19"/>
      <c r="CN328" s="19"/>
      <c r="CO328" s="19"/>
      <c r="CP328" s="19"/>
      <c r="CQ328" s="19"/>
      <c r="CR328" s="19"/>
      <c r="CS328" s="19"/>
      <c r="CT328" s="19"/>
      <c r="CU328" s="19"/>
      <c r="CV328" s="19"/>
      <c r="CW328" s="19"/>
      <c r="CX328" s="19"/>
      <c r="CY328" s="19"/>
      <c r="CZ328" s="19"/>
      <c r="DA328" s="19"/>
      <c r="DB328" s="19"/>
      <c r="DC328" s="19"/>
      <c r="DD328" s="19"/>
      <c r="DE328" s="19"/>
      <c r="DF328" s="19"/>
      <c r="DG328" s="19"/>
      <c r="DH328" s="19"/>
      <c r="DI328" s="19"/>
      <c r="DJ328" s="19"/>
      <c r="DK328" s="19"/>
      <c r="DL328" s="19"/>
      <c r="DM328" s="19"/>
      <c r="DN328" s="19"/>
      <c r="DO328" s="19"/>
      <c r="DP328" s="19"/>
      <c r="DQ328" s="19"/>
      <c r="DR328" s="19"/>
      <c r="DS328" s="19"/>
      <c r="DT328" s="19"/>
      <c r="DU328" s="19"/>
      <c r="DV328" s="19"/>
      <c r="DW328" s="19"/>
      <c r="DX328" s="19"/>
      <c r="DY328" s="19"/>
      <c r="DZ328" s="19"/>
      <c r="EA328" s="19"/>
      <c r="EB328" s="19"/>
      <c r="EC328" s="19"/>
      <c r="ED328" s="19"/>
      <c r="EE328" s="19"/>
      <c r="EF328" s="19"/>
      <c r="EG328" s="19"/>
      <c r="EH328" s="19"/>
      <c r="EI328" s="19"/>
      <c r="EJ328" s="19"/>
      <c r="EK328" s="19"/>
      <c r="EL328" s="19"/>
      <c r="EM328" s="19"/>
      <c r="EN328" s="19"/>
      <c r="EO328" s="19"/>
      <c r="EP328" s="19"/>
      <c r="EQ328" s="19"/>
      <c r="ER328" s="19"/>
      <c r="ES328" s="19"/>
      <c r="ET328" s="19"/>
      <c r="EU328" s="19"/>
      <c r="EV328" s="19"/>
      <c r="EW328" s="19"/>
      <c r="EX328" s="19"/>
      <c r="EY328" s="19"/>
      <c r="EZ328" s="19"/>
      <c r="FA328" s="19"/>
      <c r="FB328" s="19"/>
      <c r="FC328" s="19"/>
      <c r="FD328" s="19"/>
      <c r="FE328" s="19"/>
      <c r="FF328" s="19"/>
      <c r="FG328" s="19"/>
      <c r="FH328" s="19"/>
      <c r="FI328" s="19"/>
    </row>
    <row r="329" spans="1:165" x14ac:dyDescent="0.25">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c r="BE329" s="19"/>
      <c r="BF329" s="19"/>
      <c r="BG329" s="19"/>
      <c r="BH329" s="19"/>
      <c r="BI329" s="19"/>
      <c r="BJ329" s="19"/>
      <c r="BK329" s="19"/>
      <c r="BL329" s="19"/>
      <c r="BM329" s="19"/>
      <c r="BN329" s="19"/>
      <c r="BO329" s="19"/>
      <c r="BP329" s="19"/>
      <c r="BQ329" s="19"/>
      <c r="BR329" s="19"/>
      <c r="BS329" s="19"/>
      <c r="BT329" s="19"/>
      <c r="BU329" s="19"/>
      <c r="BV329" s="19"/>
      <c r="BW329" s="19"/>
      <c r="BX329" s="19"/>
      <c r="BY329" s="19"/>
      <c r="BZ329" s="19"/>
      <c r="CA329" s="19"/>
      <c r="CB329" s="19"/>
      <c r="CC329" s="19"/>
      <c r="CD329" s="19"/>
      <c r="CE329" s="19"/>
      <c r="CF329" s="19"/>
      <c r="CG329" s="19"/>
      <c r="CH329" s="19"/>
      <c r="CI329" s="19"/>
      <c r="CJ329" s="19"/>
      <c r="CK329" s="19"/>
      <c r="CL329" s="19"/>
      <c r="CM329" s="19"/>
      <c r="CN329" s="19"/>
      <c r="CO329" s="19"/>
      <c r="CP329" s="19"/>
      <c r="CQ329" s="19"/>
      <c r="CR329" s="19"/>
      <c r="CS329" s="19"/>
      <c r="CT329" s="19"/>
      <c r="CU329" s="19"/>
      <c r="CV329" s="19"/>
      <c r="CW329" s="19"/>
      <c r="CX329" s="19"/>
      <c r="CY329" s="19"/>
      <c r="CZ329" s="19"/>
      <c r="DA329" s="19"/>
      <c r="DB329" s="19"/>
      <c r="DC329" s="19"/>
      <c r="DD329" s="19"/>
      <c r="DE329" s="19"/>
      <c r="DF329" s="19"/>
      <c r="DG329" s="19"/>
      <c r="DH329" s="19"/>
      <c r="DI329" s="19"/>
      <c r="DJ329" s="19"/>
      <c r="DK329" s="19"/>
      <c r="DL329" s="19"/>
      <c r="DM329" s="19"/>
      <c r="DN329" s="19"/>
      <c r="DO329" s="19"/>
      <c r="DP329" s="19"/>
      <c r="DQ329" s="19"/>
      <c r="DR329" s="19"/>
      <c r="DS329" s="19"/>
      <c r="DT329" s="19"/>
      <c r="DU329" s="19"/>
      <c r="DV329" s="19"/>
      <c r="DW329" s="19"/>
      <c r="DX329" s="19"/>
      <c r="DY329" s="19"/>
      <c r="DZ329" s="19"/>
      <c r="EA329" s="19"/>
      <c r="EB329" s="19"/>
      <c r="EC329" s="19"/>
      <c r="ED329" s="19"/>
      <c r="EE329" s="19"/>
      <c r="EF329" s="19"/>
      <c r="EG329" s="19"/>
      <c r="EH329" s="19"/>
      <c r="EI329" s="19"/>
      <c r="EJ329" s="19"/>
      <c r="EK329" s="19"/>
      <c r="EL329" s="19"/>
      <c r="EM329" s="19"/>
      <c r="EN329" s="19"/>
      <c r="EO329" s="19"/>
      <c r="EP329" s="19"/>
      <c r="EQ329" s="19"/>
      <c r="ER329" s="19"/>
      <c r="ES329" s="19"/>
      <c r="ET329" s="19"/>
      <c r="EU329" s="19"/>
      <c r="EV329" s="19"/>
      <c r="EW329" s="19"/>
      <c r="EX329" s="19"/>
      <c r="EY329" s="19"/>
      <c r="EZ329" s="19"/>
      <c r="FA329" s="19"/>
      <c r="FB329" s="19"/>
      <c r="FC329" s="19"/>
      <c r="FD329" s="19"/>
      <c r="FE329" s="19"/>
      <c r="FF329" s="19"/>
      <c r="FG329" s="19"/>
      <c r="FH329" s="19"/>
      <c r="FI329" s="19"/>
    </row>
    <row r="330" spans="1:165" x14ac:dyDescent="0.25">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c r="BE330" s="19"/>
      <c r="BF330" s="19"/>
      <c r="BG330" s="19"/>
      <c r="BH330" s="19"/>
      <c r="BI330" s="19"/>
      <c r="BJ330" s="19"/>
      <c r="BK330" s="19"/>
      <c r="BL330" s="19"/>
      <c r="BM330" s="19"/>
      <c r="BN330" s="19"/>
      <c r="BO330" s="19"/>
      <c r="BP330" s="19"/>
      <c r="BQ330" s="19"/>
      <c r="BR330" s="19"/>
      <c r="BS330" s="19"/>
      <c r="BT330" s="19"/>
      <c r="BU330" s="19"/>
      <c r="BV330" s="19"/>
      <c r="BW330" s="19"/>
      <c r="BX330" s="19"/>
      <c r="BY330" s="19"/>
      <c r="BZ330" s="19"/>
      <c r="CA330" s="19"/>
      <c r="CB330" s="19"/>
      <c r="CC330" s="19"/>
      <c r="CD330" s="19"/>
      <c r="CE330" s="19"/>
      <c r="CF330" s="19"/>
      <c r="CG330" s="19"/>
      <c r="CH330" s="19"/>
      <c r="CI330" s="19"/>
      <c r="CJ330" s="19"/>
      <c r="CK330" s="19"/>
      <c r="CL330" s="19"/>
      <c r="CM330" s="19"/>
      <c r="CN330" s="19"/>
      <c r="CO330" s="19"/>
      <c r="CP330" s="19"/>
      <c r="CQ330" s="19"/>
      <c r="CR330" s="19"/>
      <c r="CS330" s="19"/>
      <c r="CT330" s="19"/>
      <c r="CU330" s="19"/>
      <c r="CV330" s="19"/>
      <c r="CW330" s="19"/>
      <c r="CX330" s="19"/>
      <c r="CY330" s="19"/>
      <c r="CZ330" s="19"/>
      <c r="DA330" s="19"/>
      <c r="DB330" s="19"/>
      <c r="DC330" s="19"/>
      <c r="DD330" s="19"/>
      <c r="DE330" s="19"/>
      <c r="DF330" s="19"/>
      <c r="DG330" s="19"/>
      <c r="DH330" s="19"/>
      <c r="DI330" s="19"/>
      <c r="DJ330" s="19"/>
      <c r="DK330" s="19"/>
      <c r="DL330" s="19"/>
      <c r="DM330" s="19"/>
      <c r="DN330" s="19"/>
      <c r="DO330" s="19"/>
      <c r="DP330" s="19"/>
      <c r="DQ330" s="19"/>
      <c r="DR330" s="19"/>
      <c r="DS330" s="19"/>
      <c r="DT330" s="19"/>
      <c r="DU330" s="19"/>
      <c r="DV330" s="19"/>
      <c r="DW330" s="19"/>
      <c r="DX330" s="19"/>
      <c r="DY330" s="19"/>
      <c r="DZ330" s="19"/>
      <c r="EA330" s="19"/>
      <c r="EB330" s="19"/>
      <c r="EC330" s="19"/>
      <c r="ED330" s="19"/>
      <c r="EE330" s="19"/>
      <c r="EF330" s="19"/>
      <c r="EG330" s="19"/>
      <c r="EH330" s="19"/>
      <c r="EI330" s="19"/>
      <c r="EJ330" s="19"/>
      <c r="EK330" s="19"/>
      <c r="EL330" s="19"/>
      <c r="EM330" s="19"/>
      <c r="EN330" s="19"/>
      <c r="EO330" s="19"/>
      <c r="EP330" s="19"/>
      <c r="EQ330" s="19"/>
      <c r="ER330" s="19"/>
      <c r="ES330" s="19"/>
      <c r="ET330" s="19"/>
      <c r="EU330" s="19"/>
      <c r="EV330" s="19"/>
      <c r="EW330" s="19"/>
      <c r="EX330" s="19"/>
      <c r="EY330" s="19"/>
      <c r="EZ330" s="19"/>
      <c r="FA330" s="19"/>
      <c r="FB330" s="19"/>
      <c r="FC330" s="19"/>
      <c r="FD330" s="19"/>
      <c r="FE330" s="19"/>
      <c r="FF330" s="19"/>
      <c r="FG330" s="19"/>
      <c r="FH330" s="19"/>
      <c r="FI330" s="19"/>
    </row>
    <row r="331" spans="1:165" x14ac:dyDescent="0.25">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c r="BE331" s="19"/>
      <c r="BF331" s="19"/>
      <c r="BG331" s="19"/>
      <c r="BH331" s="19"/>
      <c r="BI331" s="19"/>
      <c r="BJ331" s="19"/>
      <c r="BK331" s="19"/>
      <c r="BL331" s="19"/>
      <c r="BM331" s="19"/>
      <c r="BN331" s="19"/>
      <c r="BO331" s="19"/>
      <c r="BP331" s="19"/>
      <c r="BQ331" s="19"/>
      <c r="BR331" s="19"/>
      <c r="BS331" s="19"/>
      <c r="BT331" s="19"/>
      <c r="BU331" s="19"/>
      <c r="BV331" s="19"/>
      <c r="BW331" s="19"/>
      <c r="BX331" s="19"/>
      <c r="BY331" s="19"/>
      <c r="BZ331" s="19"/>
      <c r="CA331" s="19"/>
      <c r="CB331" s="19"/>
      <c r="CC331" s="19"/>
      <c r="CD331" s="19"/>
      <c r="CE331" s="19"/>
      <c r="CF331" s="19"/>
      <c r="CG331" s="19"/>
      <c r="CH331" s="19"/>
      <c r="CI331" s="19"/>
      <c r="CJ331" s="19"/>
      <c r="CK331" s="19"/>
      <c r="CL331" s="19"/>
      <c r="CM331" s="19"/>
      <c r="CN331" s="19"/>
      <c r="CO331" s="19"/>
      <c r="CP331" s="19"/>
      <c r="CQ331" s="19"/>
      <c r="CR331" s="19"/>
      <c r="CS331" s="19"/>
      <c r="CT331" s="19"/>
      <c r="CU331" s="19"/>
      <c r="CV331" s="19"/>
      <c r="CW331" s="19"/>
      <c r="CX331" s="19"/>
      <c r="CY331" s="19"/>
      <c r="CZ331" s="19"/>
      <c r="DA331" s="19"/>
      <c r="DB331" s="19"/>
      <c r="DC331" s="19"/>
      <c r="DD331" s="19"/>
      <c r="DE331" s="19"/>
      <c r="DF331" s="19"/>
      <c r="DG331" s="19"/>
      <c r="DH331" s="19"/>
      <c r="DI331" s="19"/>
      <c r="DJ331" s="19"/>
      <c r="DK331" s="19"/>
      <c r="DL331" s="19"/>
      <c r="DM331" s="19"/>
      <c r="DN331" s="19"/>
      <c r="DO331" s="19"/>
      <c r="DP331" s="19"/>
      <c r="DQ331" s="19"/>
      <c r="DR331" s="19"/>
      <c r="DS331" s="19"/>
      <c r="DT331" s="19"/>
      <c r="DU331" s="19"/>
      <c r="DV331" s="19"/>
      <c r="DW331" s="19"/>
      <c r="DX331" s="19"/>
      <c r="DY331" s="19"/>
      <c r="DZ331" s="19"/>
      <c r="EA331" s="19"/>
      <c r="EB331" s="19"/>
      <c r="EC331" s="19"/>
      <c r="ED331" s="19"/>
      <c r="EE331" s="19"/>
      <c r="EF331" s="19"/>
      <c r="EG331" s="19"/>
      <c r="EH331" s="19"/>
      <c r="EI331" s="19"/>
      <c r="EJ331" s="19"/>
      <c r="EK331" s="19"/>
      <c r="EL331" s="19"/>
      <c r="EM331" s="19"/>
      <c r="EN331" s="19"/>
      <c r="EO331" s="19"/>
      <c r="EP331" s="19"/>
      <c r="EQ331" s="19"/>
      <c r="ER331" s="19"/>
      <c r="ES331" s="19"/>
      <c r="ET331" s="19"/>
      <c r="EU331" s="19"/>
      <c r="EV331" s="19"/>
      <c r="EW331" s="19"/>
      <c r="EX331" s="19"/>
      <c r="EY331" s="19"/>
      <c r="EZ331" s="19"/>
      <c r="FA331" s="19"/>
      <c r="FB331" s="19"/>
      <c r="FC331" s="19"/>
      <c r="FD331" s="19"/>
      <c r="FE331" s="19"/>
      <c r="FF331" s="19"/>
      <c r="FG331" s="19"/>
      <c r="FH331" s="19"/>
      <c r="FI331" s="19"/>
    </row>
    <row r="332" spans="1:165" x14ac:dyDescent="0.25">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c r="BE332" s="19"/>
      <c r="BF332" s="19"/>
      <c r="BG332" s="19"/>
      <c r="BH332" s="19"/>
      <c r="BI332" s="19"/>
      <c r="BJ332" s="19"/>
      <c r="BK332" s="19"/>
      <c r="BL332" s="19"/>
      <c r="BM332" s="19"/>
      <c r="BN332" s="19"/>
      <c r="BO332" s="19"/>
      <c r="BP332" s="19"/>
      <c r="BQ332" s="19"/>
      <c r="BR332" s="19"/>
      <c r="BS332" s="19"/>
      <c r="BT332" s="19"/>
      <c r="BU332" s="19"/>
      <c r="BV332" s="19"/>
      <c r="BW332" s="19"/>
      <c r="BX332" s="19"/>
      <c r="BY332" s="19"/>
      <c r="BZ332" s="19"/>
      <c r="CA332" s="19"/>
      <c r="CB332" s="19"/>
      <c r="CC332" s="19"/>
      <c r="CD332" s="19"/>
      <c r="CE332" s="19"/>
      <c r="CF332" s="19"/>
      <c r="CG332" s="19"/>
      <c r="CH332" s="19"/>
      <c r="CI332" s="19"/>
      <c r="CJ332" s="19"/>
      <c r="CK332" s="19"/>
      <c r="CL332" s="19"/>
      <c r="CM332" s="19"/>
      <c r="CN332" s="19"/>
      <c r="CO332" s="19"/>
      <c r="CP332" s="19"/>
      <c r="CQ332" s="19"/>
      <c r="CR332" s="19"/>
      <c r="CS332" s="19"/>
      <c r="CT332" s="19"/>
      <c r="CU332" s="19"/>
      <c r="CV332" s="19"/>
      <c r="CW332" s="19"/>
      <c r="CX332" s="19"/>
      <c r="CY332" s="19"/>
      <c r="CZ332" s="19"/>
      <c r="DA332" s="19"/>
      <c r="DB332" s="19"/>
      <c r="DC332" s="19"/>
      <c r="DD332" s="19"/>
      <c r="DE332" s="19"/>
      <c r="DF332" s="19"/>
      <c r="DG332" s="19"/>
      <c r="DH332" s="19"/>
      <c r="DI332" s="19"/>
      <c r="DJ332" s="19"/>
      <c r="DK332" s="19"/>
      <c r="DL332" s="19"/>
      <c r="DM332" s="19"/>
      <c r="DN332" s="19"/>
      <c r="DO332" s="19"/>
      <c r="DP332" s="19"/>
      <c r="DQ332" s="19"/>
      <c r="DR332" s="19"/>
      <c r="DS332" s="19"/>
      <c r="DT332" s="19"/>
      <c r="DU332" s="19"/>
      <c r="DV332" s="19"/>
      <c r="DW332" s="19"/>
      <c r="DX332" s="19"/>
      <c r="DY332" s="19"/>
      <c r="DZ332" s="19"/>
      <c r="EA332" s="19"/>
      <c r="EB332" s="19"/>
      <c r="EC332" s="19"/>
      <c r="ED332" s="19"/>
      <c r="EE332" s="19"/>
      <c r="EF332" s="19"/>
      <c r="EG332" s="19"/>
      <c r="EH332" s="19"/>
      <c r="EI332" s="19"/>
      <c r="EJ332" s="19"/>
      <c r="EK332" s="19"/>
      <c r="EL332" s="19"/>
      <c r="EM332" s="19"/>
      <c r="EN332" s="19"/>
      <c r="EO332" s="19"/>
      <c r="EP332" s="19"/>
      <c r="EQ332" s="19"/>
      <c r="ER332" s="19"/>
      <c r="ES332" s="19"/>
      <c r="ET332" s="19"/>
      <c r="EU332" s="19"/>
      <c r="EV332" s="19"/>
      <c r="EW332" s="19"/>
      <c r="EX332" s="19"/>
      <c r="EY332" s="19"/>
      <c r="EZ332" s="19"/>
      <c r="FA332" s="19"/>
      <c r="FB332" s="19"/>
      <c r="FC332" s="19"/>
      <c r="FD332" s="19"/>
      <c r="FE332" s="19"/>
      <c r="FF332" s="19"/>
      <c r="FG332" s="19"/>
      <c r="FH332" s="19"/>
      <c r="FI332" s="19"/>
    </row>
    <row r="333" spans="1:165" x14ac:dyDescent="0.25">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c r="BE333" s="19"/>
      <c r="BF333" s="19"/>
      <c r="BG333" s="19"/>
      <c r="BH333" s="19"/>
      <c r="BI333" s="19"/>
      <c r="BJ333" s="19"/>
      <c r="BK333" s="19"/>
      <c r="BL333" s="19"/>
      <c r="BM333" s="19"/>
      <c r="BN333" s="19"/>
      <c r="BO333" s="19"/>
      <c r="BP333" s="19"/>
      <c r="BQ333" s="19"/>
      <c r="BR333" s="19"/>
      <c r="BS333" s="19"/>
      <c r="BT333" s="19"/>
      <c r="BU333" s="19"/>
      <c r="BV333" s="19"/>
      <c r="BW333" s="19"/>
      <c r="BX333" s="19"/>
      <c r="BY333" s="19"/>
      <c r="BZ333" s="19"/>
      <c r="CA333" s="19"/>
      <c r="CB333" s="19"/>
      <c r="CC333" s="19"/>
      <c r="CD333" s="19"/>
      <c r="CE333" s="19"/>
      <c r="CF333" s="19"/>
      <c r="CG333" s="19"/>
      <c r="CH333" s="19"/>
      <c r="CI333" s="19"/>
      <c r="CJ333" s="19"/>
      <c r="CK333" s="19"/>
      <c r="CL333" s="19"/>
      <c r="CM333" s="19"/>
      <c r="CN333" s="19"/>
      <c r="CO333" s="19"/>
      <c r="CP333" s="19"/>
      <c r="CQ333" s="19"/>
      <c r="CR333" s="19"/>
      <c r="CS333" s="19"/>
      <c r="CT333" s="19"/>
      <c r="CU333" s="19"/>
      <c r="CV333" s="19"/>
      <c r="CW333" s="19"/>
      <c r="CX333" s="19"/>
      <c r="CY333" s="19"/>
      <c r="CZ333" s="19"/>
      <c r="DA333" s="19"/>
      <c r="DB333" s="19"/>
      <c r="DC333" s="19"/>
      <c r="DD333" s="19"/>
      <c r="DE333" s="19"/>
      <c r="DF333" s="19"/>
      <c r="DG333" s="19"/>
      <c r="DH333" s="19"/>
      <c r="DI333" s="19"/>
      <c r="DJ333" s="19"/>
      <c r="DK333" s="19"/>
      <c r="DL333" s="19"/>
      <c r="DM333" s="19"/>
      <c r="DN333" s="19"/>
      <c r="DO333" s="19"/>
      <c r="DP333" s="19"/>
      <c r="DQ333" s="19"/>
      <c r="DR333" s="19"/>
      <c r="DS333" s="19"/>
      <c r="DT333" s="19"/>
      <c r="DU333" s="19"/>
      <c r="DV333" s="19"/>
      <c r="DW333" s="19"/>
      <c r="DX333" s="19"/>
      <c r="DY333" s="19"/>
      <c r="DZ333" s="19"/>
      <c r="EA333" s="19"/>
      <c r="EB333" s="19"/>
      <c r="EC333" s="19"/>
      <c r="ED333" s="19"/>
      <c r="EE333" s="19"/>
      <c r="EF333" s="19"/>
      <c r="EG333" s="19"/>
      <c r="EH333" s="19"/>
      <c r="EI333" s="19"/>
      <c r="EJ333" s="19"/>
      <c r="EK333" s="19"/>
      <c r="EL333" s="19"/>
      <c r="EM333" s="19"/>
      <c r="EN333" s="19"/>
      <c r="EO333" s="19"/>
      <c r="EP333" s="19"/>
      <c r="EQ333" s="19"/>
      <c r="ER333" s="19"/>
      <c r="ES333" s="19"/>
      <c r="ET333" s="19"/>
      <c r="EU333" s="19"/>
      <c r="EV333" s="19"/>
      <c r="EW333" s="19"/>
      <c r="EX333" s="19"/>
      <c r="EY333" s="19"/>
      <c r="EZ333" s="19"/>
      <c r="FA333" s="19"/>
      <c r="FB333" s="19"/>
      <c r="FC333" s="19"/>
      <c r="FD333" s="19"/>
      <c r="FE333" s="19"/>
      <c r="FF333" s="19"/>
      <c r="FG333" s="19"/>
      <c r="FH333" s="19"/>
      <c r="FI333" s="19"/>
    </row>
    <row r="334" spans="1:165" x14ac:dyDescent="0.25">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c r="BE334" s="19"/>
      <c r="BF334" s="19"/>
      <c r="BG334" s="19"/>
      <c r="BH334" s="19"/>
      <c r="BI334" s="19"/>
      <c r="BJ334" s="19"/>
      <c r="BK334" s="19"/>
      <c r="BL334" s="19"/>
      <c r="BM334" s="19"/>
      <c r="BN334" s="19"/>
      <c r="BO334" s="19"/>
      <c r="BP334" s="19"/>
      <c r="BQ334" s="19"/>
      <c r="BR334" s="19"/>
      <c r="BS334" s="19"/>
      <c r="BT334" s="19"/>
      <c r="BU334" s="19"/>
      <c r="BV334" s="19"/>
      <c r="BW334" s="19"/>
      <c r="BX334" s="19"/>
      <c r="BY334" s="19"/>
      <c r="BZ334" s="19"/>
      <c r="CA334" s="19"/>
      <c r="CB334" s="19"/>
      <c r="CC334" s="19"/>
      <c r="CD334" s="19"/>
      <c r="CE334" s="19"/>
      <c r="CF334" s="19"/>
      <c r="CG334" s="19"/>
      <c r="CH334" s="19"/>
      <c r="CI334" s="19"/>
      <c r="CJ334" s="19"/>
      <c r="CK334" s="19"/>
      <c r="CL334" s="19"/>
      <c r="CM334" s="19"/>
      <c r="CN334" s="19"/>
      <c r="CO334" s="19"/>
      <c r="CP334" s="19"/>
      <c r="CQ334" s="19"/>
      <c r="CR334" s="19"/>
      <c r="CS334" s="19"/>
      <c r="CT334" s="19"/>
      <c r="CU334" s="19"/>
      <c r="CV334" s="19"/>
      <c r="CW334" s="19"/>
      <c r="CX334" s="19"/>
      <c r="CY334" s="19"/>
      <c r="CZ334" s="19"/>
      <c r="DA334" s="19"/>
      <c r="DB334" s="19"/>
      <c r="DC334" s="19"/>
      <c r="DD334" s="19"/>
      <c r="DE334" s="19"/>
      <c r="DF334" s="19"/>
      <c r="DG334" s="19"/>
      <c r="DH334" s="19"/>
      <c r="DI334" s="19"/>
      <c r="DJ334" s="19"/>
      <c r="DK334" s="19"/>
      <c r="DL334" s="19"/>
      <c r="DM334" s="19"/>
      <c r="DN334" s="19"/>
      <c r="DO334" s="19"/>
      <c r="DP334" s="19"/>
      <c r="DQ334" s="19"/>
      <c r="DR334" s="19"/>
      <c r="DS334" s="19"/>
      <c r="DT334" s="19"/>
      <c r="DU334" s="19"/>
      <c r="DV334" s="19"/>
      <c r="DW334" s="19"/>
      <c r="DX334" s="19"/>
      <c r="DY334" s="19"/>
      <c r="DZ334" s="19"/>
      <c r="EA334" s="19"/>
      <c r="EB334" s="19"/>
      <c r="EC334" s="19"/>
      <c r="ED334" s="19"/>
      <c r="EE334" s="19"/>
      <c r="EF334" s="19"/>
      <c r="EG334" s="19"/>
      <c r="EH334" s="19"/>
      <c r="EI334" s="19"/>
      <c r="EJ334" s="19"/>
      <c r="EK334" s="19"/>
      <c r="EL334" s="19"/>
      <c r="EM334" s="19"/>
      <c r="EN334" s="19"/>
      <c r="EO334" s="19"/>
      <c r="EP334" s="19"/>
      <c r="EQ334" s="19"/>
      <c r="ER334" s="19"/>
      <c r="ES334" s="19"/>
      <c r="ET334" s="19"/>
      <c r="EU334" s="19"/>
      <c r="EV334" s="19"/>
      <c r="EW334" s="19"/>
      <c r="EX334" s="19"/>
      <c r="EY334" s="19"/>
      <c r="EZ334" s="19"/>
      <c r="FA334" s="19"/>
      <c r="FB334" s="19"/>
      <c r="FC334" s="19"/>
      <c r="FD334" s="19"/>
      <c r="FE334" s="19"/>
      <c r="FF334" s="19"/>
      <c r="FG334" s="19"/>
      <c r="FH334" s="19"/>
      <c r="FI334" s="19"/>
    </row>
    <row r="335" spans="1:165" x14ac:dyDescent="0.25">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c r="BE335" s="19"/>
      <c r="BF335" s="19"/>
      <c r="BG335" s="19"/>
      <c r="BH335" s="19"/>
      <c r="BI335" s="19"/>
      <c r="BJ335" s="19"/>
      <c r="BK335" s="19"/>
      <c r="BL335" s="19"/>
      <c r="BM335" s="19"/>
      <c r="BN335" s="19"/>
      <c r="BO335" s="19"/>
      <c r="BP335" s="19"/>
      <c r="BQ335" s="19"/>
      <c r="BR335" s="19"/>
      <c r="BS335" s="19"/>
      <c r="BT335" s="19"/>
      <c r="BU335" s="19"/>
      <c r="BV335" s="19"/>
      <c r="BW335" s="19"/>
      <c r="BX335" s="19"/>
      <c r="BY335" s="19"/>
      <c r="BZ335" s="19"/>
      <c r="CA335" s="19"/>
      <c r="CB335" s="19"/>
      <c r="CC335" s="19"/>
      <c r="CD335" s="19"/>
      <c r="CE335" s="19"/>
      <c r="CF335" s="19"/>
      <c r="CG335" s="19"/>
      <c r="CH335" s="19"/>
      <c r="CI335" s="19"/>
      <c r="CJ335" s="19"/>
      <c r="CK335" s="19"/>
      <c r="CL335" s="19"/>
      <c r="CM335" s="19"/>
      <c r="CN335" s="19"/>
      <c r="CO335" s="19"/>
      <c r="CP335" s="19"/>
      <c r="CQ335" s="19"/>
      <c r="CR335" s="19"/>
      <c r="CS335" s="19"/>
      <c r="CT335" s="19"/>
      <c r="CU335" s="19"/>
      <c r="CV335" s="19"/>
      <c r="CW335" s="19"/>
      <c r="CX335" s="19"/>
      <c r="CY335" s="19"/>
      <c r="CZ335" s="19"/>
      <c r="DA335" s="19"/>
      <c r="DB335" s="19"/>
      <c r="DC335" s="19"/>
      <c r="DD335" s="19"/>
      <c r="DE335" s="19"/>
      <c r="DF335" s="19"/>
      <c r="DG335" s="19"/>
      <c r="DH335" s="19"/>
      <c r="DI335" s="19"/>
      <c r="DJ335" s="19"/>
      <c r="DK335" s="19"/>
      <c r="DL335" s="19"/>
      <c r="DM335" s="19"/>
      <c r="DN335" s="19"/>
      <c r="DO335" s="19"/>
      <c r="DP335" s="19"/>
      <c r="DQ335" s="19"/>
      <c r="DR335" s="19"/>
      <c r="DS335" s="19"/>
      <c r="DT335" s="19"/>
      <c r="DU335" s="19"/>
      <c r="DV335" s="19"/>
      <c r="DW335" s="19"/>
      <c r="DX335" s="19"/>
      <c r="DY335" s="19"/>
      <c r="DZ335" s="19"/>
      <c r="EA335" s="19"/>
      <c r="EB335" s="19"/>
      <c r="EC335" s="19"/>
      <c r="ED335" s="19"/>
      <c r="EE335" s="19"/>
      <c r="EF335" s="19"/>
      <c r="EG335" s="19"/>
      <c r="EH335" s="19"/>
      <c r="EI335" s="19"/>
      <c r="EJ335" s="19"/>
      <c r="EK335" s="19"/>
      <c r="EL335" s="19"/>
      <c r="EM335" s="19"/>
      <c r="EN335" s="19"/>
      <c r="EO335" s="19"/>
      <c r="EP335" s="19"/>
      <c r="EQ335" s="19"/>
      <c r="ER335" s="19"/>
      <c r="ES335" s="19"/>
      <c r="ET335" s="19"/>
      <c r="EU335" s="19"/>
      <c r="EV335" s="19"/>
      <c r="EW335" s="19"/>
      <c r="EX335" s="19"/>
      <c r="EY335" s="19"/>
      <c r="EZ335" s="19"/>
      <c r="FA335" s="19"/>
      <c r="FB335" s="19"/>
      <c r="FC335" s="19"/>
      <c r="FD335" s="19"/>
      <c r="FE335" s="19"/>
      <c r="FF335" s="19"/>
      <c r="FG335" s="19"/>
      <c r="FH335" s="19"/>
      <c r="FI335" s="19"/>
    </row>
    <row r="336" spans="1:165" x14ac:dyDescent="0.25">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c r="BE336" s="19"/>
      <c r="BF336" s="19"/>
      <c r="BG336" s="19"/>
      <c r="BH336" s="19"/>
      <c r="BI336" s="19"/>
      <c r="BJ336" s="19"/>
      <c r="BK336" s="19"/>
      <c r="BL336" s="19"/>
      <c r="BM336" s="19"/>
      <c r="BN336" s="19"/>
      <c r="BO336" s="19"/>
      <c r="BP336" s="19"/>
      <c r="BQ336" s="19"/>
      <c r="BR336" s="19"/>
      <c r="BS336" s="19"/>
      <c r="BT336" s="19"/>
      <c r="BU336" s="19"/>
      <c r="BV336" s="19"/>
      <c r="BW336" s="19"/>
      <c r="BX336" s="19"/>
      <c r="BY336" s="19"/>
      <c r="BZ336" s="19"/>
      <c r="CA336" s="19"/>
      <c r="CB336" s="19"/>
      <c r="CC336" s="19"/>
      <c r="CD336" s="19"/>
      <c r="CE336" s="19"/>
      <c r="CF336" s="19"/>
      <c r="CG336" s="19"/>
      <c r="CH336" s="19"/>
      <c r="CI336" s="19"/>
      <c r="CJ336" s="19"/>
      <c r="CK336" s="19"/>
      <c r="CL336" s="19"/>
      <c r="CM336" s="19"/>
      <c r="CN336" s="19"/>
      <c r="CO336" s="19"/>
      <c r="CP336" s="19"/>
      <c r="CQ336" s="19"/>
      <c r="CR336" s="19"/>
      <c r="CS336" s="19"/>
      <c r="CT336" s="19"/>
      <c r="CU336" s="19"/>
      <c r="CV336" s="19"/>
      <c r="CW336" s="19"/>
      <c r="CX336" s="19"/>
      <c r="CY336" s="19"/>
      <c r="CZ336" s="19"/>
      <c r="DA336" s="19"/>
      <c r="DB336" s="19"/>
      <c r="DC336" s="19"/>
      <c r="DD336" s="19"/>
      <c r="DE336" s="19"/>
      <c r="DF336" s="19"/>
      <c r="DG336" s="19"/>
      <c r="DH336" s="19"/>
      <c r="DI336" s="19"/>
      <c r="DJ336" s="19"/>
      <c r="DK336" s="19"/>
      <c r="DL336" s="19"/>
      <c r="DM336" s="19"/>
      <c r="DN336" s="19"/>
      <c r="DO336" s="19"/>
      <c r="DP336" s="19"/>
      <c r="DQ336" s="19"/>
      <c r="DR336" s="19"/>
      <c r="DS336" s="19"/>
      <c r="DT336" s="19"/>
      <c r="DU336" s="19"/>
      <c r="DV336" s="19"/>
      <c r="DW336" s="19"/>
      <c r="DX336" s="19"/>
      <c r="DY336" s="19"/>
      <c r="DZ336" s="19"/>
      <c r="EA336" s="19"/>
      <c r="EB336" s="19"/>
      <c r="EC336" s="19"/>
      <c r="ED336" s="19"/>
      <c r="EE336" s="19"/>
      <c r="EF336" s="19"/>
      <c r="EG336" s="19"/>
      <c r="EH336" s="19"/>
      <c r="EI336" s="19"/>
      <c r="EJ336" s="19"/>
      <c r="EK336" s="19"/>
      <c r="EL336" s="19"/>
      <c r="EM336" s="19"/>
      <c r="EN336" s="19"/>
      <c r="EO336" s="19"/>
      <c r="EP336" s="19"/>
      <c r="EQ336" s="19"/>
      <c r="ER336" s="19"/>
      <c r="ES336" s="19"/>
      <c r="ET336" s="19"/>
      <c r="EU336" s="19"/>
      <c r="EV336" s="19"/>
      <c r="EW336" s="19"/>
      <c r="EX336" s="19"/>
      <c r="EY336" s="19"/>
      <c r="EZ336" s="19"/>
      <c r="FA336" s="19"/>
      <c r="FB336" s="19"/>
      <c r="FC336" s="19"/>
      <c r="FD336" s="19"/>
      <c r="FE336" s="19"/>
      <c r="FF336" s="19"/>
      <c r="FG336" s="19"/>
      <c r="FH336" s="19"/>
      <c r="FI336" s="19"/>
    </row>
    <row r="337" spans="1:165" x14ac:dyDescent="0.25">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c r="BE337" s="19"/>
      <c r="BF337" s="19"/>
      <c r="BG337" s="19"/>
      <c r="BH337" s="19"/>
      <c r="BI337" s="19"/>
      <c r="BJ337" s="19"/>
      <c r="BK337" s="19"/>
      <c r="BL337" s="19"/>
      <c r="BM337" s="19"/>
      <c r="BN337" s="19"/>
      <c r="BO337" s="19"/>
      <c r="BP337" s="19"/>
      <c r="BQ337" s="19"/>
      <c r="BR337" s="19"/>
      <c r="BS337" s="19"/>
      <c r="BT337" s="19"/>
      <c r="BU337" s="19"/>
      <c r="BV337" s="19"/>
      <c r="BW337" s="19"/>
      <c r="BX337" s="19"/>
      <c r="BY337" s="19"/>
      <c r="BZ337" s="19"/>
      <c r="CA337" s="19"/>
      <c r="CB337" s="19"/>
      <c r="CC337" s="19"/>
      <c r="CD337" s="19"/>
      <c r="CE337" s="19"/>
      <c r="CF337" s="19"/>
      <c r="CG337" s="19"/>
      <c r="CH337" s="19"/>
      <c r="CI337" s="19"/>
      <c r="CJ337" s="19"/>
      <c r="CK337" s="19"/>
      <c r="CL337" s="19"/>
      <c r="CM337" s="19"/>
      <c r="CN337" s="19"/>
      <c r="CO337" s="19"/>
      <c r="CP337" s="19"/>
      <c r="CQ337" s="19"/>
      <c r="CR337" s="19"/>
      <c r="CS337" s="19"/>
      <c r="CT337" s="19"/>
      <c r="CU337" s="19"/>
      <c r="CV337" s="19"/>
      <c r="CW337" s="19"/>
      <c r="CX337" s="19"/>
      <c r="CY337" s="19"/>
      <c r="CZ337" s="19"/>
      <c r="DA337" s="19"/>
      <c r="DB337" s="19"/>
      <c r="DC337" s="19"/>
      <c r="DD337" s="19"/>
      <c r="DE337" s="19"/>
      <c r="DF337" s="19"/>
      <c r="DG337" s="19"/>
      <c r="DH337" s="19"/>
      <c r="DI337" s="19"/>
      <c r="DJ337" s="19"/>
      <c r="DK337" s="19"/>
      <c r="DL337" s="19"/>
      <c r="DM337" s="19"/>
      <c r="DN337" s="19"/>
      <c r="DO337" s="19"/>
      <c r="DP337" s="19"/>
      <c r="DQ337" s="19"/>
      <c r="DR337" s="19"/>
      <c r="DS337" s="19"/>
      <c r="DT337" s="19"/>
      <c r="DU337" s="19"/>
      <c r="DV337" s="19"/>
      <c r="DW337" s="19"/>
      <c r="DX337" s="19"/>
      <c r="DY337" s="19"/>
      <c r="DZ337" s="19"/>
      <c r="EA337" s="19"/>
      <c r="EB337" s="19"/>
      <c r="EC337" s="19"/>
      <c r="ED337" s="19"/>
      <c r="EE337" s="19"/>
      <c r="EF337" s="19"/>
      <c r="EG337" s="19"/>
      <c r="EH337" s="19"/>
      <c r="EI337" s="19"/>
      <c r="EJ337" s="19"/>
      <c r="EK337" s="19"/>
      <c r="EL337" s="19"/>
      <c r="EM337" s="19"/>
      <c r="EN337" s="19"/>
      <c r="EO337" s="19"/>
      <c r="EP337" s="19"/>
      <c r="EQ337" s="19"/>
      <c r="ER337" s="19"/>
      <c r="ES337" s="19"/>
      <c r="ET337" s="19"/>
      <c r="EU337" s="19"/>
      <c r="EV337" s="19"/>
      <c r="EW337" s="19"/>
      <c r="EX337" s="19"/>
      <c r="EY337" s="19"/>
      <c r="EZ337" s="19"/>
      <c r="FA337" s="19"/>
      <c r="FB337" s="19"/>
      <c r="FC337" s="19"/>
      <c r="FD337" s="19"/>
      <c r="FE337" s="19"/>
      <c r="FF337" s="19"/>
      <c r="FG337" s="19"/>
      <c r="FH337" s="19"/>
      <c r="FI337" s="19"/>
    </row>
    <row r="338" spans="1:165" x14ac:dyDescent="0.25">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c r="BE338" s="19"/>
      <c r="BF338" s="19"/>
      <c r="BG338" s="19"/>
      <c r="BH338" s="19"/>
      <c r="BI338" s="19"/>
      <c r="BJ338" s="19"/>
      <c r="BK338" s="19"/>
      <c r="BL338" s="19"/>
      <c r="BM338" s="19"/>
      <c r="BN338" s="19"/>
      <c r="BO338" s="19"/>
      <c r="BP338" s="19"/>
      <c r="BQ338" s="19"/>
      <c r="BR338" s="19"/>
      <c r="BS338" s="19"/>
      <c r="BT338" s="19"/>
      <c r="BU338" s="19"/>
      <c r="BV338" s="19"/>
      <c r="BW338" s="19"/>
      <c r="BX338" s="19"/>
      <c r="BY338" s="19"/>
      <c r="BZ338" s="19"/>
      <c r="CA338" s="19"/>
      <c r="CB338" s="19"/>
      <c r="CC338" s="19"/>
      <c r="CD338" s="19"/>
      <c r="CE338" s="19"/>
      <c r="CF338" s="19"/>
      <c r="CG338" s="19"/>
      <c r="CH338" s="19"/>
      <c r="CI338" s="19"/>
      <c r="CJ338" s="19"/>
      <c r="CK338" s="19"/>
      <c r="CL338" s="19"/>
      <c r="CM338" s="19"/>
      <c r="CN338" s="19"/>
      <c r="CO338" s="19"/>
      <c r="CP338" s="19"/>
      <c r="CQ338" s="19"/>
      <c r="CR338" s="19"/>
      <c r="CS338" s="19"/>
      <c r="CT338" s="19"/>
      <c r="CU338" s="19"/>
      <c r="CV338" s="19"/>
      <c r="CW338" s="19"/>
      <c r="CX338" s="19"/>
      <c r="CY338" s="19"/>
      <c r="CZ338" s="19"/>
      <c r="DA338" s="19"/>
      <c r="DB338" s="19"/>
      <c r="DC338" s="19"/>
      <c r="DD338" s="19"/>
      <c r="DE338" s="19"/>
      <c r="DF338" s="19"/>
      <c r="DG338" s="19"/>
      <c r="DH338" s="19"/>
      <c r="DI338" s="19"/>
      <c r="DJ338" s="19"/>
      <c r="DK338" s="19"/>
      <c r="DL338" s="19"/>
      <c r="DM338" s="19"/>
      <c r="DN338" s="19"/>
      <c r="DO338" s="19"/>
      <c r="DP338" s="19"/>
      <c r="DQ338" s="19"/>
      <c r="DR338" s="19"/>
      <c r="DS338" s="19"/>
      <c r="DT338" s="19"/>
      <c r="DU338" s="19"/>
      <c r="DV338" s="19"/>
      <c r="DW338" s="19"/>
      <c r="DX338" s="19"/>
      <c r="DY338" s="19"/>
      <c r="DZ338" s="19"/>
      <c r="EA338" s="19"/>
      <c r="EB338" s="19"/>
      <c r="EC338" s="19"/>
      <c r="ED338" s="19"/>
      <c r="EE338" s="19"/>
      <c r="EF338" s="19"/>
      <c r="EG338" s="19"/>
      <c r="EH338" s="19"/>
      <c r="EI338" s="19"/>
      <c r="EJ338" s="19"/>
      <c r="EK338" s="19"/>
      <c r="EL338" s="19"/>
      <c r="EM338" s="19"/>
      <c r="EN338" s="19"/>
      <c r="EO338" s="19"/>
      <c r="EP338" s="19"/>
      <c r="EQ338" s="19"/>
      <c r="ER338" s="19"/>
      <c r="ES338" s="19"/>
      <c r="ET338" s="19"/>
      <c r="EU338" s="19"/>
      <c r="EV338" s="19"/>
      <c r="EW338" s="19"/>
      <c r="EX338" s="19"/>
      <c r="EY338" s="19"/>
      <c r="EZ338" s="19"/>
      <c r="FA338" s="19"/>
      <c r="FB338" s="19"/>
      <c r="FC338" s="19"/>
      <c r="FD338" s="19"/>
      <c r="FE338" s="19"/>
      <c r="FF338" s="19"/>
      <c r="FG338" s="19"/>
      <c r="FH338" s="19"/>
      <c r="FI338" s="19"/>
    </row>
    <row r="339" spans="1:165" x14ac:dyDescent="0.25">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c r="BE339" s="19"/>
      <c r="BF339" s="19"/>
      <c r="BG339" s="19"/>
      <c r="BH339" s="19"/>
      <c r="BI339" s="19"/>
      <c r="BJ339" s="19"/>
      <c r="BK339" s="19"/>
      <c r="BL339" s="19"/>
      <c r="BM339" s="19"/>
      <c r="BN339" s="19"/>
      <c r="BO339" s="19"/>
      <c r="BP339" s="19"/>
      <c r="BQ339" s="19"/>
      <c r="BR339" s="19"/>
      <c r="BS339" s="19"/>
      <c r="BT339" s="19"/>
      <c r="BU339" s="19"/>
      <c r="BV339" s="19"/>
      <c r="BW339" s="19"/>
      <c r="BX339" s="19"/>
      <c r="BY339" s="19"/>
      <c r="BZ339" s="19"/>
      <c r="CA339" s="19"/>
      <c r="CB339" s="19"/>
      <c r="CC339" s="19"/>
      <c r="CD339" s="19"/>
      <c r="CE339" s="19"/>
      <c r="CF339" s="19"/>
      <c r="CG339" s="19"/>
      <c r="CH339" s="19"/>
      <c r="CI339" s="19"/>
      <c r="CJ339" s="19"/>
      <c r="CK339" s="19"/>
      <c r="CL339" s="19"/>
      <c r="CM339" s="19"/>
      <c r="CN339" s="19"/>
      <c r="CO339" s="19"/>
      <c r="CP339" s="19"/>
      <c r="CQ339" s="19"/>
      <c r="CR339" s="19"/>
      <c r="CS339" s="19"/>
      <c r="CT339" s="19"/>
      <c r="CU339" s="19"/>
      <c r="CV339" s="19"/>
      <c r="CW339" s="19"/>
      <c r="CX339" s="19"/>
      <c r="CY339" s="19"/>
      <c r="CZ339" s="19"/>
      <c r="DA339" s="19"/>
      <c r="DB339" s="19"/>
      <c r="DC339" s="19"/>
      <c r="DD339" s="19"/>
      <c r="DE339" s="19"/>
      <c r="DF339" s="19"/>
      <c r="DG339" s="19"/>
      <c r="DH339" s="19"/>
      <c r="DI339" s="19"/>
      <c r="DJ339" s="19"/>
      <c r="DK339" s="19"/>
      <c r="DL339" s="19"/>
      <c r="DM339" s="19"/>
      <c r="DN339" s="19"/>
      <c r="DO339" s="19"/>
      <c r="DP339" s="19"/>
      <c r="DQ339" s="19"/>
      <c r="DR339" s="19"/>
      <c r="DS339" s="19"/>
      <c r="DT339" s="19"/>
      <c r="DU339" s="19"/>
      <c r="DV339" s="19"/>
      <c r="DW339" s="19"/>
      <c r="DX339" s="19"/>
      <c r="DY339" s="19"/>
      <c r="DZ339" s="19"/>
      <c r="EA339" s="19"/>
      <c r="EB339" s="19"/>
      <c r="EC339" s="19"/>
      <c r="ED339" s="19"/>
      <c r="EE339" s="19"/>
      <c r="EF339" s="19"/>
      <c r="EG339" s="19"/>
      <c r="EH339" s="19"/>
      <c r="EI339" s="19"/>
      <c r="EJ339" s="19"/>
      <c r="EK339" s="19"/>
      <c r="EL339" s="19"/>
      <c r="EM339" s="19"/>
      <c r="EN339" s="19"/>
      <c r="EO339" s="19"/>
      <c r="EP339" s="19"/>
      <c r="EQ339" s="19"/>
      <c r="ER339" s="19"/>
      <c r="ES339" s="19"/>
      <c r="ET339" s="19"/>
      <c r="EU339" s="19"/>
      <c r="EV339" s="19"/>
      <c r="EW339" s="19"/>
      <c r="EX339" s="19"/>
      <c r="EY339" s="19"/>
      <c r="EZ339" s="19"/>
      <c r="FA339" s="19"/>
      <c r="FB339" s="19"/>
      <c r="FC339" s="19"/>
      <c r="FD339" s="19"/>
      <c r="FE339" s="19"/>
      <c r="FF339" s="19"/>
      <c r="FG339" s="19"/>
      <c r="FH339" s="19"/>
      <c r="FI339" s="19"/>
    </row>
    <row r="340" spans="1:165" x14ac:dyDescent="0.25">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c r="BE340" s="19"/>
      <c r="BF340" s="19"/>
      <c r="BG340" s="19"/>
      <c r="BH340" s="19"/>
      <c r="BI340" s="19"/>
      <c r="BJ340" s="19"/>
      <c r="BK340" s="19"/>
      <c r="BL340" s="19"/>
      <c r="BM340" s="19"/>
      <c r="BN340" s="19"/>
      <c r="BO340" s="19"/>
      <c r="BP340" s="19"/>
      <c r="BQ340" s="19"/>
      <c r="BR340" s="19"/>
      <c r="BS340" s="19"/>
      <c r="BT340" s="19"/>
      <c r="BU340" s="19"/>
      <c r="BV340" s="19"/>
      <c r="BW340" s="19"/>
      <c r="BX340" s="19"/>
      <c r="BY340" s="19"/>
      <c r="BZ340" s="19"/>
      <c r="CA340" s="19"/>
      <c r="CB340" s="19"/>
      <c r="CC340" s="19"/>
      <c r="CD340" s="19"/>
      <c r="CE340" s="19"/>
      <c r="CF340" s="19"/>
      <c r="CG340" s="19"/>
      <c r="CH340" s="19"/>
      <c r="CI340" s="19"/>
      <c r="CJ340" s="19"/>
      <c r="CK340" s="19"/>
      <c r="CL340" s="19"/>
      <c r="CM340" s="19"/>
      <c r="CN340" s="19"/>
      <c r="CO340" s="19"/>
      <c r="CP340" s="19"/>
      <c r="CQ340" s="19"/>
      <c r="CR340" s="19"/>
      <c r="CS340" s="19"/>
      <c r="CT340" s="19"/>
      <c r="CU340" s="19"/>
      <c r="CV340" s="19"/>
      <c r="CW340" s="19"/>
      <c r="CX340" s="19"/>
      <c r="CY340" s="19"/>
      <c r="CZ340" s="19"/>
      <c r="DA340" s="19"/>
      <c r="DB340" s="19"/>
      <c r="DC340" s="19"/>
      <c r="DD340" s="19"/>
      <c r="DE340" s="19"/>
      <c r="DF340" s="19"/>
      <c r="DG340" s="19"/>
      <c r="DH340" s="19"/>
      <c r="DI340" s="19"/>
      <c r="DJ340" s="19"/>
      <c r="DK340" s="19"/>
      <c r="DL340" s="19"/>
      <c r="DM340" s="19"/>
      <c r="DN340" s="19"/>
      <c r="DO340" s="19"/>
      <c r="DP340" s="19"/>
      <c r="DQ340" s="19"/>
      <c r="DR340" s="19"/>
      <c r="DS340" s="19"/>
      <c r="DT340" s="19"/>
      <c r="DU340" s="19"/>
      <c r="DV340" s="19"/>
      <c r="DW340" s="19"/>
      <c r="DX340" s="19"/>
      <c r="DY340" s="19"/>
      <c r="DZ340" s="19"/>
      <c r="EA340" s="19"/>
      <c r="EB340" s="19"/>
      <c r="EC340" s="19"/>
      <c r="ED340" s="19"/>
      <c r="EE340" s="19"/>
      <c r="EF340" s="19"/>
      <c r="EG340" s="19"/>
      <c r="EH340" s="19"/>
      <c r="EI340" s="19"/>
      <c r="EJ340" s="19"/>
      <c r="EK340" s="19"/>
      <c r="EL340" s="19"/>
      <c r="EM340" s="19"/>
      <c r="EN340" s="19"/>
      <c r="EO340" s="19"/>
      <c r="EP340" s="19"/>
      <c r="EQ340" s="19"/>
      <c r="ER340" s="19"/>
      <c r="ES340" s="19"/>
      <c r="ET340" s="19"/>
      <c r="EU340" s="19"/>
      <c r="EV340" s="19"/>
      <c r="EW340" s="19"/>
      <c r="EX340" s="19"/>
      <c r="EY340" s="19"/>
      <c r="EZ340" s="19"/>
      <c r="FA340" s="19"/>
      <c r="FB340" s="19"/>
      <c r="FC340" s="19"/>
      <c r="FD340" s="19"/>
      <c r="FE340" s="19"/>
      <c r="FF340" s="19"/>
      <c r="FG340" s="19"/>
      <c r="FH340" s="19"/>
      <c r="FI340" s="19"/>
    </row>
    <row r="341" spans="1:165" x14ac:dyDescent="0.25">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c r="BE341" s="19"/>
      <c r="BF341" s="19"/>
      <c r="BG341" s="19"/>
      <c r="BH341" s="19"/>
      <c r="BI341" s="19"/>
      <c r="BJ341" s="19"/>
      <c r="BK341" s="19"/>
      <c r="BL341" s="19"/>
      <c r="BM341" s="19"/>
      <c r="BN341" s="19"/>
      <c r="BO341" s="19"/>
      <c r="BP341" s="19"/>
      <c r="BQ341" s="19"/>
      <c r="BR341" s="19"/>
      <c r="BS341" s="19"/>
      <c r="BT341" s="19"/>
      <c r="BU341" s="19"/>
      <c r="BV341" s="19"/>
      <c r="BW341" s="19"/>
      <c r="BX341" s="19"/>
      <c r="BY341" s="19"/>
      <c r="BZ341" s="19"/>
      <c r="CA341" s="19"/>
      <c r="CB341" s="19"/>
      <c r="CC341" s="19"/>
      <c r="CD341" s="19"/>
      <c r="CE341" s="19"/>
      <c r="CF341" s="19"/>
      <c r="CG341" s="19"/>
      <c r="CH341" s="19"/>
      <c r="CI341" s="19"/>
      <c r="CJ341" s="19"/>
      <c r="CK341" s="19"/>
      <c r="CL341" s="19"/>
      <c r="CM341" s="19"/>
      <c r="CN341" s="19"/>
      <c r="CO341" s="19"/>
      <c r="CP341" s="19"/>
      <c r="CQ341" s="19"/>
      <c r="CR341" s="19"/>
      <c r="CS341" s="19"/>
      <c r="CT341" s="19"/>
      <c r="CU341" s="19"/>
      <c r="CV341" s="19"/>
      <c r="CW341" s="19"/>
      <c r="CX341" s="19"/>
      <c r="CY341" s="19"/>
      <c r="CZ341" s="19"/>
      <c r="DA341" s="19"/>
      <c r="DB341" s="19"/>
      <c r="DC341" s="19"/>
      <c r="DD341" s="19"/>
      <c r="DE341" s="19"/>
      <c r="DF341" s="19"/>
      <c r="DG341" s="19"/>
      <c r="DH341" s="19"/>
      <c r="DI341" s="19"/>
      <c r="DJ341" s="19"/>
      <c r="DK341" s="19"/>
      <c r="DL341" s="19"/>
      <c r="DM341" s="19"/>
      <c r="DN341" s="19"/>
      <c r="DO341" s="19"/>
      <c r="DP341" s="19"/>
      <c r="DQ341" s="19"/>
      <c r="DR341" s="19"/>
      <c r="DS341" s="19"/>
      <c r="DT341" s="19"/>
      <c r="DU341" s="19"/>
      <c r="DV341" s="19"/>
      <c r="DW341" s="19"/>
      <c r="DX341" s="19"/>
      <c r="DY341" s="19"/>
      <c r="DZ341" s="19"/>
      <c r="EA341" s="19"/>
      <c r="EB341" s="19"/>
      <c r="EC341" s="19"/>
      <c r="ED341" s="19"/>
      <c r="EE341" s="19"/>
      <c r="EF341" s="19"/>
      <c r="EG341" s="19"/>
      <c r="EH341" s="19"/>
      <c r="EI341" s="19"/>
      <c r="EJ341" s="19"/>
      <c r="EK341" s="19"/>
      <c r="EL341" s="19"/>
      <c r="EM341" s="19"/>
      <c r="EN341" s="19"/>
      <c r="EO341" s="19"/>
      <c r="EP341" s="19"/>
      <c r="EQ341" s="19"/>
      <c r="ER341" s="19"/>
      <c r="ES341" s="19"/>
      <c r="ET341" s="19"/>
      <c r="EU341" s="19"/>
      <c r="EV341" s="19"/>
      <c r="EW341" s="19"/>
      <c r="EX341" s="19"/>
      <c r="EY341" s="19"/>
      <c r="EZ341" s="19"/>
      <c r="FA341" s="19"/>
      <c r="FB341" s="19"/>
      <c r="FC341" s="19"/>
      <c r="FD341" s="19"/>
      <c r="FE341" s="19"/>
      <c r="FF341" s="19"/>
      <c r="FG341" s="19"/>
      <c r="FH341" s="19"/>
      <c r="FI341" s="19"/>
    </row>
    <row r="342" spans="1:165" x14ac:dyDescent="0.25">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c r="BE342" s="19"/>
      <c r="BF342" s="19"/>
      <c r="BG342" s="19"/>
      <c r="BH342" s="19"/>
      <c r="BI342" s="19"/>
      <c r="BJ342" s="19"/>
      <c r="BK342" s="19"/>
      <c r="BL342" s="19"/>
      <c r="BM342" s="19"/>
      <c r="BN342" s="19"/>
      <c r="BO342" s="19"/>
      <c r="BP342" s="19"/>
      <c r="BQ342" s="19"/>
      <c r="BR342" s="19"/>
      <c r="BS342" s="19"/>
      <c r="BT342" s="19"/>
      <c r="BU342" s="19"/>
      <c r="BV342" s="19"/>
      <c r="BW342" s="19"/>
      <c r="BX342" s="19"/>
      <c r="BY342" s="19"/>
      <c r="BZ342" s="19"/>
      <c r="CA342" s="19"/>
      <c r="CB342" s="19"/>
      <c r="CC342" s="19"/>
      <c r="CD342" s="19"/>
      <c r="CE342" s="19"/>
      <c r="CF342" s="19"/>
      <c r="CG342" s="19"/>
      <c r="CH342" s="19"/>
      <c r="CI342" s="19"/>
      <c r="CJ342" s="19"/>
      <c r="CK342" s="19"/>
      <c r="CL342" s="19"/>
      <c r="CM342" s="19"/>
      <c r="CN342" s="19"/>
      <c r="CO342" s="19"/>
      <c r="CP342" s="19"/>
      <c r="CQ342" s="19"/>
      <c r="CR342" s="19"/>
      <c r="CS342" s="19"/>
      <c r="CT342" s="19"/>
      <c r="CU342" s="19"/>
      <c r="CV342" s="19"/>
      <c r="CW342" s="19"/>
      <c r="CX342" s="19"/>
      <c r="CY342" s="19"/>
      <c r="CZ342" s="19"/>
      <c r="DA342" s="19"/>
      <c r="DB342" s="19"/>
      <c r="DC342" s="19"/>
      <c r="DD342" s="19"/>
      <c r="DE342" s="19"/>
      <c r="DF342" s="19"/>
      <c r="DG342" s="19"/>
      <c r="DH342" s="19"/>
      <c r="DI342" s="19"/>
      <c r="DJ342" s="19"/>
      <c r="DK342" s="19"/>
      <c r="DL342" s="19"/>
      <c r="DM342" s="19"/>
      <c r="DN342" s="19"/>
      <c r="DO342" s="19"/>
      <c r="DP342" s="19"/>
      <c r="DQ342" s="19"/>
      <c r="DR342" s="19"/>
      <c r="DS342" s="19"/>
      <c r="DT342" s="19"/>
      <c r="DU342" s="19"/>
      <c r="DV342" s="19"/>
      <c r="DW342" s="19"/>
      <c r="DX342" s="19"/>
      <c r="DY342" s="19"/>
      <c r="DZ342" s="19"/>
      <c r="EA342" s="19"/>
      <c r="EB342" s="19"/>
      <c r="EC342" s="19"/>
      <c r="ED342" s="19"/>
      <c r="EE342" s="19"/>
      <c r="EF342" s="19"/>
      <c r="EG342" s="19"/>
      <c r="EH342" s="19"/>
      <c r="EI342" s="19"/>
      <c r="EJ342" s="19"/>
      <c r="EK342" s="19"/>
      <c r="EL342" s="19"/>
      <c r="EM342" s="19"/>
      <c r="EN342" s="19"/>
      <c r="EO342" s="19"/>
      <c r="EP342" s="19"/>
      <c r="EQ342" s="19"/>
      <c r="ER342" s="19"/>
      <c r="ES342" s="19"/>
      <c r="ET342" s="19"/>
      <c r="EU342" s="19"/>
      <c r="EV342" s="19"/>
      <c r="EW342" s="19"/>
      <c r="EX342" s="19"/>
      <c r="EY342" s="19"/>
      <c r="EZ342" s="19"/>
      <c r="FA342" s="19"/>
      <c r="FB342" s="19"/>
      <c r="FC342" s="19"/>
      <c r="FD342" s="19"/>
      <c r="FE342" s="19"/>
      <c r="FF342" s="19"/>
      <c r="FG342" s="19"/>
      <c r="FH342" s="19"/>
      <c r="FI342" s="19"/>
    </row>
    <row r="343" spans="1:165" x14ac:dyDescent="0.25">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c r="BE343" s="19"/>
      <c r="BF343" s="19"/>
      <c r="BG343" s="19"/>
      <c r="BH343" s="19"/>
      <c r="BI343" s="19"/>
      <c r="BJ343" s="19"/>
      <c r="BK343" s="19"/>
      <c r="BL343" s="19"/>
      <c r="BM343" s="19"/>
      <c r="BN343" s="19"/>
      <c r="BO343" s="19"/>
      <c r="BP343" s="19"/>
      <c r="BQ343" s="19"/>
      <c r="BR343" s="19"/>
      <c r="BS343" s="19"/>
      <c r="BT343" s="19"/>
      <c r="BU343" s="19"/>
      <c r="BV343" s="19"/>
      <c r="BW343" s="19"/>
      <c r="BX343" s="19"/>
      <c r="BY343" s="19"/>
      <c r="BZ343" s="19"/>
      <c r="CA343" s="19"/>
      <c r="CB343" s="19"/>
      <c r="CC343" s="19"/>
      <c r="CD343" s="19"/>
      <c r="CE343" s="19"/>
      <c r="CF343" s="19"/>
      <c r="CG343" s="19"/>
      <c r="CH343" s="19"/>
      <c r="CI343" s="19"/>
      <c r="CJ343" s="19"/>
      <c r="CK343" s="19"/>
      <c r="CL343" s="19"/>
      <c r="CM343" s="19"/>
      <c r="CN343" s="19"/>
      <c r="CO343" s="19"/>
      <c r="CP343" s="19"/>
      <c r="CQ343" s="19"/>
      <c r="CR343" s="19"/>
      <c r="CS343" s="19"/>
      <c r="CT343" s="19"/>
      <c r="CU343" s="19"/>
      <c r="CV343" s="19"/>
      <c r="CW343" s="19"/>
      <c r="CX343" s="19"/>
      <c r="CY343" s="19"/>
      <c r="CZ343" s="19"/>
      <c r="DA343" s="19"/>
      <c r="DB343" s="19"/>
      <c r="DC343" s="19"/>
      <c r="DD343" s="19"/>
      <c r="DE343" s="19"/>
      <c r="DF343" s="19"/>
      <c r="DG343" s="19"/>
      <c r="DH343" s="19"/>
      <c r="DI343" s="19"/>
      <c r="DJ343" s="19"/>
      <c r="DK343" s="19"/>
      <c r="DL343" s="19"/>
      <c r="DM343" s="19"/>
      <c r="DN343" s="19"/>
      <c r="DO343" s="19"/>
      <c r="DP343" s="19"/>
      <c r="DQ343" s="19"/>
      <c r="DR343" s="19"/>
      <c r="DS343" s="19"/>
      <c r="DT343" s="19"/>
      <c r="DU343" s="19"/>
      <c r="DV343" s="19"/>
      <c r="DW343" s="19"/>
      <c r="DX343" s="19"/>
      <c r="DY343" s="19"/>
      <c r="DZ343" s="19"/>
      <c r="EA343" s="19"/>
      <c r="EB343" s="19"/>
      <c r="EC343" s="19"/>
      <c r="ED343" s="19"/>
      <c r="EE343" s="19"/>
      <c r="EF343" s="19"/>
      <c r="EG343" s="19"/>
      <c r="EH343" s="19"/>
      <c r="EI343" s="19"/>
      <c r="EJ343" s="19"/>
      <c r="EK343" s="19"/>
      <c r="EL343" s="19"/>
      <c r="EM343" s="19"/>
      <c r="EN343" s="19"/>
      <c r="EO343" s="19"/>
      <c r="EP343" s="19"/>
      <c r="EQ343" s="19"/>
      <c r="ER343" s="19"/>
      <c r="ES343" s="19"/>
      <c r="ET343" s="19"/>
      <c r="EU343" s="19"/>
      <c r="EV343" s="19"/>
      <c r="EW343" s="19"/>
      <c r="EX343" s="19"/>
      <c r="EY343" s="19"/>
      <c r="EZ343" s="19"/>
      <c r="FA343" s="19"/>
      <c r="FB343" s="19"/>
      <c r="FC343" s="19"/>
      <c r="FD343" s="19"/>
      <c r="FE343" s="19"/>
      <c r="FF343" s="19"/>
      <c r="FG343" s="19"/>
      <c r="FH343" s="19"/>
      <c r="FI343" s="19"/>
    </row>
    <row r="344" spans="1:165" x14ac:dyDescent="0.25">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c r="BE344" s="19"/>
      <c r="BF344" s="19"/>
      <c r="BG344" s="19"/>
      <c r="BH344" s="19"/>
      <c r="BI344" s="19"/>
      <c r="BJ344" s="19"/>
      <c r="BK344" s="19"/>
      <c r="BL344" s="19"/>
      <c r="BM344" s="19"/>
      <c r="BN344" s="19"/>
      <c r="BO344" s="19"/>
      <c r="BP344" s="19"/>
      <c r="BQ344" s="19"/>
      <c r="BR344" s="19"/>
      <c r="BS344" s="19"/>
      <c r="BT344" s="19"/>
      <c r="BU344" s="19"/>
      <c r="BV344" s="19"/>
      <c r="BW344" s="19"/>
      <c r="BX344" s="19"/>
      <c r="BY344" s="19"/>
      <c r="BZ344" s="19"/>
      <c r="CA344" s="19"/>
      <c r="CB344" s="19"/>
      <c r="CC344" s="19"/>
      <c r="CD344" s="19"/>
      <c r="CE344" s="19"/>
      <c r="CF344" s="19"/>
      <c r="CG344" s="19"/>
      <c r="CH344" s="19"/>
      <c r="CI344" s="19"/>
      <c r="CJ344" s="19"/>
      <c r="CK344" s="19"/>
      <c r="CL344" s="19"/>
      <c r="CM344" s="19"/>
      <c r="CN344" s="19"/>
      <c r="CO344" s="19"/>
      <c r="CP344" s="19"/>
      <c r="CQ344" s="19"/>
      <c r="CR344" s="19"/>
      <c r="CS344" s="19"/>
      <c r="CT344" s="19"/>
      <c r="CU344" s="19"/>
      <c r="CV344" s="19"/>
      <c r="CW344" s="19"/>
      <c r="CX344" s="19"/>
      <c r="CY344" s="19"/>
      <c r="CZ344" s="19"/>
      <c r="DA344" s="19"/>
      <c r="DB344" s="19"/>
      <c r="DC344" s="19"/>
      <c r="DD344" s="19"/>
      <c r="DE344" s="19"/>
      <c r="DF344" s="19"/>
      <c r="DG344" s="19"/>
      <c r="DH344" s="19"/>
      <c r="DI344" s="19"/>
      <c r="DJ344" s="19"/>
      <c r="DK344" s="19"/>
      <c r="DL344" s="19"/>
      <c r="DM344" s="19"/>
      <c r="DN344" s="19"/>
      <c r="DO344" s="19"/>
      <c r="DP344" s="19"/>
      <c r="DQ344" s="19"/>
      <c r="DR344" s="19"/>
      <c r="DS344" s="19"/>
      <c r="DT344" s="19"/>
      <c r="DU344" s="19"/>
      <c r="DV344" s="19"/>
      <c r="DW344" s="19"/>
      <c r="DX344" s="19"/>
      <c r="DY344" s="19"/>
      <c r="DZ344" s="19"/>
      <c r="EA344" s="19"/>
      <c r="EB344" s="19"/>
      <c r="EC344" s="19"/>
      <c r="ED344" s="19"/>
      <c r="EE344" s="19"/>
      <c r="EF344" s="19"/>
      <c r="EG344" s="19"/>
      <c r="EH344" s="19"/>
      <c r="EI344" s="19"/>
      <c r="EJ344" s="19"/>
      <c r="EK344" s="19"/>
      <c r="EL344" s="19"/>
      <c r="EM344" s="19"/>
      <c r="EN344" s="19"/>
      <c r="EO344" s="19"/>
      <c r="EP344" s="19"/>
      <c r="EQ344" s="19"/>
      <c r="ER344" s="19"/>
      <c r="ES344" s="19"/>
      <c r="ET344" s="19"/>
      <c r="EU344" s="19"/>
      <c r="EV344" s="19"/>
      <c r="EW344" s="19"/>
      <c r="EX344" s="19"/>
      <c r="EY344" s="19"/>
      <c r="EZ344" s="19"/>
      <c r="FA344" s="19"/>
      <c r="FB344" s="19"/>
      <c r="FC344" s="19"/>
      <c r="FD344" s="19"/>
      <c r="FE344" s="19"/>
      <c r="FF344" s="19"/>
      <c r="FG344" s="19"/>
      <c r="FH344" s="19"/>
      <c r="FI344" s="19"/>
    </row>
    <row r="345" spans="1:165" x14ac:dyDescent="0.25">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c r="BE345" s="19"/>
      <c r="BF345" s="19"/>
      <c r="BG345" s="19"/>
      <c r="BH345" s="19"/>
      <c r="BI345" s="19"/>
      <c r="BJ345" s="19"/>
      <c r="BK345" s="19"/>
      <c r="BL345" s="19"/>
      <c r="BM345" s="19"/>
      <c r="BN345" s="19"/>
      <c r="BO345" s="19"/>
      <c r="BP345" s="19"/>
      <c r="BQ345" s="19"/>
      <c r="BR345" s="19"/>
      <c r="BS345" s="19"/>
      <c r="BT345" s="19"/>
      <c r="BU345" s="19"/>
      <c r="BV345" s="19"/>
      <c r="BW345" s="19"/>
      <c r="BX345" s="19"/>
      <c r="BY345" s="19"/>
      <c r="BZ345" s="19"/>
      <c r="CA345" s="19"/>
      <c r="CB345" s="19"/>
      <c r="CC345" s="19"/>
      <c r="CD345" s="19"/>
      <c r="CE345" s="19"/>
      <c r="CF345" s="19"/>
      <c r="CG345" s="19"/>
      <c r="CH345" s="19"/>
      <c r="CI345" s="19"/>
      <c r="CJ345" s="19"/>
      <c r="CK345" s="19"/>
      <c r="CL345" s="19"/>
      <c r="CM345" s="19"/>
      <c r="CN345" s="19"/>
      <c r="CO345" s="19"/>
      <c r="CP345" s="19"/>
      <c r="CQ345" s="19"/>
      <c r="CR345" s="19"/>
      <c r="CS345" s="19"/>
      <c r="CT345" s="19"/>
      <c r="CU345" s="19"/>
      <c r="CV345" s="19"/>
      <c r="CW345" s="19"/>
      <c r="CX345" s="19"/>
      <c r="CY345" s="19"/>
      <c r="CZ345" s="19"/>
      <c r="DA345" s="19"/>
      <c r="DB345" s="19"/>
      <c r="DC345" s="19"/>
      <c r="DD345" s="19"/>
      <c r="DE345" s="19"/>
      <c r="DF345" s="19"/>
      <c r="DG345" s="19"/>
      <c r="DH345" s="19"/>
      <c r="DI345" s="19"/>
      <c r="DJ345" s="19"/>
      <c r="DK345" s="19"/>
      <c r="DL345" s="19"/>
      <c r="DM345" s="19"/>
      <c r="DN345" s="19"/>
      <c r="DO345" s="19"/>
      <c r="DP345" s="19"/>
      <c r="DQ345" s="19"/>
      <c r="DR345" s="19"/>
      <c r="DS345" s="19"/>
      <c r="DT345" s="19"/>
      <c r="DU345" s="19"/>
      <c r="DV345" s="19"/>
      <c r="DW345" s="19"/>
      <c r="DX345" s="19"/>
      <c r="DY345" s="19"/>
      <c r="DZ345" s="19"/>
      <c r="EA345" s="19"/>
      <c r="EB345" s="19"/>
      <c r="EC345" s="19"/>
      <c r="ED345" s="19"/>
      <c r="EE345" s="19"/>
      <c r="EF345" s="19"/>
      <c r="EG345" s="19"/>
      <c r="EH345" s="19"/>
      <c r="EI345" s="19"/>
      <c r="EJ345" s="19"/>
      <c r="EK345" s="19"/>
      <c r="EL345" s="19"/>
      <c r="EM345" s="19"/>
      <c r="EN345" s="19"/>
      <c r="EO345" s="19"/>
      <c r="EP345" s="19"/>
      <c r="EQ345" s="19"/>
      <c r="ER345" s="19"/>
      <c r="ES345" s="19"/>
      <c r="ET345" s="19"/>
      <c r="EU345" s="19"/>
      <c r="EV345" s="19"/>
      <c r="EW345" s="19"/>
      <c r="EX345" s="19"/>
      <c r="EY345" s="19"/>
      <c r="EZ345" s="19"/>
      <c r="FA345" s="19"/>
      <c r="FB345" s="19"/>
      <c r="FC345" s="19"/>
      <c r="FD345" s="19"/>
      <c r="FE345" s="19"/>
      <c r="FF345" s="19"/>
      <c r="FG345" s="19"/>
      <c r="FH345" s="19"/>
      <c r="FI345" s="19"/>
    </row>
    <row r="346" spans="1:165" x14ac:dyDescent="0.25">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c r="BE346" s="19"/>
      <c r="BF346" s="19"/>
      <c r="BG346" s="19"/>
      <c r="BH346" s="19"/>
      <c r="BI346" s="19"/>
      <c r="BJ346" s="19"/>
      <c r="BK346" s="19"/>
      <c r="BL346" s="19"/>
      <c r="BM346" s="19"/>
      <c r="BN346" s="19"/>
      <c r="BO346" s="19"/>
      <c r="BP346" s="19"/>
      <c r="BQ346" s="19"/>
      <c r="BR346" s="19"/>
      <c r="BS346" s="19"/>
      <c r="BT346" s="19"/>
      <c r="BU346" s="19"/>
      <c r="BV346" s="19"/>
      <c r="BW346" s="19"/>
      <c r="BX346" s="19"/>
      <c r="BY346" s="19"/>
      <c r="BZ346" s="19"/>
      <c r="CA346" s="19"/>
      <c r="CB346" s="19"/>
      <c r="CC346" s="19"/>
      <c r="CD346" s="19"/>
      <c r="CE346" s="19"/>
      <c r="CF346" s="19"/>
      <c r="CG346" s="19"/>
      <c r="CH346" s="19"/>
      <c r="CI346" s="19"/>
      <c r="CJ346" s="19"/>
      <c r="CK346" s="19"/>
      <c r="CL346" s="19"/>
      <c r="CM346" s="19"/>
      <c r="CN346" s="19"/>
      <c r="CO346" s="19"/>
      <c r="CP346" s="19"/>
      <c r="CQ346" s="19"/>
      <c r="CR346" s="19"/>
      <c r="CS346" s="19"/>
      <c r="CT346" s="19"/>
      <c r="CU346" s="19"/>
      <c r="CV346" s="19"/>
      <c r="CW346" s="19"/>
      <c r="CX346" s="19"/>
      <c r="CY346" s="19"/>
      <c r="CZ346" s="19"/>
      <c r="DA346" s="19"/>
      <c r="DB346" s="19"/>
      <c r="DC346" s="19"/>
      <c r="DD346" s="19"/>
      <c r="DE346" s="19"/>
      <c r="DF346" s="19"/>
      <c r="DG346" s="19"/>
      <c r="DH346" s="19"/>
      <c r="DI346" s="19"/>
      <c r="DJ346" s="19"/>
      <c r="DK346" s="19"/>
      <c r="DL346" s="19"/>
      <c r="DM346" s="19"/>
      <c r="DN346" s="19"/>
      <c r="DO346" s="19"/>
      <c r="DP346" s="19"/>
      <c r="DQ346" s="19"/>
      <c r="DR346" s="19"/>
      <c r="DS346" s="19"/>
      <c r="DT346" s="19"/>
      <c r="DU346" s="19"/>
      <c r="DV346" s="19"/>
      <c r="DW346" s="19"/>
      <c r="DX346" s="19"/>
      <c r="DY346" s="19"/>
      <c r="DZ346" s="19"/>
      <c r="EA346" s="19"/>
      <c r="EB346" s="19"/>
      <c r="EC346" s="19"/>
      <c r="ED346" s="19"/>
      <c r="EE346" s="19"/>
      <c r="EF346" s="19"/>
      <c r="EG346" s="19"/>
      <c r="EH346" s="19"/>
      <c r="EI346" s="19"/>
      <c r="EJ346" s="19"/>
      <c r="EK346" s="19"/>
      <c r="EL346" s="19"/>
      <c r="EM346" s="19"/>
      <c r="EN346" s="19"/>
      <c r="EO346" s="19"/>
      <c r="EP346" s="19"/>
      <c r="EQ346" s="19"/>
      <c r="ER346" s="19"/>
      <c r="ES346" s="19"/>
      <c r="ET346" s="19"/>
      <c r="EU346" s="19"/>
      <c r="EV346" s="19"/>
      <c r="EW346" s="19"/>
      <c r="EX346" s="19"/>
      <c r="EY346" s="19"/>
      <c r="EZ346" s="19"/>
      <c r="FA346" s="19"/>
      <c r="FB346" s="19"/>
      <c r="FC346" s="19"/>
      <c r="FD346" s="19"/>
      <c r="FE346" s="19"/>
      <c r="FF346" s="19"/>
      <c r="FG346" s="19"/>
      <c r="FH346" s="19"/>
      <c r="FI346" s="19"/>
    </row>
    <row r="347" spans="1:165" x14ac:dyDescent="0.25">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c r="BE347" s="19"/>
      <c r="BF347" s="19"/>
      <c r="BG347" s="19"/>
      <c r="BH347" s="19"/>
      <c r="BI347" s="19"/>
      <c r="BJ347" s="19"/>
      <c r="BK347" s="19"/>
      <c r="BL347" s="19"/>
      <c r="BM347" s="19"/>
      <c r="BN347" s="19"/>
      <c r="BO347" s="19"/>
      <c r="BP347" s="19"/>
      <c r="BQ347" s="19"/>
      <c r="BR347" s="19"/>
      <c r="BS347" s="19"/>
      <c r="BT347" s="19"/>
      <c r="BU347" s="19"/>
      <c r="BV347" s="19"/>
      <c r="BW347" s="19"/>
      <c r="BX347" s="19"/>
      <c r="BY347" s="19"/>
      <c r="BZ347" s="19"/>
      <c r="CA347" s="19"/>
      <c r="CB347" s="19"/>
      <c r="CC347" s="19"/>
      <c r="CD347" s="19"/>
      <c r="CE347" s="19"/>
      <c r="CF347" s="19"/>
      <c r="CG347" s="19"/>
      <c r="CH347" s="19"/>
      <c r="CI347" s="19"/>
      <c r="CJ347" s="19"/>
      <c r="CK347" s="19"/>
      <c r="CL347" s="19"/>
      <c r="CM347" s="19"/>
      <c r="CN347" s="19"/>
      <c r="CO347" s="19"/>
      <c r="CP347" s="19"/>
      <c r="CQ347" s="19"/>
      <c r="CR347" s="19"/>
      <c r="CS347" s="19"/>
      <c r="CT347" s="19"/>
      <c r="CU347" s="19"/>
      <c r="CV347" s="19"/>
      <c r="CW347" s="19"/>
      <c r="CX347" s="19"/>
      <c r="CY347" s="19"/>
      <c r="CZ347" s="19"/>
      <c r="DA347" s="19"/>
      <c r="DB347" s="19"/>
      <c r="DC347" s="19"/>
      <c r="DD347" s="19"/>
      <c r="DE347" s="19"/>
      <c r="DF347" s="19"/>
      <c r="DG347" s="19"/>
      <c r="DH347" s="19"/>
      <c r="DI347" s="19"/>
      <c r="DJ347" s="19"/>
      <c r="DK347" s="19"/>
      <c r="DL347" s="19"/>
      <c r="DM347" s="19"/>
      <c r="DN347" s="19"/>
      <c r="DO347" s="19"/>
      <c r="DP347" s="19"/>
      <c r="DQ347" s="19"/>
      <c r="DR347" s="19"/>
      <c r="DS347" s="19"/>
      <c r="DT347" s="19"/>
      <c r="DU347" s="19"/>
      <c r="DV347" s="19"/>
      <c r="DW347" s="19"/>
      <c r="DX347" s="19"/>
      <c r="DY347" s="19"/>
      <c r="DZ347" s="19"/>
      <c r="EA347" s="19"/>
      <c r="EB347" s="19"/>
      <c r="EC347" s="19"/>
      <c r="ED347" s="19"/>
      <c r="EE347" s="19"/>
      <c r="EF347" s="19"/>
      <c r="EG347" s="19"/>
      <c r="EH347" s="19"/>
      <c r="EI347" s="19"/>
      <c r="EJ347" s="19"/>
      <c r="EK347" s="19"/>
      <c r="EL347" s="19"/>
      <c r="EM347" s="19"/>
      <c r="EN347" s="19"/>
      <c r="EO347" s="19"/>
      <c r="EP347" s="19"/>
      <c r="EQ347" s="19"/>
      <c r="ER347" s="19"/>
      <c r="ES347" s="19"/>
      <c r="ET347" s="19"/>
      <c r="EU347" s="19"/>
      <c r="EV347" s="19"/>
      <c r="EW347" s="19"/>
      <c r="EX347" s="19"/>
      <c r="EY347" s="19"/>
      <c r="EZ347" s="19"/>
      <c r="FA347" s="19"/>
      <c r="FB347" s="19"/>
      <c r="FC347" s="19"/>
      <c r="FD347" s="19"/>
      <c r="FE347" s="19"/>
      <c r="FF347" s="19"/>
      <c r="FG347" s="19"/>
      <c r="FH347" s="19"/>
      <c r="FI347" s="19"/>
    </row>
    <row r="348" spans="1:165" x14ac:dyDescent="0.25">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c r="BE348" s="19"/>
      <c r="BF348" s="19"/>
      <c r="BG348" s="19"/>
      <c r="BH348" s="19"/>
      <c r="BI348" s="19"/>
      <c r="BJ348" s="19"/>
      <c r="BK348" s="19"/>
      <c r="BL348" s="19"/>
      <c r="BM348" s="19"/>
      <c r="BN348" s="19"/>
      <c r="BO348" s="19"/>
      <c r="BP348" s="19"/>
      <c r="BQ348" s="19"/>
      <c r="BR348" s="19"/>
      <c r="BS348" s="19"/>
      <c r="BT348" s="19"/>
      <c r="BU348" s="19"/>
      <c r="BV348" s="19"/>
      <c r="BW348" s="19"/>
      <c r="BX348" s="19"/>
      <c r="BY348" s="19"/>
      <c r="BZ348" s="19"/>
      <c r="CA348" s="19"/>
      <c r="CB348" s="19"/>
      <c r="CC348" s="19"/>
      <c r="CD348" s="19"/>
      <c r="CE348" s="19"/>
      <c r="CF348" s="19"/>
      <c r="CG348" s="19"/>
      <c r="CH348" s="19"/>
      <c r="CI348" s="19"/>
      <c r="CJ348" s="19"/>
      <c r="CK348" s="19"/>
      <c r="CL348" s="19"/>
      <c r="CM348" s="19"/>
      <c r="CN348" s="19"/>
      <c r="CO348" s="19"/>
      <c r="CP348" s="19"/>
      <c r="CQ348" s="19"/>
      <c r="CR348" s="19"/>
      <c r="CS348" s="19"/>
      <c r="CT348" s="19"/>
      <c r="CU348" s="19"/>
      <c r="CV348" s="19"/>
      <c r="CW348" s="19"/>
      <c r="CX348" s="19"/>
      <c r="CY348" s="19"/>
      <c r="CZ348" s="19"/>
      <c r="DA348" s="19"/>
      <c r="DB348" s="19"/>
      <c r="DC348" s="19"/>
      <c r="DD348" s="19"/>
      <c r="DE348" s="19"/>
      <c r="DF348" s="19"/>
      <c r="DG348" s="19"/>
      <c r="DH348" s="19"/>
      <c r="DI348" s="19"/>
      <c r="DJ348" s="19"/>
      <c r="DK348" s="19"/>
      <c r="DL348" s="19"/>
      <c r="DM348" s="19"/>
      <c r="DN348" s="19"/>
      <c r="DO348" s="19"/>
      <c r="DP348" s="19"/>
      <c r="DQ348" s="19"/>
      <c r="DR348" s="19"/>
      <c r="DS348" s="19"/>
      <c r="DT348" s="19"/>
      <c r="DU348" s="19"/>
      <c r="DV348" s="19"/>
      <c r="DW348" s="19"/>
      <c r="DX348" s="19"/>
      <c r="DY348" s="19"/>
      <c r="DZ348" s="19"/>
      <c r="EA348" s="19"/>
      <c r="EB348" s="19"/>
      <c r="EC348" s="19"/>
      <c r="ED348" s="19"/>
      <c r="EE348" s="19"/>
      <c r="EF348" s="19"/>
      <c r="EG348" s="19"/>
      <c r="EH348" s="19"/>
      <c r="EI348" s="19"/>
      <c r="EJ348" s="19"/>
      <c r="EK348" s="19"/>
      <c r="EL348" s="19"/>
      <c r="EM348" s="19"/>
      <c r="EN348" s="19"/>
      <c r="EO348" s="19"/>
      <c r="EP348" s="19"/>
      <c r="EQ348" s="19"/>
      <c r="ER348" s="19"/>
      <c r="ES348" s="19"/>
      <c r="ET348" s="19"/>
      <c r="EU348" s="19"/>
      <c r="EV348" s="19"/>
      <c r="EW348" s="19"/>
      <c r="EX348" s="19"/>
      <c r="EY348" s="19"/>
      <c r="EZ348" s="19"/>
      <c r="FA348" s="19"/>
      <c r="FB348" s="19"/>
      <c r="FC348" s="19"/>
      <c r="FD348" s="19"/>
      <c r="FE348" s="19"/>
      <c r="FF348" s="19"/>
      <c r="FG348" s="19"/>
      <c r="FH348" s="19"/>
      <c r="FI348" s="19"/>
    </row>
    <row r="349" spans="1:165" x14ac:dyDescent="0.25">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c r="BE349" s="19"/>
      <c r="BF349" s="19"/>
      <c r="BG349" s="19"/>
      <c r="BH349" s="19"/>
      <c r="BI349" s="19"/>
      <c r="BJ349" s="19"/>
      <c r="BK349" s="19"/>
      <c r="BL349" s="19"/>
      <c r="BM349" s="19"/>
      <c r="BN349" s="19"/>
      <c r="BO349" s="19"/>
      <c r="BP349" s="19"/>
      <c r="BQ349" s="19"/>
      <c r="BR349" s="19"/>
      <c r="BS349" s="19"/>
      <c r="BT349" s="19"/>
      <c r="BU349" s="19"/>
      <c r="BV349" s="19"/>
      <c r="BW349" s="19"/>
      <c r="BX349" s="19"/>
      <c r="BY349" s="19"/>
      <c r="BZ349" s="19"/>
      <c r="CA349" s="19"/>
      <c r="CB349" s="19"/>
      <c r="CC349" s="19"/>
      <c r="CD349" s="19"/>
      <c r="CE349" s="19"/>
      <c r="CF349" s="19"/>
      <c r="CG349" s="19"/>
      <c r="CH349" s="19"/>
      <c r="CI349" s="19"/>
      <c r="CJ349" s="19"/>
      <c r="CK349" s="19"/>
      <c r="CL349" s="19"/>
      <c r="CM349" s="19"/>
      <c r="CN349" s="19"/>
      <c r="CO349" s="19"/>
      <c r="CP349" s="19"/>
      <c r="CQ349" s="19"/>
      <c r="CR349" s="19"/>
      <c r="CS349" s="19"/>
      <c r="CT349" s="19"/>
      <c r="CU349" s="19"/>
      <c r="CV349" s="19"/>
      <c r="CW349" s="19"/>
      <c r="CX349" s="19"/>
      <c r="CY349" s="19"/>
      <c r="CZ349" s="19"/>
      <c r="DA349" s="19"/>
      <c r="DB349" s="19"/>
      <c r="DC349" s="19"/>
      <c r="DD349" s="19"/>
      <c r="DE349" s="19"/>
      <c r="DF349" s="19"/>
      <c r="DG349" s="19"/>
      <c r="DH349" s="19"/>
      <c r="DI349" s="19"/>
      <c r="DJ349" s="19"/>
      <c r="DK349" s="19"/>
      <c r="DL349" s="19"/>
      <c r="DM349" s="19"/>
      <c r="DN349" s="19"/>
      <c r="DO349" s="19"/>
      <c r="DP349" s="19"/>
      <c r="DQ349" s="19"/>
      <c r="DR349" s="19"/>
      <c r="DS349" s="19"/>
      <c r="DT349" s="19"/>
      <c r="DU349" s="19"/>
      <c r="DV349" s="19"/>
      <c r="DW349" s="19"/>
      <c r="DX349" s="19"/>
      <c r="DY349" s="19"/>
      <c r="DZ349" s="19"/>
      <c r="EA349" s="19"/>
      <c r="EB349" s="19"/>
      <c r="EC349" s="19"/>
      <c r="ED349" s="19"/>
      <c r="EE349" s="19"/>
      <c r="EF349" s="19"/>
      <c r="EG349" s="19"/>
      <c r="EH349" s="19"/>
      <c r="EI349" s="19"/>
      <c r="EJ349" s="19"/>
      <c r="EK349" s="19"/>
      <c r="EL349" s="19"/>
      <c r="EM349" s="19"/>
      <c r="EN349" s="19"/>
      <c r="EO349" s="19"/>
      <c r="EP349" s="19"/>
      <c r="EQ349" s="19"/>
      <c r="ER349" s="19"/>
      <c r="ES349" s="19"/>
      <c r="ET349" s="19"/>
      <c r="EU349" s="19"/>
      <c r="EV349" s="19"/>
      <c r="EW349" s="19"/>
      <c r="EX349" s="19"/>
      <c r="EY349" s="19"/>
      <c r="EZ349" s="19"/>
      <c r="FA349" s="19"/>
      <c r="FB349" s="19"/>
      <c r="FC349" s="19"/>
      <c r="FD349" s="19"/>
      <c r="FE349" s="19"/>
      <c r="FF349" s="19"/>
      <c r="FG349" s="19"/>
      <c r="FH349" s="19"/>
      <c r="FI349" s="19"/>
    </row>
    <row r="350" spans="1:165" x14ac:dyDescent="0.25">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c r="BE350" s="19"/>
      <c r="BF350" s="19"/>
      <c r="BG350" s="19"/>
      <c r="BH350" s="19"/>
      <c r="BI350" s="19"/>
      <c r="BJ350" s="19"/>
      <c r="BK350" s="19"/>
      <c r="BL350" s="19"/>
      <c r="BM350" s="19"/>
      <c r="BN350" s="19"/>
      <c r="BO350" s="19"/>
      <c r="BP350" s="19"/>
      <c r="BQ350" s="19"/>
      <c r="BR350" s="19"/>
      <c r="BS350" s="19"/>
      <c r="BT350" s="19"/>
      <c r="BU350" s="19"/>
      <c r="BV350" s="19"/>
      <c r="BW350" s="19"/>
      <c r="BX350" s="19"/>
      <c r="BY350" s="19"/>
      <c r="BZ350" s="19"/>
      <c r="CA350" s="19"/>
      <c r="CB350" s="19"/>
      <c r="CC350" s="19"/>
      <c r="CD350" s="19"/>
      <c r="CE350" s="19"/>
      <c r="CF350" s="19"/>
      <c r="CG350" s="19"/>
      <c r="CH350" s="19"/>
      <c r="CI350" s="19"/>
      <c r="CJ350" s="19"/>
      <c r="CK350" s="19"/>
      <c r="CL350" s="19"/>
      <c r="CM350" s="19"/>
      <c r="CN350" s="19"/>
      <c r="CO350" s="19"/>
      <c r="CP350" s="19"/>
      <c r="CQ350" s="19"/>
      <c r="CR350" s="19"/>
      <c r="CS350" s="19"/>
      <c r="CT350" s="19"/>
      <c r="CU350" s="19"/>
      <c r="CV350" s="19"/>
      <c r="CW350" s="19"/>
      <c r="CX350" s="19"/>
      <c r="CY350" s="19"/>
      <c r="CZ350" s="19"/>
      <c r="DA350" s="19"/>
      <c r="DB350" s="19"/>
      <c r="DC350" s="19"/>
      <c r="DD350" s="19"/>
      <c r="DE350" s="19"/>
      <c r="DF350" s="19"/>
      <c r="DG350" s="19"/>
      <c r="DH350" s="19"/>
      <c r="DI350" s="19"/>
      <c r="DJ350" s="19"/>
      <c r="DK350" s="19"/>
      <c r="DL350" s="19"/>
      <c r="DM350" s="19"/>
      <c r="DN350" s="19"/>
      <c r="DO350" s="19"/>
      <c r="DP350" s="19"/>
      <c r="DQ350" s="19"/>
      <c r="DR350" s="19"/>
      <c r="DS350" s="19"/>
      <c r="DT350" s="19"/>
      <c r="DU350" s="19"/>
      <c r="DV350" s="19"/>
      <c r="DW350" s="19"/>
      <c r="DX350" s="19"/>
      <c r="DY350" s="19"/>
      <c r="DZ350" s="19"/>
      <c r="EA350" s="19"/>
      <c r="EB350" s="19"/>
      <c r="EC350" s="19"/>
      <c r="ED350" s="19"/>
      <c r="EE350" s="19"/>
      <c r="EF350" s="19"/>
      <c r="EG350" s="19"/>
      <c r="EH350" s="19"/>
      <c r="EI350" s="19"/>
      <c r="EJ350" s="19"/>
      <c r="EK350" s="19"/>
      <c r="EL350" s="19"/>
      <c r="EM350" s="19"/>
      <c r="EN350" s="19"/>
      <c r="EO350" s="19"/>
      <c r="EP350" s="19"/>
      <c r="EQ350" s="19"/>
      <c r="ER350" s="19"/>
      <c r="ES350" s="19"/>
      <c r="ET350" s="19"/>
      <c r="EU350" s="19"/>
      <c r="EV350" s="19"/>
      <c r="EW350" s="19"/>
      <c r="EX350" s="19"/>
      <c r="EY350" s="19"/>
      <c r="EZ350" s="19"/>
      <c r="FA350" s="19"/>
      <c r="FB350" s="19"/>
      <c r="FC350" s="19"/>
      <c r="FD350" s="19"/>
      <c r="FE350" s="19"/>
      <c r="FF350" s="19"/>
      <c r="FG350" s="19"/>
      <c r="FH350" s="19"/>
      <c r="FI350" s="19"/>
    </row>
    <row r="351" spans="1:165" x14ac:dyDescent="0.25">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c r="BE351" s="19"/>
      <c r="BF351" s="19"/>
      <c r="BG351" s="19"/>
      <c r="BH351" s="19"/>
      <c r="BI351" s="19"/>
      <c r="BJ351" s="19"/>
      <c r="BK351" s="19"/>
      <c r="BL351" s="19"/>
      <c r="BM351" s="19"/>
      <c r="BN351" s="19"/>
      <c r="BO351" s="19"/>
      <c r="BP351" s="19"/>
      <c r="BQ351" s="19"/>
      <c r="BR351" s="19"/>
      <c r="BS351" s="19"/>
      <c r="BT351" s="19"/>
      <c r="BU351" s="19"/>
      <c r="BV351" s="19"/>
      <c r="BW351" s="19"/>
      <c r="BX351" s="19"/>
      <c r="BY351" s="19"/>
      <c r="BZ351" s="19"/>
      <c r="CA351" s="19"/>
      <c r="CB351" s="19"/>
      <c r="CC351" s="19"/>
      <c r="CD351" s="19"/>
      <c r="CE351" s="19"/>
      <c r="CF351" s="19"/>
      <c r="CG351" s="19"/>
      <c r="CH351" s="19"/>
      <c r="CI351" s="19"/>
      <c r="CJ351" s="19"/>
      <c r="CK351" s="19"/>
      <c r="CL351" s="19"/>
      <c r="CM351" s="19"/>
      <c r="CN351" s="19"/>
      <c r="CO351" s="19"/>
      <c r="CP351" s="19"/>
      <c r="CQ351" s="19"/>
      <c r="CR351" s="19"/>
      <c r="CS351" s="19"/>
      <c r="CT351" s="19"/>
      <c r="CU351" s="19"/>
      <c r="CV351" s="19"/>
      <c r="CW351" s="19"/>
      <c r="CX351" s="19"/>
      <c r="CY351" s="19"/>
      <c r="CZ351" s="19"/>
      <c r="DA351" s="19"/>
      <c r="DB351" s="19"/>
      <c r="DC351" s="19"/>
      <c r="DD351" s="19"/>
      <c r="DE351" s="19"/>
      <c r="DF351" s="19"/>
      <c r="DG351" s="19"/>
      <c r="DH351" s="19"/>
      <c r="DI351" s="19"/>
      <c r="DJ351" s="19"/>
      <c r="DK351" s="19"/>
      <c r="DL351" s="19"/>
      <c r="DM351" s="19"/>
      <c r="DN351" s="19"/>
      <c r="DO351" s="19"/>
      <c r="DP351" s="19"/>
      <c r="DQ351" s="19"/>
      <c r="DR351" s="19"/>
      <c r="DS351" s="19"/>
      <c r="DT351" s="19"/>
      <c r="DU351" s="19"/>
      <c r="DV351" s="19"/>
      <c r="DW351" s="19"/>
      <c r="DX351" s="19"/>
      <c r="DY351" s="19"/>
      <c r="DZ351" s="19"/>
      <c r="EA351" s="19"/>
      <c r="EB351" s="19"/>
      <c r="EC351" s="19"/>
      <c r="ED351" s="19"/>
      <c r="EE351" s="19"/>
      <c r="EF351" s="19"/>
      <c r="EG351" s="19"/>
      <c r="EH351" s="19"/>
      <c r="EI351" s="19"/>
      <c r="EJ351" s="19"/>
      <c r="EK351" s="19"/>
      <c r="EL351" s="19"/>
      <c r="EM351" s="19"/>
      <c r="EN351" s="19"/>
      <c r="EO351" s="19"/>
      <c r="EP351" s="19"/>
      <c r="EQ351" s="19"/>
      <c r="ER351" s="19"/>
      <c r="ES351" s="19"/>
      <c r="ET351" s="19"/>
      <c r="EU351" s="19"/>
      <c r="EV351" s="19"/>
      <c r="EW351" s="19"/>
      <c r="EX351" s="19"/>
      <c r="EY351" s="19"/>
      <c r="EZ351" s="19"/>
      <c r="FA351" s="19"/>
      <c r="FB351" s="19"/>
      <c r="FC351" s="19"/>
      <c r="FD351" s="19"/>
      <c r="FE351" s="19"/>
      <c r="FF351" s="19"/>
      <c r="FG351" s="19"/>
      <c r="FH351" s="19"/>
      <c r="FI351" s="19"/>
    </row>
    <row r="352" spans="1:165" x14ac:dyDescent="0.25">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c r="BE352" s="19"/>
      <c r="BF352" s="19"/>
      <c r="BG352" s="19"/>
      <c r="BH352" s="19"/>
      <c r="BI352" s="19"/>
      <c r="BJ352" s="19"/>
      <c r="BK352" s="19"/>
      <c r="BL352" s="19"/>
      <c r="BM352" s="19"/>
      <c r="BN352" s="19"/>
      <c r="BO352" s="19"/>
      <c r="BP352" s="19"/>
      <c r="BQ352" s="19"/>
      <c r="BR352" s="19"/>
      <c r="BS352" s="19"/>
      <c r="BT352" s="19"/>
      <c r="BU352" s="19"/>
      <c r="BV352" s="19"/>
      <c r="BW352" s="19"/>
      <c r="BX352" s="19"/>
      <c r="BY352" s="19"/>
      <c r="BZ352" s="19"/>
      <c r="CA352" s="19"/>
      <c r="CB352" s="19"/>
      <c r="CC352" s="19"/>
      <c r="CD352" s="19"/>
      <c r="CE352" s="19"/>
      <c r="CF352" s="19"/>
      <c r="CG352" s="19"/>
      <c r="CH352" s="19"/>
      <c r="CI352" s="19"/>
      <c r="CJ352" s="19"/>
      <c r="CK352" s="19"/>
      <c r="CL352" s="19"/>
      <c r="CM352" s="19"/>
      <c r="CN352" s="19"/>
      <c r="CO352" s="19"/>
      <c r="CP352" s="19"/>
      <c r="CQ352" s="19"/>
      <c r="CR352" s="19"/>
      <c r="CS352" s="19"/>
      <c r="CT352" s="19"/>
      <c r="CU352" s="19"/>
      <c r="CV352" s="19"/>
      <c r="CW352" s="19"/>
      <c r="CX352" s="19"/>
      <c r="CY352" s="19"/>
      <c r="CZ352" s="19"/>
      <c r="DA352" s="19"/>
      <c r="DB352" s="19"/>
      <c r="DC352" s="19"/>
      <c r="DD352" s="19"/>
      <c r="DE352" s="19"/>
      <c r="DF352" s="19"/>
      <c r="DG352" s="19"/>
      <c r="DH352" s="19"/>
      <c r="DI352" s="19"/>
      <c r="DJ352" s="19"/>
      <c r="DK352" s="19"/>
      <c r="DL352" s="19"/>
      <c r="DM352" s="19"/>
      <c r="DN352" s="19"/>
      <c r="DO352" s="19"/>
      <c r="DP352" s="19"/>
      <c r="DQ352" s="19"/>
      <c r="DR352" s="19"/>
      <c r="DS352" s="19"/>
      <c r="DT352" s="19"/>
      <c r="DU352" s="19"/>
      <c r="DV352" s="19"/>
      <c r="DW352" s="19"/>
      <c r="DX352" s="19"/>
      <c r="DY352" s="19"/>
      <c r="DZ352" s="19"/>
      <c r="EA352" s="19"/>
      <c r="EB352" s="19"/>
      <c r="EC352" s="19"/>
      <c r="ED352" s="19"/>
      <c r="EE352" s="19"/>
      <c r="EF352" s="19"/>
      <c r="EG352" s="19"/>
      <c r="EH352" s="19"/>
      <c r="EI352" s="19"/>
      <c r="EJ352" s="19"/>
      <c r="EK352" s="19"/>
      <c r="EL352" s="19"/>
      <c r="EM352" s="19"/>
      <c r="EN352" s="19"/>
      <c r="EO352" s="19"/>
      <c r="EP352" s="19"/>
      <c r="EQ352" s="19"/>
      <c r="ER352" s="19"/>
      <c r="ES352" s="19"/>
      <c r="ET352" s="19"/>
      <c r="EU352" s="19"/>
      <c r="EV352" s="19"/>
      <c r="EW352" s="19"/>
      <c r="EX352" s="19"/>
      <c r="EY352" s="19"/>
      <c r="EZ352" s="19"/>
      <c r="FA352" s="19"/>
      <c r="FB352" s="19"/>
      <c r="FC352" s="19"/>
      <c r="FD352" s="19"/>
      <c r="FE352" s="19"/>
      <c r="FF352" s="19"/>
      <c r="FG352" s="19"/>
      <c r="FH352" s="19"/>
      <c r="FI352" s="19"/>
    </row>
    <row r="353" spans="1:165" x14ac:dyDescent="0.25">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c r="BE353" s="19"/>
      <c r="BF353" s="19"/>
      <c r="BG353" s="19"/>
      <c r="BH353" s="19"/>
      <c r="BI353" s="19"/>
      <c r="BJ353" s="19"/>
      <c r="BK353" s="19"/>
      <c r="BL353" s="19"/>
      <c r="BM353" s="19"/>
      <c r="BN353" s="19"/>
      <c r="BO353" s="19"/>
      <c r="BP353" s="19"/>
      <c r="BQ353" s="19"/>
      <c r="BR353" s="19"/>
      <c r="BS353" s="19"/>
      <c r="BT353" s="19"/>
      <c r="BU353" s="19"/>
      <c r="BV353" s="19"/>
      <c r="BW353" s="19"/>
      <c r="BX353" s="19"/>
      <c r="BY353" s="19"/>
      <c r="BZ353" s="19"/>
      <c r="CA353" s="19"/>
      <c r="CB353" s="19"/>
      <c r="CC353" s="19"/>
      <c r="CD353" s="19"/>
      <c r="CE353" s="19"/>
      <c r="CF353" s="19"/>
      <c r="CG353" s="19"/>
      <c r="CH353" s="19"/>
      <c r="CI353" s="19"/>
      <c r="CJ353" s="19"/>
      <c r="CK353" s="19"/>
      <c r="CL353" s="19"/>
      <c r="CM353" s="19"/>
      <c r="CN353" s="19"/>
      <c r="CO353" s="19"/>
      <c r="CP353" s="19"/>
      <c r="CQ353" s="19"/>
      <c r="CR353" s="19"/>
      <c r="CS353" s="19"/>
      <c r="CT353" s="19"/>
      <c r="CU353" s="19"/>
      <c r="CV353" s="19"/>
      <c r="CW353" s="19"/>
      <c r="CX353" s="19"/>
      <c r="CY353" s="19"/>
      <c r="CZ353" s="19"/>
      <c r="DA353" s="19"/>
      <c r="DB353" s="19"/>
      <c r="DC353" s="19"/>
      <c r="DD353" s="19"/>
      <c r="DE353" s="19"/>
      <c r="DF353" s="19"/>
      <c r="DG353" s="19"/>
      <c r="DH353" s="19"/>
      <c r="DI353" s="19"/>
      <c r="DJ353" s="19"/>
      <c r="DK353" s="19"/>
      <c r="DL353" s="19"/>
      <c r="DM353" s="19"/>
      <c r="DN353" s="19"/>
      <c r="DO353" s="19"/>
      <c r="DP353" s="19"/>
      <c r="DQ353" s="19"/>
      <c r="DR353" s="19"/>
      <c r="DS353" s="19"/>
      <c r="DT353" s="19"/>
      <c r="DU353" s="19"/>
      <c r="DV353" s="19"/>
      <c r="DW353" s="19"/>
      <c r="DX353" s="19"/>
      <c r="DY353" s="19"/>
      <c r="DZ353" s="19"/>
      <c r="EA353" s="19"/>
      <c r="EB353" s="19"/>
      <c r="EC353" s="19"/>
      <c r="ED353" s="19"/>
      <c r="EE353" s="19"/>
      <c r="EF353" s="19"/>
      <c r="EG353" s="19"/>
      <c r="EH353" s="19"/>
      <c r="EI353" s="19"/>
      <c r="EJ353" s="19"/>
      <c r="EK353" s="19"/>
      <c r="EL353" s="19"/>
      <c r="EM353" s="19"/>
      <c r="EN353" s="19"/>
      <c r="EO353" s="19"/>
      <c r="EP353" s="19"/>
      <c r="EQ353" s="19"/>
      <c r="ER353" s="19"/>
      <c r="ES353" s="19"/>
      <c r="ET353" s="19"/>
      <c r="EU353" s="19"/>
      <c r="EV353" s="19"/>
      <c r="EW353" s="19"/>
      <c r="EX353" s="19"/>
      <c r="EY353" s="19"/>
      <c r="EZ353" s="19"/>
      <c r="FA353" s="19"/>
      <c r="FB353" s="19"/>
      <c r="FC353" s="19"/>
      <c r="FD353" s="19"/>
      <c r="FE353" s="19"/>
      <c r="FF353" s="19"/>
      <c r="FG353" s="19"/>
      <c r="FH353" s="19"/>
      <c r="FI353" s="19"/>
    </row>
    <row r="354" spans="1:165" x14ac:dyDescent="0.25">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c r="BE354" s="19"/>
      <c r="BF354" s="19"/>
      <c r="BG354" s="19"/>
      <c r="BH354" s="19"/>
      <c r="BI354" s="19"/>
      <c r="BJ354" s="19"/>
      <c r="BK354" s="19"/>
      <c r="BL354" s="19"/>
      <c r="BM354" s="19"/>
      <c r="BN354" s="19"/>
      <c r="BO354" s="19"/>
      <c r="BP354" s="19"/>
      <c r="BQ354" s="19"/>
      <c r="BR354" s="19"/>
      <c r="BS354" s="19"/>
      <c r="BT354" s="19"/>
      <c r="BU354" s="19"/>
      <c r="BV354" s="19"/>
      <c r="BW354" s="19"/>
      <c r="BX354" s="19"/>
      <c r="BY354" s="19"/>
      <c r="BZ354" s="19"/>
      <c r="CA354" s="19"/>
      <c r="CB354" s="19"/>
      <c r="CC354" s="19"/>
      <c r="CD354" s="19"/>
      <c r="CE354" s="19"/>
      <c r="CF354" s="19"/>
      <c r="CG354" s="19"/>
      <c r="CH354" s="19"/>
      <c r="CI354" s="19"/>
      <c r="CJ354" s="19"/>
      <c r="CK354" s="19"/>
      <c r="CL354" s="19"/>
      <c r="CM354" s="19"/>
      <c r="CN354" s="19"/>
      <c r="CO354" s="19"/>
      <c r="CP354" s="19"/>
      <c r="CQ354" s="19"/>
      <c r="CR354" s="19"/>
      <c r="CS354" s="19"/>
      <c r="CT354" s="19"/>
      <c r="CU354" s="19"/>
      <c r="CV354" s="19"/>
      <c r="CW354" s="19"/>
      <c r="CX354" s="19"/>
      <c r="CY354" s="19"/>
      <c r="CZ354" s="19"/>
      <c r="DA354" s="19"/>
      <c r="DB354" s="19"/>
      <c r="DC354" s="19"/>
      <c r="DD354" s="19"/>
      <c r="DE354" s="19"/>
      <c r="DF354" s="19"/>
      <c r="DG354" s="19"/>
      <c r="DH354" s="19"/>
      <c r="DI354" s="19"/>
      <c r="DJ354" s="19"/>
      <c r="DK354" s="19"/>
      <c r="DL354" s="19"/>
      <c r="DM354" s="19"/>
      <c r="DN354" s="19"/>
      <c r="DO354" s="19"/>
      <c r="DP354" s="19"/>
      <c r="DQ354" s="19"/>
      <c r="DR354" s="19"/>
      <c r="DS354" s="19"/>
      <c r="DT354" s="19"/>
      <c r="DU354" s="19"/>
      <c r="DV354" s="19"/>
      <c r="DW354" s="19"/>
      <c r="DX354" s="19"/>
      <c r="DY354" s="19"/>
      <c r="DZ354" s="19"/>
      <c r="EA354" s="19"/>
      <c r="EB354" s="19"/>
      <c r="EC354" s="19"/>
      <c r="ED354" s="19"/>
      <c r="EE354" s="19"/>
      <c r="EF354" s="19"/>
      <c r="EG354" s="19"/>
      <c r="EH354" s="19"/>
      <c r="EI354" s="19"/>
      <c r="EJ354" s="19"/>
      <c r="EK354" s="19"/>
      <c r="EL354" s="19"/>
      <c r="EM354" s="19"/>
      <c r="EN354" s="19"/>
      <c r="EO354" s="19"/>
      <c r="EP354" s="19"/>
      <c r="EQ354" s="19"/>
      <c r="ER354" s="19"/>
      <c r="ES354" s="19"/>
      <c r="ET354" s="19"/>
      <c r="EU354" s="19"/>
      <c r="EV354" s="19"/>
      <c r="EW354" s="19"/>
      <c r="EX354" s="19"/>
      <c r="EY354" s="19"/>
      <c r="EZ354" s="19"/>
      <c r="FA354" s="19"/>
      <c r="FB354" s="19"/>
      <c r="FC354" s="19"/>
      <c r="FD354" s="19"/>
      <c r="FE354" s="19"/>
      <c r="FF354" s="19"/>
      <c r="FG354" s="19"/>
      <c r="FH354" s="19"/>
      <c r="FI354" s="19"/>
    </row>
    <row r="355" spans="1:165" x14ac:dyDescent="0.25">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c r="BE355" s="19"/>
      <c r="BF355" s="19"/>
      <c r="BG355" s="19"/>
      <c r="BH355" s="19"/>
      <c r="BI355" s="19"/>
      <c r="BJ355" s="19"/>
      <c r="BK355" s="19"/>
      <c r="BL355" s="19"/>
      <c r="BM355" s="19"/>
      <c r="BN355" s="19"/>
      <c r="BO355" s="19"/>
      <c r="BP355" s="19"/>
      <c r="BQ355" s="19"/>
      <c r="BR355" s="19"/>
      <c r="BS355" s="19"/>
      <c r="BT355" s="19"/>
      <c r="BU355" s="19"/>
      <c r="BV355" s="19"/>
      <c r="BW355" s="19"/>
      <c r="BX355" s="19"/>
      <c r="BY355" s="19"/>
      <c r="BZ355" s="19"/>
      <c r="CA355" s="19"/>
      <c r="CB355" s="19"/>
      <c r="CC355" s="19"/>
      <c r="CD355" s="19"/>
      <c r="CE355" s="19"/>
      <c r="CF355" s="19"/>
      <c r="CG355" s="19"/>
      <c r="CH355" s="19"/>
      <c r="CI355" s="19"/>
      <c r="CJ355" s="19"/>
      <c r="CK355" s="19"/>
      <c r="CL355" s="19"/>
      <c r="CM355" s="19"/>
      <c r="CN355" s="19"/>
      <c r="CO355" s="19"/>
      <c r="CP355" s="19"/>
      <c r="CQ355" s="19"/>
      <c r="CR355" s="19"/>
      <c r="CS355" s="19"/>
      <c r="CT355" s="19"/>
      <c r="CU355" s="19"/>
      <c r="CV355" s="19"/>
      <c r="CW355" s="19"/>
      <c r="CX355" s="19"/>
      <c r="CY355" s="19"/>
      <c r="CZ355" s="19"/>
      <c r="DA355" s="19"/>
      <c r="DB355" s="19"/>
      <c r="DC355" s="19"/>
      <c r="DD355" s="19"/>
      <c r="DE355" s="19"/>
      <c r="DF355" s="19"/>
      <c r="DG355" s="19"/>
      <c r="DH355" s="19"/>
      <c r="DI355" s="19"/>
      <c r="DJ355" s="19"/>
      <c r="DK355" s="19"/>
      <c r="DL355" s="19"/>
      <c r="DM355" s="19"/>
      <c r="DN355" s="19"/>
      <c r="DO355" s="19"/>
      <c r="DP355" s="19"/>
      <c r="DQ355" s="19"/>
      <c r="DR355" s="19"/>
      <c r="DS355" s="19"/>
      <c r="DT355" s="19"/>
      <c r="DU355" s="19"/>
      <c r="DV355" s="19"/>
      <c r="DW355" s="19"/>
      <c r="DX355" s="19"/>
      <c r="DY355" s="19"/>
      <c r="DZ355" s="19"/>
      <c r="EA355" s="19"/>
      <c r="EB355" s="19"/>
      <c r="EC355" s="19"/>
      <c r="ED355" s="19"/>
      <c r="EE355" s="19"/>
      <c r="EF355" s="19"/>
      <c r="EG355" s="19"/>
      <c r="EH355" s="19"/>
      <c r="EI355" s="19"/>
      <c r="EJ355" s="19"/>
      <c r="EK355" s="19"/>
      <c r="EL355" s="19"/>
      <c r="EM355" s="19"/>
      <c r="EN355" s="19"/>
      <c r="EO355" s="19"/>
      <c r="EP355" s="19"/>
      <c r="EQ355" s="19"/>
      <c r="ER355" s="19"/>
      <c r="ES355" s="19"/>
      <c r="ET355" s="19"/>
      <c r="EU355" s="19"/>
      <c r="EV355" s="19"/>
      <c r="EW355" s="19"/>
      <c r="EX355" s="19"/>
      <c r="EY355" s="19"/>
      <c r="EZ355" s="19"/>
      <c r="FA355" s="19"/>
      <c r="FB355" s="19"/>
      <c r="FC355" s="19"/>
      <c r="FD355" s="19"/>
      <c r="FE355" s="19"/>
      <c r="FF355" s="19"/>
      <c r="FG355" s="19"/>
      <c r="FH355" s="19"/>
      <c r="FI355" s="19"/>
    </row>
    <row r="356" spans="1:165" x14ac:dyDescent="0.25">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c r="BE356" s="19"/>
      <c r="BF356" s="19"/>
      <c r="BG356" s="19"/>
      <c r="BH356" s="19"/>
      <c r="BI356" s="19"/>
      <c r="BJ356" s="19"/>
      <c r="BK356" s="19"/>
      <c r="BL356" s="19"/>
      <c r="BM356" s="19"/>
      <c r="BN356" s="19"/>
      <c r="BO356" s="19"/>
      <c r="BP356" s="19"/>
      <c r="BQ356" s="19"/>
      <c r="BR356" s="19"/>
      <c r="BS356" s="19"/>
      <c r="BT356" s="19"/>
      <c r="BU356" s="19"/>
      <c r="BV356" s="19"/>
      <c r="BW356" s="19"/>
      <c r="BX356" s="19"/>
      <c r="BY356" s="19"/>
      <c r="BZ356" s="19"/>
      <c r="CA356" s="19"/>
      <c r="CB356" s="19"/>
      <c r="CC356" s="19"/>
      <c r="CD356" s="19"/>
      <c r="CE356" s="19"/>
      <c r="CF356" s="19"/>
      <c r="CG356" s="19"/>
      <c r="CH356" s="19"/>
      <c r="CI356" s="19"/>
      <c r="CJ356" s="19"/>
      <c r="CK356" s="19"/>
      <c r="CL356" s="19"/>
      <c r="CM356" s="19"/>
      <c r="CN356" s="19"/>
      <c r="CO356" s="19"/>
      <c r="CP356" s="19"/>
      <c r="CQ356" s="19"/>
      <c r="CR356" s="19"/>
      <c r="CS356" s="19"/>
      <c r="CT356" s="19"/>
      <c r="CU356" s="19"/>
      <c r="CV356" s="19"/>
      <c r="CW356" s="19"/>
      <c r="CX356" s="19"/>
      <c r="CY356" s="19"/>
      <c r="CZ356" s="19"/>
      <c r="DA356" s="19"/>
      <c r="DB356" s="19"/>
      <c r="DC356" s="19"/>
      <c r="DD356" s="19"/>
      <c r="DE356" s="19"/>
      <c r="DF356" s="19"/>
      <c r="DG356" s="19"/>
      <c r="DH356" s="19"/>
      <c r="DI356" s="19"/>
      <c r="DJ356" s="19"/>
      <c r="DK356" s="19"/>
      <c r="DL356" s="19"/>
      <c r="DM356" s="19"/>
      <c r="DN356" s="19"/>
      <c r="DO356" s="19"/>
      <c r="DP356" s="19"/>
      <c r="DQ356" s="19"/>
      <c r="DR356" s="19"/>
      <c r="DS356" s="19"/>
      <c r="DT356" s="19"/>
      <c r="DU356" s="19"/>
      <c r="DV356" s="19"/>
      <c r="DW356" s="19"/>
      <c r="DX356" s="19"/>
      <c r="DY356" s="19"/>
      <c r="DZ356" s="19"/>
      <c r="EA356" s="19"/>
      <c r="EB356" s="19"/>
      <c r="EC356" s="19"/>
      <c r="ED356" s="19"/>
      <c r="EE356" s="19"/>
      <c r="EF356" s="19"/>
      <c r="EG356" s="19"/>
      <c r="EH356" s="19"/>
      <c r="EI356" s="19"/>
      <c r="EJ356" s="19"/>
      <c r="EK356" s="19"/>
      <c r="EL356" s="19"/>
      <c r="EM356" s="19"/>
      <c r="EN356" s="19"/>
      <c r="EO356" s="19"/>
      <c r="EP356" s="19"/>
      <c r="EQ356" s="19"/>
      <c r="ER356" s="19"/>
      <c r="ES356" s="19"/>
      <c r="ET356" s="19"/>
      <c r="EU356" s="19"/>
      <c r="EV356" s="19"/>
      <c r="EW356" s="19"/>
      <c r="EX356" s="19"/>
      <c r="EY356" s="19"/>
      <c r="EZ356" s="19"/>
      <c r="FA356" s="19"/>
      <c r="FB356" s="19"/>
      <c r="FC356" s="19"/>
      <c r="FD356" s="19"/>
      <c r="FE356" s="19"/>
      <c r="FF356" s="19"/>
      <c r="FG356" s="19"/>
      <c r="FH356" s="19"/>
      <c r="FI356" s="19"/>
    </row>
    <row r="357" spans="1:165" x14ac:dyDescent="0.25">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c r="BE357" s="19"/>
      <c r="BF357" s="19"/>
      <c r="BG357" s="19"/>
      <c r="BH357" s="19"/>
      <c r="BI357" s="19"/>
      <c r="BJ357" s="19"/>
      <c r="BK357" s="19"/>
      <c r="BL357" s="19"/>
      <c r="BM357" s="19"/>
      <c r="BN357" s="19"/>
      <c r="BO357" s="19"/>
      <c r="BP357" s="19"/>
      <c r="BQ357" s="19"/>
      <c r="BR357" s="19"/>
      <c r="BS357" s="19"/>
      <c r="BT357" s="19"/>
      <c r="BU357" s="19"/>
      <c r="BV357" s="19"/>
      <c r="BW357" s="19"/>
      <c r="BX357" s="19"/>
      <c r="BY357" s="19"/>
      <c r="BZ357" s="19"/>
      <c r="CA357" s="19"/>
      <c r="CB357" s="19"/>
      <c r="CC357" s="19"/>
      <c r="CD357" s="19"/>
      <c r="CE357" s="19"/>
      <c r="CF357" s="19"/>
      <c r="CG357" s="19"/>
      <c r="CH357" s="19"/>
      <c r="CI357" s="19"/>
      <c r="CJ357" s="19"/>
      <c r="CK357" s="19"/>
      <c r="CL357" s="19"/>
      <c r="CM357" s="19"/>
      <c r="CN357" s="19"/>
      <c r="CO357" s="19"/>
      <c r="CP357" s="19"/>
      <c r="CQ357" s="19"/>
      <c r="CR357" s="19"/>
      <c r="CS357" s="19"/>
      <c r="CT357" s="19"/>
      <c r="CU357" s="19"/>
      <c r="CV357" s="19"/>
      <c r="CW357" s="19"/>
      <c r="CX357" s="19"/>
      <c r="CY357" s="19"/>
      <c r="CZ357" s="19"/>
      <c r="DA357" s="19"/>
      <c r="DB357" s="19"/>
      <c r="DC357" s="19"/>
      <c r="DD357" s="19"/>
      <c r="DE357" s="19"/>
      <c r="DF357" s="19"/>
      <c r="DG357" s="19"/>
      <c r="DH357" s="19"/>
      <c r="DI357" s="19"/>
      <c r="DJ357" s="19"/>
      <c r="DK357" s="19"/>
      <c r="DL357" s="19"/>
      <c r="DM357" s="19"/>
      <c r="DN357" s="19"/>
      <c r="DO357" s="19"/>
      <c r="DP357" s="19"/>
      <c r="DQ357" s="19"/>
      <c r="DR357" s="19"/>
      <c r="DS357" s="19"/>
      <c r="DT357" s="19"/>
      <c r="DU357" s="19"/>
      <c r="DV357" s="19"/>
      <c r="DW357" s="19"/>
      <c r="DX357" s="19"/>
      <c r="DY357" s="19"/>
      <c r="DZ357" s="19"/>
      <c r="EA357" s="19"/>
      <c r="EB357" s="19"/>
      <c r="EC357" s="19"/>
      <c r="ED357" s="19"/>
      <c r="EE357" s="19"/>
      <c r="EF357" s="19"/>
      <c r="EG357" s="19"/>
      <c r="EH357" s="19"/>
      <c r="EI357" s="19"/>
      <c r="EJ357" s="19"/>
      <c r="EK357" s="19"/>
      <c r="EL357" s="19"/>
      <c r="EM357" s="19"/>
      <c r="EN357" s="19"/>
      <c r="EO357" s="19"/>
      <c r="EP357" s="19"/>
      <c r="EQ357" s="19"/>
      <c r="ER357" s="19"/>
      <c r="ES357" s="19"/>
      <c r="ET357" s="19"/>
      <c r="EU357" s="19"/>
      <c r="EV357" s="19"/>
      <c r="EW357" s="19"/>
      <c r="EX357" s="19"/>
      <c r="EY357" s="19"/>
      <c r="EZ357" s="19"/>
      <c r="FA357" s="19"/>
      <c r="FB357" s="19"/>
      <c r="FC357" s="19"/>
      <c r="FD357" s="19"/>
      <c r="FE357" s="19"/>
      <c r="FF357" s="19"/>
      <c r="FG357" s="19"/>
      <c r="FH357" s="19"/>
      <c r="FI357" s="19"/>
    </row>
    <row r="358" spans="1:165" x14ac:dyDescent="0.25">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c r="BE358" s="19"/>
      <c r="BF358" s="19"/>
      <c r="BG358" s="19"/>
      <c r="BH358" s="19"/>
      <c r="BI358" s="19"/>
      <c r="BJ358" s="19"/>
      <c r="BK358" s="19"/>
      <c r="BL358" s="19"/>
      <c r="BM358" s="19"/>
      <c r="BN358" s="19"/>
      <c r="BO358" s="19"/>
      <c r="BP358" s="19"/>
      <c r="BQ358" s="19"/>
      <c r="BR358" s="19"/>
      <c r="BS358" s="19"/>
      <c r="BT358" s="19"/>
      <c r="BU358" s="19"/>
      <c r="BV358" s="19"/>
      <c r="BW358" s="19"/>
      <c r="BX358" s="19"/>
      <c r="BY358" s="19"/>
      <c r="BZ358" s="19"/>
      <c r="CA358" s="19"/>
      <c r="CB358" s="19"/>
      <c r="CC358" s="19"/>
      <c r="CD358" s="19"/>
      <c r="CE358" s="19"/>
      <c r="CF358" s="19"/>
      <c r="CG358" s="19"/>
      <c r="CH358" s="19"/>
      <c r="CI358" s="19"/>
      <c r="CJ358" s="19"/>
      <c r="CK358" s="19"/>
      <c r="CL358" s="19"/>
      <c r="CM358" s="19"/>
      <c r="CN358" s="19"/>
      <c r="CO358" s="19"/>
      <c r="CP358" s="19"/>
      <c r="CQ358" s="19"/>
      <c r="CR358" s="19"/>
      <c r="CS358" s="19"/>
      <c r="CT358" s="19"/>
      <c r="CU358" s="19"/>
      <c r="CV358" s="19"/>
      <c r="CW358" s="19"/>
      <c r="CX358" s="19"/>
      <c r="CY358" s="19"/>
      <c r="CZ358" s="19"/>
      <c r="DA358" s="19"/>
      <c r="DB358" s="19"/>
      <c r="DC358" s="19"/>
      <c r="DD358" s="19"/>
      <c r="DE358" s="19"/>
      <c r="DF358" s="19"/>
      <c r="DG358" s="19"/>
      <c r="DH358" s="19"/>
      <c r="DI358" s="19"/>
      <c r="DJ358" s="19"/>
      <c r="DK358" s="19"/>
      <c r="DL358" s="19"/>
      <c r="DM358" s="19"/>
      <c r="DN358" s="19"/>
      <c r="DO358" s="19"/>
      <c r="DP358" s="19"/>
      <c r="DQ358" s="19"/>
      <c r="DR358" s="19"/>
      <c r="DS358" s="19"/>
      <c r="DT358" s="19"/>
      <c r="DU358" s="19"/>
      <c r="DV358" s="19"/>
      <c r="DW358" s="19"/>
      <c r="DX358" s="19"/>
      <c r="DY358" s="19"/>
      <c r="DZ358" s="19"/>
      <c r="EA358" s="19"/>
      <c r="EB358" s="19"/>
      <c r="EC358" s="19"/>
      <c r="ED358" s="19"/>
      <c r="EE358" s="19"/>
      <c r="EF358" s="19"/>
      <c r="EG358" s="19"/>
      <c r="EH358" s="19"/>
      <c r="EI358" s="19"/>
      <c r="EJ358" s="19"/>
      <c r="EK358" s="19"/>
      <c r="EL358" s="19"/>
      <c r="EM358" s="19"/>
      <c r="EN358" s="19"/>
      <c r="EO358" s="19"/>
      <c r="EP358" s="19"/>
      <c r="EQ358" s="19"/>
      <c r="ER358" s="19"/>
      <c r="ES358" s="19"/>
      <c r="ET358" s="19"/>
      <c r="EU358" s="19"/>
      <c r="EV358" s="19"/>
      <c r="EW358" s="19"/>
      <c r="EX358" s="19"/>
      <c r="EY358" s="19"/>
      <c r="EZ358" s="19"/>
      <c r="FA358" s="19"/>
      <c r="FB358" s="19"/>
      <c r="FC358" s="19"/>
      <c r="FD358" s="19"/>
      <c r="FE358" s="19"/>
      <c r="FF358" s="19"/>
      <c r="FG358" s="19"/>
      <c r="FH358" s="19"/>
      <c r="FI358" s="19"/>
    </row>
    <row r="359" spans="1:165" x14ac:dyDescent="0.25">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c r="BE359" s="19"/>
      <c r="BF359" s="19"/>
      <c r="BG359" s="19"/>
      <c r="BH359" s="19"/>
      <c r="BI359" s="19"/>
      <c r="BJ359" s="19"/>
      <c r="BK359" s="19"/>
      <c r="BL359" s="19"/>
      <c r="BM359" s="19"/>
      <c r="BN359" s="19"/>
      <c r="BO359" s="19"/>
      <c r="BP359" s="19"/>
      <c r="BQ359" s="19"/>
      <c r="BR359" s="19"/>
      <c r="BS359" s="19"/>
      <c r="BT359" s="19"/>
      <c r="BU359" s="19"/>
      <c r="BV359" s="19"/>
      <c r="BW359" s="19"/>
      <c r="BX359" s="19"/>
      <c r="BY359" s="19"/>
      <c r="BZ359" s="19"/>
      <c r="CA359" s="19"/>
      <c r="CB359" s="19"/>
      <c r="CC359" s="19"/>
      <c r="CD359" s="19"/>
      <c r="CE359" s="19"/>
      <c r="CF359" s="19"/>
      <c r="CG359" s="19"/>
      <c r="CH359" s="19"/>
      <c r="CI359" s="19"/>
      <c r="CJ359" s="19"/>
      <c r="CK359" s="19"/>
      <c r="CL359" s="19"/>
      <c r="CM359" s="19"/>
      <c r="CN359" s="19"/>
      <c r="CO359" s="19"/>
      <c r="CP359" s="19"/>
      <c r="CQ359" s="19"/>
      <c r="CR359" s="19"/>
      <c r="CS359" s="19"/>
      <c r="CT359" s="19"/>
      <c r="CU359" s="19"/>
      <c r="CV359" s="19"/>
      <c r="CW359" s="19"/>
      <c r="CX359" s="19"/>
      <c r="CY359" s="19"/>
      <c r="CZ359" s="19"/>
      <c r="DA359" s="19"/>
      <c r="DB359" s="19"/>
      <c r="DC359" s="19"/>
      <c r="DD359" s="19"/>
      <c r="DE359" s="19"/>
      <c r="DF359" s="19"/>
      <c r="DG359" s="19"/>
      <c r="DH359" s="19"/>
      <c r="DI359" s="19"/>
      <c r="DJ359" s="19"/>
      <c r="DK359" s="19"/>
      <c r="DL359" s="19"/>
      <c r="DM359" s="19"/>
      <c r="DN359" s="19"/>
      <c r="DO359" s="19"/>
      <c r="DP359" s="19"/>
      <c r="DQ359" s="19"/>
      <c r="DR359" s="19"/>
      <c r="DS359" s="19"/>
      <c r="DT359" s="19"/>
      <c r="DU359" s="19"/>
      <c r="DV359" s="19"/>
      <c r="DW359" s="19"/>
      <c r="DX359" s="19"/>
      <c r="DY359" s="19"/>
      <c r="DZ359" s="19"/>
      <c r="EA359" s="19"/>
      <c r="EB359" s="19"/>
      <c r="EC359" s="19"/>
      <c r="ED359" s="19"/>
      <c r="EE359" s="19"/>
      <c r="EF359" s="19"/>
      <c r="EG359" s="19"/>
      <c r="EH359" s="19"/>
      <c r="EI359" s="19"/>
      <c r="EJ359" s="19"/>
      <c r="EK359" s="19"/>
      <c r="EL359" s="19"/>
      <c r="EM359" s="19"/>
      <c r="EN359" s="19"/>
      <c r="EO359" s="19"/>
      <c r="EP359" s="19"/>
      <c r="EQ359" s="19"/>
      <c r="ER359" s="19"/>
      <c r="ES359" s="19"/>
      <c r="ET359" s="19"/>
      <c r="EU359" s="19"/>
      <c r="EV359" s="19"/>
      <c r="EW359" s="19"/>
      <c r="EX359" s="19"/>
      <c r="EY359" s="19"/>
      <c r="EZ359" s="19"/>
      <c r="FA359" s="19"/>
      <c r="FB359" s="19"/>
      <c r="FC359" s="19"/>
      <c r="FD359" s="19"/>
      <c r="FE359" s="19"/>
      <c r="FF359" s="19"/>
      <c r="FG359" s="19"/>
      <c r="FH359" s="19"/>
      <c r="FI359" s="19"/>
    </row>
    <row r="360" spans="1:165" x14ac:dyDescent="0.25">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c r="BE360" s="19"/>
      <c r="BF360" s="19"/>
      <c r="BG360" s="19"/>
      <c r="BH360" s="19"/>
      <c r="BI360" s="19"/>
      <c r="BJ360" s="19"/>
      <c r="BK360" s="19"/>
      <c r="BL360" s="19"/>
      <c r="BM360" s="19"/>
      <c r="BN360" s="19"/>
      <c r="BO360" s="19"/>
      <c r="BP360" s="19"/>
      <c r="BQ360" s="19"/>
      <c r="BR360" s="19"/>
      <c r="BS360" s="19"/>
      <c r="BT360" s="19"/>
      <c r="BU360" s="19"/>
      <c r="BV360" s="19"/>
      <c r="BW360" s="19"/>
      <c r="BX360" s="19"/>
      <c r="BY360" s="19"/>
      <c r="BZ360" s="19"/>
      <c r="CA360" s="19"/>
      <c r="CB360" s="19"/>
      <c r="CC360" s="19"/>
      <c r="CD360" s="19"/>
      <c r="CE360" s="19"/>
      <c r="CF360" s="19"/>
      <c r="CG360" s="19"/>
      <c r="CH360" s="19"/>
      <c r="CI360" s="19"/>
      <c r="CJ360" s="19"/>
      <c r="CK360" s="19"/>
      <c r="CL360" s="19"/>
      <c r="CM360" s="19"/>
      <c r="CN360" s="19"/>
      <c r="CO360" s="19"/>
      <c r="CP360" s="19"/>
      <c r="CQ360" s="19"/>
      <c r="CR360" s="19"/>
      <c r="CS360" s="19"/>
      <c r="CT360" s="19"/>
      <c r="CU360" s="19"/>
      <c r="CV360" s="19"/>
      <c r="CW360" s="19"/>
      <c r="CX360" s="19"/>
      <c r="CY360" s="19"/>
      <c r="CZ360" s="19"/>
      <c r="DA360" s="19"/>
      <c r="DB360" s="19"/>
      <c r="DC360" s="19"/>
      <c r="DD360" s="19"/>
      <c r="DE360" s="19"/>
      <c r="DF360" s="19"/>
      <c r="DG360" s="19"/>
      <c r="DH360" s="19"/>
      <c r="DI360" s="19"/>
      <c r="DJ360" s="19"/>
      <c r="DK360" s="19"/>
      <c r="DL360" s="19"/>
      <c r="DM360" s="19"/>
      <c r="DN360" s="19"/>
      <c r="DO360" s="19"/>
      <c r="DP360" s="19"/>
      <c r="DQ360" s="19"/>
      <c r="DR360" s="19"/>
      <c r="DS360" s="19"/>
      <c r="DT360" s="19"/>
      <c r="DU360" s="19"/>
      <c r="DV360" s="19"/>
      <c r="DW360" s="19"/>
      <c r="DX360" s="19"/>
      <c r="DY360" s="19"/>
      <c r="DZ360" s="19"/>
      <c r="EA360" s="19"/>
      <c r="EB360" s="19"/>
      <c r="EC360" s="19"/>
      <c r="ED360" s="19"/>
      <c r="EE360" s="19"/>
      <c r="EF360" s="19"/>
      <c r="EG360" s="19"/>
      <c r="EH360" s="19"/>
      <c r="EI360" s="19"/>
      <c r="EJ360" s="19"/>
      <c r="EK360" s="19"/>
      <c r="EL360" s="19"/>
      <c r="EM360" s="19"/>
      <c r="EN360" s="19"/>
      <c r="EO360" s="19"/>
      <c r="EP360" s="19"/>
      <c r="EQ360" s="19"/>
      <c r="ER360" s="19"/>
      <c r="ES360" s="19"/>
      <c r="ET360" s="19"/>
      <c r="EU360" s="19"/>
      <c r="EV360" s="19"/>
      <c r="EW360" s="19"/>
      <c r="EX360" s="19"/>
      <c r="EY360" s="19"/>
      <c r="EZ360" s="19"/>
      <c r="FA360" s="19"/>
      <c r="FB360" s="19"/>
      <c r="FC360" s="19"/>
      <c r="FD360" s="19"/>
      <c r="FE360" s="19"/>
      <c r="FF360" s="19"/>
      <c r="FG360" s="19"/>
      <c r="FH360" s="19"/>
      <c r="FI360" s="19"/>
    </row>
    <row r="361" spans="1:165" x14ac:dyDescent="0.25">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c r="BE361" s="19"/>
      <c r="BF361" s="19"/>
      <c r="BG361" s="19"/>
      <c r="BH361" s="19"/>
      <c r="BI361" s="19"/>
      <c r="BJ361" s="19"/>
      <c r="BK361" s="19"/>
      <c r="BL361" s="19"/>
      <c r="BM361" s="19"/>
      <c r="BN361" s="19"/>
      <c r="BO361" s="19"/>
      <c r="BP361" s="19"/>
      <c r="BQ361" s="19"/>
      <c r="BR361" s="19"/>
      <c r="BS361" s="19"/>
      <c r="BT361" s="19"/>
      <c r="BU361" s="19"/>
      <c r="BV361" s="19"/>
      <c r="BW361" s="19"/>
      <c r="BX361" s="19"/>
      <c r="BY361" s="19"/>
      <c r="BZ361" s="19"/>
      <c r="CA361" s="19"/>
      <c r="CB361" s="19"/>
      <c r="CC361" s="19"/>
      <c r="CD361" s="19"/>
      <c r="CE361" s="19"/>
      <c r="CF361" s="19"/>
      <c r="CG361" s="19"/>
      <c r="CH361" s="19"/>
      <c r="CI361" s="19"/>
      <c r="CJ361" s="19"/>
      <c r="CK361" s="19"/>
      <c r="CL361" s="19"/>
      <c r="CM361" s="19"/>
      <c r="CN361" s="19"/>
      <c r="CO361" s="19"/>
      <c r="CP361" s="19"/>
      <c r="CQ361" s="19"/>
      <c r="CR361" s="19"/>
      <c r="CS361" s="19"/>
      <c r="CT361" s="19"/>
      <c r="CU361" s="19"/>
      <c r="CV361" s="19"/>
      <c r="CW361" s="19"/>
      <c r="CX361" s="19"/>
      <c r="CY361" s="19"/>
      <c r="CZ361" s="19"/>
      <c r="DA361" s="19"/>
      <c r="DB361" s="19"/>
      <c r="DC361" s="19"/>
      <c r="DD361" s="19"/>
      <c r="DE361" s="19"/>
      <c r="DF361" s="19"/>
      <c r="DG361" s="19"/>
      <c r="DH361" s="19"/>
      <c r="DI361" s="19"/>
      <c r="DJ361" s="19"/>
      <c r="DK361" s="19"/>
      <c r="DL361" s="19"/>
      <c r="DM361" s="19"/>
      <c r="DN361" s="19"/>
      <c r="DO361" s="19"/>
      <c r="DP361" s="19"/>
      <c r="DQ361" s="19"/>
      <c r="DR361" s="19"/>
      <c r="DS361" s="19"/>
      <c r="DT361" s="19"/>
      <c r="DU361" s="19"/>
      <c r="DV361" s="19"/>
      <c r="DW361" s="19"/>
      <c r="DX361" s="19"/>
      <c r="DY361" s="19"/>
      <c r="DZ361" s="19"/>
      <c r="EA361" s="19"/>
      <c r="EB361" s="19"/>
      <c r="EC361" s="19"/>
      <c r="ED361" s="19"/>
      <c r="EE361" s="19"/>
      <c r="EF361" s="19"/>
      <c r="EG361" s="19"/>
      <c r="EH361" s="19"/>
      <c r="EI361" s="19"/>
      <c r="EJ361" s="19"/>
      <c r="EK361" s="19"/>
      <c r="EL361" s="19"/>
      <c r="EM361" s="19"/>
      <c r="EN361" s="19"/>
      <c r="EO361" s="19"/>
      <c r="EP361" s="19"/>
      <c r="EQ361" s="19"/>
      <c r="ER361" s="19"/>
      <c r="ES361" s="19"/>
      <c r="ET361" s="19"/>
      <c r="EU361" s="19"/>
      <c r="EV361" s="19"/>
      <c r="EW361" s="19"/>
      <c r="EX361" s="19"/>
      <c r="EY361" s="19"/>
      <c r="EZ361" s="19"/>
      <c r="FA361" s="19"/>
      <c r="FB361" s="19"/>
      <c r="FC361" s="19"/>
      <c r="FD361" s="19"/>
      <c r="FE361" s="19"/>
      <c r="FF361" s="19"/>
      <c r="FG361" s="19"/>
      <c r="FH361" s="19"/>
      <c r="FI361" s="19"/>
    </row>
    <row r="362" spans="1:165" x14ac:dyDescent="0.25">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c r="BE362" s="19"/>
      <c r="BF362" s="19"/>
      <c r="BG362" s="19"/>
      <c r="BH362" s="19"/>
      <c r="BI362" s="19"/>
      <c r="BJ362" s="19"/>
      <c r="BK362" s="19"/>
      <c r="BL362" s="19"/>
      <c r="BM362" s="19"/>
      <c r="BN362" s="19"/>
      <c r="BO362" s="19"/>
      <c r="BP362" s="19"/>
      <c r="BQ362" s="19"/>
      <c r="BR362" s="19"/>
      <c r="BS362" s="19"/>
      <c r="BT362" s="19"/>
      <c r="BU362" s="19"/>
      <c r="BV362" s="19"/>
      <c r="BW362" s="19"/>
      <c r="BX362" s="19"/>
      <c r="BY362" s="19"/>
      <c r="BZ362" s="19"/>
      <c r="CA362" s="19"/>
      <c r="CB362" s="19"/>
      <c r="CC362" s="19"/>
      <c r="CD362" s="19"/>
      <c r="CE362" s="19"/>
      <c r="CF362" s="19"/>
      <c r="CG362" s="19"/>
      <c r="CH362" s="19"/>
      <c r="CI362" s="19"/>
      <c r="CJ362" s="19"/>
      <c r="CK362" s="19"/>
      <c r="CL362" s="19"/>
      <c r="CM362" s="19"/>
      <c r="CN362" s="19"/>
      <c r="CO362" s="19"/>
      <c r="CP362" s="19"/>
      <c r="CQ362" s="19"/>
      <c r="CR362" s="19"/>
      <c r="CS362" s="19"/>
      <c r="CT362" s="19"/>
      <c r="CU362" s="19"/>
      <c r="CV362" s="19"/>
      <c r="CW362" s="19"/>
      <c r="CX362" s="19"/>
      <c r="CY362" s="19"/>
      <c r="CZ362" s="19"/>
      <c r="DA362" s="19"/>
      <c r="DB362" s="19"/>
      <c r="DC362" s="19"/>
      <c r="DD362" s="19"/>
      <c r="DE362" s="19"/>
      <c r="DF362" s="19"/>
      <c r="DG362" s="19"/>
      <c r="DH362" s="19"/>
      <c r="DI362" s="19"/>
      <c r="DJ362" s="19"/>
      <c r="DK362" s="19"/>
      <c r="DL362" s="19"/>
      <c r="DM362" s="19"/>
      <c r="DN362" s="19"/>
      <c r="DO362" s="19"/>
      <c r="DP362" s="19"/>
      <c r="DQ362" s="19"/>
      <c r="DR362" s="19"/>
      <c r="DS362" s="19"/>
      <c r="DT362" s="19"/>
      <c r="DU362" s="19"/>
      <c r="DV362" s="19"/>
      <c r="DW362" s="19"/>
      <c r="DX362" s="19"/>
      <c r="DY362" s="19"/>
      <c r="DZ362" s="19"/>
      <c r="EA362" s="19"/>
      <c r="EB362" s="19"/>
      <c r="EC362" s="19"/>
      <c r="ED362" s="19"/>
      <c r="EE362" s="19"/>
      <c r="EF362" s="19"/>
      <c r="EG362" s="19"/>
      <c r="EH362" s="19"/>
      <c r="EI362" s="19"/>
      <c r="EJ362" s="19"/>
      <c r="EK362" s="19"/>
      <c r="EL362" s="19"/>
      <c r="EM362" s="19"/>
      <c r="EN362" s="19"/>
      <c r="EO362" s="19"/>
      <c r="EP362" s="19"/>
      <c r="EQ362" s="19"/>
      <c r="ER362" s="19"/>
      <c r="ES362" s="19"/>
      <c r="ET362" s="19"/>
      <c r="EU362" s="19"/>
      <c r="EV362" s="19"/>
      <c r="EW362" s="19"/>
      <c r="EX362" s="19"/>
      <c r="EY362" s="19"/>
      <c r="EZ362" s="19"/>
      <c r="FA362" s="19"/>
      <c r="FB362" s="19"/>
      <c r="FC362" s="19"/>
      <c r="FD362" s="19"/>
      <c r="FE362" s="19"/>
      <c r="FF362" s="19"/>
      <c r="FG362" s="19"/>
      <c r="FH362" s="19"/>
      <c r="FI362" s="19"/>
    </row>
    <row r="363" spans="1:165" x14ac:dyDescent="0.25">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c r="BE363" s="19"/>
      <c r="BF363" s="19"/>
      <c r="BG363" s="19"/>
      <c r="BH363" s="19"/>
      <c r="BI363" s="19"/>
      <c r="BJ363" s="19"/>
      <c r="BK363" s="19"/>
      <c r="BL363" s="19"/>
      <c r="BM363" s="19"/>
      <c r="BN363" s="19"/>
      <c r="BO363" s="19"/>
      <c r="BP363" s="19"/>
      <c r="BQ363" s="19"/>
      <c r="BR363" s="19"/>
      <c r="BS363" s="19"/>
      <c r="BT363" s="19"/>
      <c r="BU363" s="19"/>
      <c r="BV363" s="19"/>
      <c r="BW363" s="19"/>
      <c r="BX363" s="19"/>
      <c r="BY363" s="19"/>
      <c r="BZ363" s="19"/>
      <c r="CA363" s="19"/>
      <c r="CB363" s="19"/>
      <c r="CC363" s="19"/>
      <c r="CD363" s="19"/>
      <c r="CE363" s="19"/>
      <c r="CF363" s="19"/>
      <c r="CG363" s="19"/>
      <c r="CH363" s="19"/>
      <c r="CI363" s="19"/>
      <c r="CJ363" s="19"/>
      <c r="CK363" s="19"/>
      <c r="CL363" s="19"/>
      <c r="CM363" s="19"/>
      <c r="CN363" s="19"/>
      <c r="CO363" s="19"/>
      <c r="CP363" s="19"/>
      <c r="CQ363" s="19"/>
      <c r="CR363" s="19"/>
      <c r="CS363" s="19"/>
      <c r="CT363" s="19"/>
      <c r="CU363" s="19"/>
      <c r="CV363" s="19"/>
      <c r="CW363" s="19"/>
      <c r="CX363" s="19"/>
      <c r="CY363" s="19"/>
      <c r="CZ363" s="19"/>
      <c r="DA363" s="19"/>
      <c r="DB363" s="19"/>
      <c r="DC363" s="19"/>
      <c r="DD363" s="19"/>
      <c r="DE363" s="19"/>
      <c r="DF363" s="19"/>
      <c r="DG363" s="19"/>
      <c r="DH363" s="19"/>
      <c r="DI363" s="19"/>
      <c r="DJ363" s="19"/>
      <c r="DK363" s="19"/>
      <c r="DL363" s="19"/>
      <c r="DM363" s="19"/>
      <c r="DN363" s="19"/>
      <c r="DO363" s="19"/>
      <c r="DP363" s="19"/>
      <c r="DQ363" s="19"/>
      <c r="DR363" s="19"/>
      <c r="DS363" s="19"/>
      <c r="DT363" s="19"/>
      <c r="DU363" s="19"/>
      <c r="DV363" s="19"/>
      <c r="DW363" s="19"/>
      <c r="DX363" s="19"/>
      <c r="DY363" s="19"/>
      <c r="DZ363" s="19"/>
      <c r="EA363" s="19"/>
      <c r="EB363" s="19"/>
      <c r="EC363" s="19"/>
      <c r="ED363" s="19"/>
      <c r="EE363" s="19"/>
      <c r="EF363" s="19"/>
      <c r="EG363" s="19"/>
      <c r="EH363" s="19"/>
      <c r="EI363" s="19"/>
      <c r="EJ363" s="19"/>
      <c r="EK363" s="19"/>
      <c r="EL363" s="19"/>
      <c r="EM363" s="19"/>
      <c r="EN363" s="19"/>
      <c r="EO363" s="19"/>
      <c r="EP363" s="19"/>
      <c r="EQ363" s="19"/>
      <c r="ER363" s="19"/>
      <c r="ES363" s="19"/>
      <c r="ET363" s="19"/>
      <c r="EU363" s="19"/>
      <c r="EV363" s="19"/>
      <c r="EW363" s="19"/>
      <c r="EX363" s="19"/>
      <c r="EY363" s="19"/>
      <c r="EZ363" s="19"/>
      <c r="FA363" s="19"/>
      <c r="FB363" s="19"/>
      <c r="FC363" s="19"/>
      <c r="FD363" s="19"/>
      <c r="FE363" s="19"/>
      <c r="FF363" s="19"/>
      <c r="FG363" s="19"/>
      <c r="FH363" s="19"/>
      <c r="FI363" s="19"/>
    </row>
    <row r="364" spans="1:165" x14ac:dyDescent="0.25">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c r="BE364" s="19"/>
      <c r="BF364" s="19"/>
      <c r="BG364" s="19"/>
      <c r="BH364" s="19"/>
      <c r="BI364" s="19"/>
      <c r="BJ364" s="19"/>
      <c r="BK364" s="19"/>
      <c r="BL364" s="19"/>
      <c r="BM364" s="19"/>
      <c r="BN364" s="19"/>
      <c r="BO364" s="19"/>
      <c r="BP364" s="19"/>
      <c r="BQ364" s="19"/>
      <c r="BR364" s="19"/>
      <c r="BS364" s="19"/>
      <c r="BT364" s="19"/>
      <c r="BU364" s="19"/>
      <c r="BV364" s="19"/>
      <c r="BW364" s="19"/>
      <c r="BX364" s="19"/>
      <c r="BY364" s="19"/>
      <c r="BZ364" s="19"/>
      <c r="CA364" s="19"/>
      <c r="CB364" s="19"/>
      <c r="CC364" s="19"/>
      <c r="CD364" s="19"/>
      <c r="CE364" s="19"/>
      <c r="CF364" s="19"/>
      <c r="CG364" s="19"/>
      <c r="CH364" s="19"/>
      <c r="CI364" s="19"/>
      <c r="CJ364" s="19"/>
      <c r="CK364" s="19"/>
      <c r="CL364" s="19"/>
      <c r="CM364" s="19"/>
      <c r="CN364" s="19"/>
      <c r="CO364" s="19"/>
      <c r="CP364" s="19"/>
      <c r="CQ364" s="19"/>
      <c r="CR364" s="19"/>
      <c r="CS364" s="19"/>
      <c r="CT364" s="19"/>
      <c r="CU364" s="19"/>
      <c r="CV364" s="19"/>
      <c r="CW364" s="19"/>
      <c r="CX364" s="19"/>
      <c r="CY364" s="19"/>
      <c r="CZ364" s="19"/>
      <c r="DA364" s="19"/>
      <c r="DB364" s="19"/>
      <c r="DC364" s="19"/>
      <c r="DD364" s="19"/>
      <c r="DE364" s="19"/>
      <c r="DF364" s="19"/>
      <c r="DG364" s="19"/>
      <c r="DH364" s="19"/>
      <c r="DI364" s="19"/>
      <c r="DJ364" s="19"/>
      <c r="DK364" s="19"/>
      <c r="DL364" s="19"/>
      <c r="DM364" s="19"/>
      <c r="DN364" s="19"/>
      <c r="DO364" s="19"/>
      <c r="DP364" s="19"/>
      <c r="DQ364" s="19"/>
      <c r="DR364" s="19"/>
      <c r="DS364" s="19"/>
      <c r="DT364" s="19"/>
      <c r="DU364" s="19"/>
      <c r="DV364" s="19"/>
      <c r="DW364" s="19"/>
      <c r="DX364" s="19"/>
      <c r="DY364" s="19"/>
      <c r="DZ364" s="19"/>
      <c r="EA364" s="19"/>
      <c r="EB364" s="19"/>
      <c r="EC364" s="19"/>
      <c r="ED364" s="19"/>
      <c r="EE364" s="19"/>
      <c r="EF364" s="19"/>
      <c r="EG364" s="19"/>
      <c r="EH364" s="19"/>
      <c r="EI364" s="19"/>
      <c r="EJ364" s="19"/>
      <c r="EK364" s="19"/>
      <c r="EL364" s="19"/>
      <c r="EM364" s="19"/>
      <c r="EN364" s="19"/>
      <c r="EO364" s="19"/>
      <c r="EP364" s="19"/>
      <c r="EQ364" s="19"/>
      <c r="ER364" s="19"/>
      <c r="ES364" s="19"/>
      <c r="ET364" s="19"/>
      <c r="EU364" s="19"/>
      <c r="EV364" s="19"/>
      <c r="EW364" s="19"/>
      <c r="EX364" s="19"/>
      <c r="EY364" s="19"/>
      <c r="EZ364" s="19"/>
      <c r="FA364" s="19"/>
      <c r="FB364" s="19"/>
      <c r="FC364" s="19"/>
      <c r="FD364" s="19"/>
      <c r="FE364" s="19"/>
      <c r="FF364" s="19"/>
      <c r="FG364" s="19"/>
      <c r="FH364" s="19"/>
      <c r="FI364" s="19"/>
    </row>
    <row r="365" spans="1:165" x14ac:dyDescent="0.25">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c r="BE365" s="19"/>
      <c r="BF365" s="19"/>
      <c r="BG365" s="19"/>
      <c r="BH365" s="19"/>
      <c r="BI365" s="19"/>
      <c r="BJ365" s="19"/>
      <c r="BK365" s="19"/>
      <c r="BL365" s="19"/>
      <c r="BM365" s="19"/>
      <c r="BN365" s="19"/>
      <c r="BO365" s="19"/>
      <c r="BP365" s="19"/>
      <c r="BQ365" s="19"/>
      <c r="BR365" s="19"/>
      <c r="BS365" s="19"/>
      <c r="BT365" s="19"/>
      <c r="BU365" s="19"/>
      <c r="BV365" s="19"/>
      <c r="BW365" s="19"/>
      <c r="BX365" s="19"/>
      <c r="BY365" s="19"/>
      <c r="BZ365" s="19"/>
      <c r="CA365" s="19"/>
      <c r="CB365" s="19"/>
      <c r="CC365" s="19"/>
      <c r="CD365" s="19"/>
      <c r="CE365" s="19"/>
      <c r="CF365" s="19"/>
      <c r="CG365" s="19"/>
      <c r="CH365" s="19"/>
      <c r="CI365" s="19"/>
      <c r="CJ365" s="19"/>
      <c r="CK365" s="19"/>
      <c r="CL365" s="19"/>
      <c r="CM365" s="19"/>
      <c r="CN365" s="19"/>
      <c r="CO365" s="19"/>
      <c r="CP365" s="19"/>
      <c r="CQ365" s="19"/>
      <c r="CR365" s="19"/>
      <c r="CS365" s="19"/>
      <c r="CT365" s="19"/>
      <c r="CU365" s="19"/>
      <c r="CV365" s="19"/>
      <c r="CW365" s="19"/>
      <c r="CX365" s="19"/>
      <c r="CY365" s="19"/>
      <c r="CZ365" s="19"/>
      <c r="DA365" s="19"/>
      <c r="DB365" s="19"/>
      <c r="DC365" s="19"/>
      <c r="DD365" s="19"/>
      <c r="DE365" s="19"/>
      <c r="DF365" s="19"/>
      <c r="DG365" s="19"/>
      <c r="DH365" s="19"/>
      <c r="DI365" s="19"/>
      <c r="DJ365" s="19"/>
      <c r="DK365" s="19"/>
      <c r="DL365" s="19"/>
      <c r="DM365" s="19"/>
      <c r="DN365" s="19"/>
      <c r="DO365" s="19"/>
      <c r="DP365" s="19"/>
      <c r="DQ365" s="19"/>
      <c r="DR365" s="19"/>
      <c r="DS365" s="19"/>
      <c r="DT365" s="19"/>
      <c r="DU365" s="19"/>
      <c r="DV365" s="19"/>
      <c r="DW365" s="19"/>
      <c r="DX365" s="19"/>
      <c r="DY365" s="19"/>
      <c r="DZ365" s="19"/>
      <c r="EA365" s="19"/>
      <c r="EB365" s="19"/>
      <c r="EC365" s="19"/>
      <c r="ED365" s="19"/>
      <c r="EE365" s="19"/>
      <c r="EF365" s="19"/>
      <c r="EG365" s="19"/>
      <c r="EH365" s="19"/>
      <c r="EI365" s="19"/>
      <c r="EJ365" s="19"/>
      <c r="EK365" s="19"/>
      <c r="EL365" s="19"/>
      <c r="EM365" s="19"/>
      <c r="EN365" s="19"/>
      <c r="EO365" s="19"/>
      <c r="EP365" s="19"/>
      <c r="EQ365" s="19"/>
      <c r="ER365" s="19"/>
      <c r="ES365" s="19"/>
      <c r="ET365" s="19"/>
      <c r="EU365" s="19"/>
      <c r="EV365" s="19"/>
      <c r="EW365" s="19"/>
      <c r="EX365" s="19"/>
      <c r="EY365" s="19"/>
      <c r="EZ365" s="19"/>
      <c r="FA365" s="19"/>
      <c r="FB365" s="19"/>
      <c r="FC365" s="19"/>
      <c r="FD365" s="19"/>
      <c r="FE365" s="19"/>
      <c r="FF365" s="19"/>
      <c r="FG365" s="19"/>
      <c r="FH365" s="19"/>
      <c r="FI365" s="19"/>
    </row>
    <row r="366" spans="1:165" x14ac:dyDescent="0.25">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c r="BE366" s="19"/>
      <c r="BF366" s="19"/>
      <c r="BG366" s="19"/>
      <c r="BH366" s="19"/>
      <c r="BI366" s="19"/>
      <c r="BJ366" s="19"/>
      <c r="BK366" s="19"/>
      <c r="BL366" s="19"/>
      <c r="BM366" s="19"/>
      <c r="BN366" s="19"/>
      <c r="BO366" s="19"/>
      <c r="BP366" s="19"/>
      <c r="BQ366" s="19"/>
      <c r="BR366" s="19"/>
      <c r="BS366" s="19"/>
      <c r="BT366" s="19"/>
      <c r="BU366" s="19"/>
      <c r="BV366" s="19"/>
      <c r="BW366" s="19"/>
      <c r="BX366" s="19"/>
      <c r="BY366" s="19"/>
      <c r="BZ366" s="19"/>
      <c r="CA366" s="19"/>
      <c r="CB366" s="19"/>
      <c r="CC366" s="19"/>
      <c r="CD366" s="19"/>
      <c r="CE366" s="19"/>
      <c r="CF366" s="19"/>
      <c r="CG366" s="19"/>
      <c r="CH366" s="19"/>
      <c r="CI366" s="19"/>
      <c r="CJ366" s="19"/>
      <c r="CK366" s="19"/>
      <c r="CL366" s="19"/>
      <c r="CM366" s="19"/>
      <c r="CN366" s="19"/>
      <c r="CO366" s="19"/>
      <c r="CP366" s="19"/>
      <c r="CQ366" s="19"/>
      <c r="CR366" s="19"/>
      <c r="CS366" s="19"/>
      <c r="CT366" s="19"/>
      <c r="CU366" s="19"/>
      <c r="CV366" s="19"/>
      <c r="CW366" s="19"/>
      <c r="CX366" s="19"/>
      <c r="CY366" s="19"/>
      <c r="CZ366" s="19"/>
      <c r="DA366" s="19"/>
      <c r="DB366" s="19"/>
      <c r="DC366" s="19"/>
      <c r="DD366" s="19"/>
      <c r="DE366" s="19"/>
      <c r="DF366" s="19"/>
      <c r="DG366" s="19"/>
      <c r="DH366" s="19"/>
      <c r="DI366" s="19"/>
      <c r="DJ366" s="19"/>
      <c r="DK366" s="19"/>
      <c r="DL366" s="19"/>
      <c r="DM366" s="19"/>
      <c r="DN366" s="19"/>
      <c r="DO366" s="19"/>
      <c r="DP366" s="19"/>
      <c r="DQ366" s="19"/>
      <c r="DR366" s="19"/>
      <c r="DS366" s="19"/>
      <c r="DT366" s="19"/>
      <c r="DU366" s="19"/>
      <c r="DV366" s="19"/>
      <c r="DW366" s="19"/>
      <c r="DX366" s="19"/>
      <c r="DY366" s="19"/>
      <c r="DZ366" s="19"/>
      <c r="EA366" s="19"/>
      <c r="EB366" s="19"/>
      <c r="EC366" s="19"/>
      <c r="ED366" s="19"/>
      <c r="EE366" s="19"/>
      <c r="EF366" s="19"/>
      <c r="EG366" s="19"/>
      <c r="EH366" s="19"/>
      <c r="EI366" s="19"/>
      <c r="EJ366" s="19"/>
      <c r="EK366" s="19"/>
      <c r="EL366" s="19"/>
      <c r="EM366" s="19"/>
      <c r="EN366" s="19"/>
      <c r="EO366" s="19"/>
      <c r="EP366" s="19"/>
      <c r="EQ366" s="19"/>
      <c r="ER366" s="19"/>
      <c r="ES366" s="19"/>
      <c r="ET366" s="19"/>
      <c r="EU366" s="19"/>
      <c r="EV366" s="19"/>
      <c r="EW366" s="19"/>
      <c r="EX366" s="19"/>
      <c r="EY366" s="19"/>
      <c r="EZ366" s="19"/>
      <c r="FA366" s="19"/>
      <c r="FB366" s="19"/>
      <c r="FC366" s="19"/>
      <c r="FD366" s="19"/>
      <c r="FE366" s="19"/>
      <c r="FF366" s="19"/>
      <c r="FG366" s="19"/>
      <c r="FH366" s="19"/>
      <c r="FI366" s="19"/>
    </row>
    <row r="367" spans="1:165" x14ac:dyDescent="0.25">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c r="BE367" s="19"/>
      <c r="BF367" s="19"/>
      <c r="BG367" s="19"/>
      <c r="BH367" s="19"/>
      <c r="BI367" s="19"/>
      <c r="BJ367" s="19"/>
      <c r="BK367" s="19"/>
      <c r="BL367" s="19"/>
      <c r="BM367" s="19"/>
      <c r="BN367" s="19"/>
      <c r="BO367" s="19"/>
      <c r="BP367" s="19"/>
      <c r="BQ367" s="19"/>
      <c r="BR367" s="19"/>
      <c r="BS367" s="19"/>
      <c r="BT367" s="19"/>
      <c r="BU367" s="19"/>
      <c r="BV367" s="19"/>
      <c r="BW367" s="19"/>
      <c r="BX367" s="19"/>
      <c r="BY367" s="19"/>
      <c r="BZ367" s="19"/>
      <c r="CA367" s="19"/>
      <c r="CB367" s="19"/>
      <c r="CC367" s="19"/>
      <c r="CD367" s="19"/>
      <c r="CE367" s="19"/>
      <c r="CF367" s="19"/>
      <c r="CG367" s="19"/>
      <c r="CH367" s="19"/>
      <c r="CI367" s="19"/>
      <c r="CJ367" s="19"/>
      <c r="CK367" s="19"/>
      <c r="CL367" s="19"/>
      <c r="CM367" s="19"/>
      <c r="CN367" s="19"/>
      <c r="CO367" s="19"/>
      <c r="CP367" s="19"/>
      <c r="CQ367" s="19"/>
      <c r="CR367" s="19"/>
      <c r="CS367" s="19"/>
      <c r="CT367" s="19"/>
      <c r="CU367" s="19"/>
      <c r="CV367" s="19"/>
      <c r="CW367" s="19"/>
      <c r="CX367" s="19"/>
      <c r="CY367" s="19"/>
      <c r="CZ367" s="19"/>
      <c r="DA367" s="19"/>
      <c r="DB367" s="19"/>
      <c r="DC367" s="19"/>
      <c r="DD367" s="19"/>
      <c r="DE367" s="19"/>
      <c r="DF367" s="19"/>
      <c r="DG367" s="19"/>
      <c r="DH367" s="19"/>
      <c r="DI367" s="19"/>
      <c r="DJ367" s="19"/>
      <c r="DK367" s="19"/>
      <c r="DL367" s="19"/>
      <c r="DM367" s="19"/>
      <c r="DN367" s="19"/>
      <c r="DO367" s="19"/>
      <c r="DP367" s="19"/>
      <c r="DQ367" s="19"/>
      <c r="DR367" s="19"/>
      <c r="DS367" s="19"/>
      <c r="DT367" s="19"/>
      <c r="DU367" s="19"/>
      <c r="DV367" s="19"/>
      <c r="DW367" s="19"/>
      <c r="DX367" s="19"/>
      <c r="DY367" s="19"/>
      <c r="DZ367" s="19"/>
      <c r="EA367" s="19"/>
      <c r="EB367" s="19"/>
      <c r="EC367" s="19"/>
      <c r="ED367" s="19"/>
      <c r="EE367" s="19"/>
      <c r="EF367" s="19"/>
      <c r="EG367" s="19"/>
      <c r="EH367" s="19"/>
      <c r="EI367" s="19"/>
      <c r="EJ367" s="19"/>
      <c r="EK367" s="19"/>
      <c r="EL367" s="19"/>
      <c r="EM367" s="19"/>
      <c r="EN367" s="19"/>
      <c r="EO367" s="19"/>
      <c r="EP367" s="19"/>
      <c r="EQ367" s="19"/>
      <c r="ER367" s="19"/>
      <c r="ES367" s="19"/>
      <c r="ET367" s="19"/>
      <c r="EU367" s="19"/>
      <c r="EV367" s="19"/>
      <c r="EW367" s="19"/>
      <c r="EX367" s="19"/>
      <c r="EY367" s="19"/>
      <c r="EZ367" s="19"/>
      <c r="FA367" s="19"/>
      <c r="FB367" s="19"/>
      <c r="FC367" s="19"/>
      <c r="FD367" s="19"/>
      <c r="FE367" s="19"/>
      <c r="FF367" s="19"/>
      <c r="FG367" s="19"/>
      <c r="FH367" s="19"/>
      <c r="FI367" s="19"/>
    </row>
    <row r="368" spans="1:165" x14ac:dyDescent="0.25">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c r="BE368" s="19"/>
      <c r="BF368" s="19"/>
      <c r="BG368" s="19"/>
      <c r="BH368" s="19"/>
      <c r="BI368" s="19"/>
      <c r="BJ368" s="19"/>
      <c r="BK368" s="19"/>
      <c r="BL368" s="19"/>
      <c r="BM368" s="19"/>
      <c r="BN368" s="19"/>
      <c r="BO368" s="19"/>
      <c r="BP368" s="19"/>
      <c r="BQ368" s="19"/>
      <c r="BR368" s="19"/>
      <c r="BS368" s="19"/>
      <c r="BT368" s="19"/>
      <c r="BU368" s="19"/>
      <c r="BV368" s="19"/>
      <c r="BW368" s="19"/>
      <c r="BX368" s="19"/>
      <c r="BY368" s="19"/>
      <c r="BZ368" s="19"/>
      <c r="CA368" s="19"/>
      <c r="CB368" s="19"/>
      <c r="CC368" s="19"/>
      <c r="CD368" s="19"/>
      <c r="CE368" s="19"/>
      <c r="CF368" s="19"/>
      <c r="CG368" s="19"/>
      <c r="CH368" s="19"/>
      <c r="CI368" s="19"/>
      <c r="CJ368" s="19"/>
      <c r="CK368" s="19"/>
      <c r="CL368" s="19"/>
      <c r="CM368" s="19"/>
      <c r="CN368" s="19"/>
      <c r="CO368" s="19"/>
      <c r="CP368" s="19"/>
      <c r="CQ368" s="19"/>
      <c r="CR368" s="19"/>
      <c r="CS368" s="19"/>
      <c r="CT368" s="19"/>
      <c r="CU368" s="19"/>
      <c r="CV368" s="19"/>
      <c r="CW368" s="19"/>
      <c r="CX368" s="19"/>
      <c r="CY368" s="19"/>
      <c r="CZ368" s="19"/>
      <c r="DA368" s="19"/>
      <c r="DB368" s="19"/>
      <c r="DC368" s="19"/>
      <c r="DD368" s="19"/>
      <c r="DE368" s="19"/>
      <c r="DF368" s="19"/>
      <c r="DG368" s="19"/>
      <c r="DH368" s="19"/>
      <c r="DI368" s="19"/>
      <c r="DJ368" s="19"/>
      <c r="DK368" s="19"/>
      <c r="DL368" s="19"/>
      <c r="DM368" s="19"/>
      <c r="DN368" s="19"/>
      <c r="DO368" s="19"/>
      <c r="DP368" s="19"/>
      <c r="DQ368" s="19"/>
      <c r="DR368" s="19"/>
      <c r="DS368" s="19"/>
      <c r="DT368" s="19"/>
      <c r="DU368" s="19"/>
      <c r="DV368" s="19"/>
      <c r="DW368" s="19"/>
      <c r="DX368" s="19"/>
      <c r="DY368" s="19"/>
      <c r="DZ368" s="19"/>
      <c r="EA368" s="19"/>
      <c r="EB368" s="19"/>
      <c r="EC368" s="19"/>
      <c r="ED368" s="19"/>
      <c r="EE368" s="19"/>
      <c r="EF368" s="19"/>
      <c r="EG368" s="19"/>
      <c r="EH368" s="19"/>
      <c r="EI368" s="19"/>
      <c r="EJ368" s="19"/>
      <c r="EK368" s="19"/>
      <c r="EL368" s="19"/>
      <c r="EM368" s="19"/>
      <c r="EN368" s="19"/>
      <c r="EO368" s="19"/>
      <c r="EP368" s="19"/>
      <c r="EQ368" s="19"/>
      <c r="ER368" s="19"/>
      <c r="ES368" s="19"/>
      <c r="ET368" s="19"/>
      <c r="EU368" s="19"/>
      <c r="EV368" s="19"/>
      <c r="EW368" s="19"/>
      <c r="EX368" s="19"/>
      <c r="EY368" s="19"/>
      <c r="EZ368" s="19"/>
      <c r="FA368" s="19"/>
      <c r="FB368" s="19"/>
      <c r="FC368" s="19"/>
      <c r="FD368" s="19"/>
      <c r="FE368" s="19"/>
      <c r="FF368" s="19"/>
      <c r="FG368" s="19"/>
      <c r="FH368" s="19"/>
      <c r="FI368" s="19"/>
    </row>
    <row r="369" spans="1:165" x14ac:dyDescent="0.25">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c r="BE369" s="19"/>
      <c r="BF369" s="19"/>
      <c r="BG369" s="19"/>
      <c r="BH369" s="19"/>
      <c r="BI369" s="19"/>
      <c r="BJ369" s="19"/>
      <c r="BK369" s="19"/>
      <c r="BL369" s="19"/>
      <c r="BM369" s="19"/>
      <c r="BN369" s="19"/>
      <c r="BO369" s="19"/>
      <c r="BP369" s="19"/>
      <c r="BQ369" s="19"/>
      <c r="BR369" s="19"/>
      <c r="BS369" s="19"/>
      <c r="BT369" s="19"/>
      <c r="BU369" s="19"/>
      <c r="BV369" s="19"/>
      <c r="BW369" s="19"/>
      <c r="BX369" s="19"/>
      <c r="BY369" s="19"/>
      <c r="BZ369" s="19"/>
      <c r="CA369" s="19"/>
      <c r="CB369" s="19"/>
      <c r="CC369" s="19"/>
      <c r="CD369" s="19"/>
      <c r="CE369" s="19"/>
      <c r="CF369" s="19"/>
      <c r="CG369" s="19"/>
      <c r="CH369" s="19"/>
      <c r="CI369" s="19"/>
      <c r="CJ369" s="19"/>
      <c r="CK369" s="19"/>
      <c r="CL369" s="19"/>
      <c r="CM369" s="19"/>
      <c r="CN369" s="19"/>
      <c r="CO369" s="19"/>
      <c r="CP369" s="19"/>
      <c r="CQ369" s="19"/>
      <c r="CR369" s="19"/>
      <c r="CS369" s="19"/>
      <c r="CT369" s="19"/>
      <c r="CU369" s="19"/>
      <c r="CV369" s="19"/>
      <c r="CW369" s="19"/>
      <c r="CX369" s="19"/>
      <c r="CY369" s="19"/>
      <c r="CZ369" s="19"/>
      <c r="DA369" s="19"/>
      <c r="DB369" s="19"/>
      <c r="DC369" s="19"/>
      <c r="DD369" s="19"/>
      <c r="DE369" s="19"/>
      <c r="DF369" s="19"/>
      <c r="DG369" s="19"/>
      <c r="DH369" s="19"/>
      <c r="DI369" s="19"/>
      <c r="DJ369" s="19"/>
      <c r="DK369" s="19"/>
      <c r="DL369" s="19"/>
      <c r="DM369" s="19"/>
      <c r="DN369" s="19"/>
      <c r="DO369" s="19"/>
      <c r="DP369" s="19"/>
      <c r="DQ369" s="19"/>
      <c r="DR369" s="19"/>
      <c r="DS369" s="19"/>
      <c r="DT369" s="19"/>
      <c r="DU369" s="19"/>
      <c r="DV369" s="19"/>
      <c r="DW369" s="19"/>
      <c r="DX369" s="19"/>
      <c r="DY369" s="19"/>
      <c r="DZ369" s="19"/>
      <c r="EA369" s="19"/>
      <c r="EB369" s="19"/>
      <c r="EC369" s="19"/>
      <c r="ED369" s="19"/>
      <c r="EE369" s="19"/>
      <c r="EF369" s="19"/>
      <c r="EG369" s="19"/>
      <c r="EH369" s="19"/>
      <c r="EI369" s="19"/>
      <c r="EJ369" s="19"/>
      <c r="EK369" s="19"/>
      <c r="EL369" s="19"/>
      <c r="EM369" s="19"/>
      <c r="EN369" s="19"/>
      <c r="EO369" s="19"/>
      <c r="EP369" s="19"/>
      <c r="EQ369" s="19"/>
      <c r="ER369" s="19"/>
      <c r="ES369" s="19"/>
      <c r="ET369" s="19"/>
      <c r="EU369" s="19"/>
      <c r="EV369" s="19"/>
      <c r="EW369" s="19"/>
      <c r="EX369" s="19"/>
      <c r="EY369" s="19"/>
      <c r="EZ369" s="19"/>
      <c r="FA369" s="19"/>
      <c r="FB369" s="19"/>
      <c r="FC369" s="19"/>
      <c r="FD369" s="19"/>
      <c r="FE369" s="19"/>
      <c r="FF369" s="19"/>
      <c r="FG369" s="19"/>
      <c r="FH369" s="19"/>
      <c r="FI369" s="19"/>
    </row>
    <row r="370" spans="1:165" x14ac:dyDescent="0.25">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c r="BE370" s="19"/>
      <c r="BF370" s="19"/>
      <c r="BG370" s="19"/>
      <c r="BH370" s="19"/>
      <c r="BI370" s="19"/>
      <c r="BJ370" s="19"/>
      <c r="BK370" s="19"/>
      <c r="BL370" s="19"/>
      <c r="BM370" s="19"/>
      <c r="BN370" s="19"/>
      <c r="BO370" s="19"/>
      <c r="BP370" s="19"/>
      <c r="BQ370" s="19"/>
      <c r="BR370" s="19"/>
      <c r="BS370" s="19"/>
      <c r="BT370" s="19"/>
      <c r="BU370" s="19"/>
      <c r="BV370" s="19"/>
      <c r="BW370" s="19"/>
      <c r="BX370" s="19"/>
      <c r="BY370" s="19"/>
      <c r="BZ370" s="19"/>
      <c r="CA370" s="19"/>
      <c r="CB370" s="19"/>
      <c r="CC370" s="19"/>
      <c r="CD370" s="19"/>
      <c r="CE370" s="19"/>
      <c r="CF370" s="19"/>
      <c r="CG370" s="19"/>
      <c r="CH370" s="19"/>
      <c r="CI370" s="19"/>
      <c r="CJ370" s="19"/>
      <c r="CK370" s="19"/>
      <c r="CL370" s="19"/>
      <c r="CM370" s="19"/>
      <c r="CN370" s="19"/>
      <c r="CO370" s="19"/>
      <c r="CP370" s="19"/>
      <c r="CQ370" s="19"/>
      <c r="CR370" s="19"/>
      <c r="CS370" s="19"/>
      <c r="CT370" s="19"/>
      <c r="CU370" s="19"/>
      <c r="CV370" s="19"/>
      <c r="CW370" s="19"/>
      <c r="CX370" s="19"/>
      <c r="CY370" s="19"/>
      <c r="CZ370" s="19"/>
      <c r="DA370" s="19"/>
      <c r="DB370" s="19"/>
      <c r="DC370" s="19"/>
      <c r="DD370" s="19"/>
      <c r="DE370" s="19"/>
      <c r="DF370" s="19"/>
      <c r="DG370" s="19"/>
      <c r="DH370" s="19"/>
      <c r="DI370" s="19"/>
      <c r="DJ370" s="19"/>
      <c r="DK370" s="19"/>
      <c r="DL370" s="19"/>
      <c r="DM370" s="19"/>
      <c r="DN370" s="19"/>
      <c r="DO370" s="19"/>
      <c r="DP370" s="19"/>
      <c r="DQ370" s="19"/>
      <c r="DR370" s="19"/>
      <c r="DS370" s="19"/>
      <c r="DT370" s="19"/>
      <c r="DU370" s="19"/>
      <c r="DV370" s="19"/>
      <c r="DW370" s="19"/>
      <c r="DX370" s="19"/>
      <c r="DY370" s="19"/>
      <c r="DZ370" s="19"/>
      <c r="EA370" s="19"/>
      <c r="EB370" s="19"/>
      <c r="EC370" s="19"/>
      <c r="ED370" s="19"/>
      <c r="EE370" s="19"/>
      <c r="EF370" s="19"/>
      <c r="EG370" s="19"/>
      <c r="EH370" s="19"/>
      <c r="EI370" s="19"/>
      <c r="EJ370" s="19"/>
      <c r="EK370" s="19"/>
      <c r="EL370" s="19"/>
      <c r="EM370" s="19"/>
      <c r="EN370" s="19"/>
      <c r="EO370" s="19"/>
      <c r="EP370" s="19"/>
      <c r="EQ370" s="19"/>
      <c r="ER370" s="19"/>
      <c r="ES370" s="19"/>
      <c r="ET370" s="19"/>
      <c r="EU370" s="19"/>
      <c r="EV370" s="19"/>
      <c r="EW370" s="19"/>
      <c r="EX370" s="19"/>
      <c r="EY370" s="19"/>
      <c r="EZ370" s="19"/>
      <c r="FA370" s="19"/>
      <c r="FB370" s="19"/>
      <c r="FC370" s="19"/>
      <c r="FD370" s="19"/>
      <c r="FE370" s="19"/>
      <c r="FF370" s="19"/>
      <c r="FG370" s="19"/>
      <c r="FH370" s="19"/>
      <c r="FI370" s="19"/>
    </row>
    <row r="371" spans="1:165" x14ac:dyDescent="0.25">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c r="BE371" s="19"/>
      <c r="BF371" s="19"/>
      <c r="BG371" s="19"/>
      <c r="BH371" s="19"/>
      <c r="BI371" s="19"/>
      <c r="BJ371" s="19"/>
      <c r="BK371" s="19"/>
      <c r="BL371" s="19"/>
      <c r="BM371" s="19"/>
      <c r="BN371" s="19"/>
      <c r="BO371" s="19"/>
      <c r="BP371" s="19"/>
      <c r="BQ371" s="19"/>
      <c r="BR371" s="19"/>
      <c r="BS371" s="19"/>
      <c r="BT371" s="19"/>
      <c r="BU371" s="19"/>
      <c r="BV371" s="19"/>
      <c r="BW371" s="19"/>
      <c r="BX371" s="19"/>
      <c r="BY371" s="19"/>
      <c r="BZ371" s="19"/>
      <c r="CA371" s="19"/>
      <c r="CB371" s="19"/>
      <c r="CC371" s="19"/>
      <c r="CD371" s="19"/>
      <c r="CE371" s="19"/>
      <c r="CF371" s="19"/>
      <c r="CG371" s="19"/>
      <c r="CH371" s="19"/>
      <c r="CI371" s="19"/>
      <c r="CJ371" s="19"/>
      <c r="CK371" s="19"/>
      <c r="CL371" s="19"/>
      <c r="CM371" s="19"/>
      <c r="CN371" s="19"/>
      <c r="CO371" s="19"/>
      <c r="CP371" s="19"/>
      <c r="CQ371" s="19"/>
      <c r="CR371" s="19"/>
      <c r="CS371" s="19"/>
      <c r="CT371" s="19"/>
      <c r="CU371" s="19"/>
      <c r="CV371" s="19"/>
      <c r="CW371" s="19"/>
      <c r="CX371" s="19"/>
      <c r="CY371" s="19"/>
      <c r="CZ371" s="19"/>
      <c r="DA371" s="19"/>
      <c r="DB371" s="19"/>
      <c r="DC371" s="19"/>
      <c r="DD371" s="19"/>
      <c r="DE371" s="19"/>
      <c r="DF371" s="19"/>
      <c r="DG371" s="19"/>
      <c r="DH371" s="19"/>
      <c r="DI371" s="19"/>
      <c r="DJ371" s="19"/>
      <c r="DK371" s="19"/>
      <c r="DL371" s="19"/>
      <c r="DM371" s="19"/>
      <c r="DN371" s="19"/>
      <c r="DO371" s="19"/>
      <c r="DP371" s="19"/>
      <c r="DQ371" s="19"/>
      <c r="DR371" s="19"/>
      <c r="DS371" s="19"/>
      <c r="DT371" s="19"/>
      <c r="DU371" s="19"/>
      <c r="DV371" s="19"/>
      <c r="DW371" s="19"/>
      <c r="DX371" s="19"/>
      <c r="DY371" s="19"/>
      <c r="DZ371" s="19"/>
      <c r="EA371" s="19"/>
      <c r="EB371" s="19"/>
      <c r="EC371" s="19"/>
      <c r="ED371" s="19"/>
      <c r="EE371" s="19"/>
      <c r="EF371" s="19"/>
      <c r="EG371" s="19"/>
      <c r="EH371" s="19"/>
      <c r="EI371" s="19"/>
      <c r="EJ371" s="19"/>
      <c r="EK371" s="19"/>
      <c r="EL371" s="19"/>
      <c r="EM371" s="19"/>
      <c r="EN371" s="19"/>
      <c r="EO371" s="19"/>
      <c r="EP371" s="19"/>
      <c r="EQ371" s="19"/>
      <c r="ER371" s="19"/>
      <c r="ES371" s="19"/>
      <c r="ET371" s="19"/>
      <c r="EU371" s="19"/>
      <c r="EV371" s="19"/>
      <c r="EW371" s="19"/>
      <c r="EX371" s="19"/>
      <c r="EY371" s="19"/>
      <c r="EZ371" s="19"/>
      <c r="FA371" s="19"/>
      <c r="FB371" s="19"/>
      <c r="FC371" s="19"/>
      <c r="FD371" s="19"/>
      <c r="FE371" s="19"/>
      <c r="FF371" s="19"/>
      <c r="FG371" s="19"/>
      <c r="FH371" s="19"/>
      <c r="FI371" s="19"/>
    </row>
    <row r="372" spans="1:165" x14ac:dyDescent="0.25">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c r="BE372" s="19"/>
      <c r="BF372" s="19"/>
      <c r="BG372" s="19"/>
      <c r="BH372" s="19"/>
      <c r="BI372" s="19"/>
      <c r="BJ372" s="19"/>
      <c r="BK372" s="19"/>
      <c r="BL372" s="19"/>
      <c r="BM372" s="19"/>
      <c r="BN372" s="19"/>
      <c r="BO372" s="19"/>
      <c r="BP372" s="19"/>
      <c r="BQ372" s="19"/>
      <c r="BR372" s="19"/>
      <c r="BS372" s="19"/>
      <c r="BT372" s="19"/>
      <c r="BU372" s="19"/>
      <c r="BV372" s="19"/>
      <c r="BW372" s="19"/>
      <c r="BX372" s="19"/>
      <c r="BY372" s="19"/>
      <c r="BZ372" s="19"/>
      <c r="CA372" s="19"/>
      <c r="CB372" s="19"/>
      <c r="CC372" s="19"/>
      <c r="CD372" s="19"/>
      <c r="CE372" s="19"/>
      <c r="CF372" s="19"/>
      <c r="CG372" s="19"/>
      <c r="CH372" s="19"/>
      <c r="CI372" s="19"/>
      <c r="CJ372" s="19"/>
      <c r="CK372" s="19"/>
      <c r="CL372" s="19"/>
      <c r="CM372" s="19"/>
      <c r="CN372" s="19"/>
      <c r="CO372" s="19"/>
      <c r="CP372" s="19"/>
      <c r="CQ372" s="19"/>
      <c r="CR372" s="19"/>
      <c r="CS372" s="19"/>
      <c r="CT372" s="19"/>
      <c r="CU372" s="19"/>
      <c r="CV372" s="19"/>
      <c r="CW372" s="19"/>
      <c r="CX372" s="19"/>
      <c r="CY372" s="19"/>
      <c r="CZ372" s="19"/>
      <c r="DA372" s="19"/>
      <c r="DB372" s="19"/>
      <c r="DC372" s="19"/>
      <c r="DD372" s="19"/>
      <c r="DE372" s="19"/>
      <c r="DF372" s="19"/>
      <c r="DG372" s="19"/>
      <c r="DH372" s="19"/>
      <c r="DI372" s="19"/>
      <c r="DJ372" s="19"/>
      <c r="DK372" s="19"/>
      <c r="DL372" s="19"/>
      <c r="DM372" s="19"/>
      <c r="DN372" s="19"/>
      <c r="DO372" s="19"/>
      <c r="DP372" s="19"/>
      <c r="DQ372" s="19"/>
      <c r="DR372" s="19"/>
      <c r="DS372" s="19"/>
      <c r="DT372" s="19"/>
      <c r="DU372" s="19"/>
      <c r="DV372" s="19"/>
      <c r="DW372" s="19"/>
      <c r="DX372" s="19"/>
      <c r="DY372" s="19"/>
      <c r="DZ372" s="19"/>
      <c r="EA372" s="19"/>
      <c r="EB372" s="19"/>
      <c r="EC372" s="19"/>
      <c r="ED372" s="19"/>
      <c r="EE372" s="19"/>
      <c r="EF372" s="19"/>
      <c r="EG372" s="19"/>
      <c r="EH372" s="19"/>
      <c r="EI372" s="19"/>
      <c r="EJ372" s="19"/>
      <c r="EK372" s="19"/>
      <c r="EL372" s="19"/>
      <c r="EM372" s="19"/>
      <c r="EN372" s="19"/>
      <c r="EO372" s="19"/>
      <c r="EP372" s="19"/>
      <c r="EQ372" s="19"/>
      <c r="ER372" s="19"/>
      <c r="ES372" s="19"/>
      <c r="ET372" s="19"/>
      <c r="EU372" s="19"/>
      <c r="EV372" s="19"/>
      <c r="EW372" s="19"/>
      <c r="EX372" s="19"/>
      <c r="EY372" s="19"/>
      <c r="EZ372" s="19"/>
      <c r="FA372" s="19"/>
      <c r="FB372" s="19"/>
      <c r="FC372" s="19"/>
      <c r="FD372" s="19"/>
      <c r="FE372" s="19"/>
      <c r="FF372" s="19"/>
      <c r="FG372" s="19"/>
      <c r="FH372" s="19"/>
      <c r="FI372" s="19"/>
    </row>
    <row r="373" spans="1:165" x14ac:dyDescent="0.25">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c r="BE373" s="19"/>
      <c r="BF373" s="19"/>
      <c r="BG373" s="19"/>
      <c r="BH373" s="19"/>
      <c r="BI373" s="19"/>
      <c r="BJ373" s="19"/>
      <c r="BK373" s="19"/>
      <c r="BL373" s="19"/>
      <c r="BM373" s="19"/>
      <c r="BN373" s="19"/>
      <c r="BO373" s="19"/>
      <c r="BP373" s="19"/>
      <c r="BQ373" s="19"/>
      <c r="BR373" s="19"/>
      <c r="BS373" s="19"/>
      <c r="BT373" s="19"/>
      <c r="BU373" s="19"/>
      <c r="BV373" s="19"/>
      <c r="BW373" s="19"/>
      <c r="BX373" s="19"/>
      <c r="BY373" s="19"/>
      <c r="BZ373" s="19"/>
      <c r="CA373" s="19"/>
      <c r="CB373" s="19"/>
      <c r="CC373" s="19"/>
      <c r="CD373" s="19"/>
      <c r="CE373" s="19"/>
      <c r="CF373" s="19"/>
      <c r="CG373" s="19"/>
      <c r="CH373" s="19"/>
      <c r="CI373" s="19"/>
      <c r="CJ373" s="19"/>
      <c r="CK373" s="19"/>
      <c r="CL373" s="19"/>
      <c r="CM373" s="19"/>
      <c r="CN373" s="19"/>
      <c r="CO373" s="19"/>
      <c r="CP373" s="19"/>
      <c r="CQ373" s="19"/>
      <c r="CR373" s="19"/>
      <c r="CS373" s="19"/>
      <c r="CT373" s="19"/>
      <c r="CU373" s="19"/>
      <c r="CV373" s="19"/>
      <c r="CW373" s="19"/>
      <c r="CX373" s="19"/>
      <c r="CY373" s="19"/>
      <c r="CZ373" s="19"/>
      <c r="DA373" s="19"/>
      <c r="DB373" s="19"/>
      <c r="DC373" s="19"/>
      <c r="DD373" s="19"/>
      <c r="DE373" s="19"/>
      <c r="DF373" s="19"/>
      <c r="DG373" s="19"/>
      <c r="DH373" s="19"/>
      <c r="DI373" s="19"/>
      <c r="DJ373" s="19"/>
      <c r="DK373" s="19"/>
      <c r="DL373" s="19"/>
      <c r="DM373" s="19"/>
      <c r="DN373" s="19"/>
      <c r="DO373" s="19"/>
      <c r="DP373" s="19"/>
      <c r="DQ373" s="19"/>
      <c r="DR373" s="19"/>
      <c r="DS373" s="19"/>
      <c r="DT373" s="19"/>
      <c r="DU373" s="19"/>
      <c r="DV373" s="19"/>
      <c r="DW373" s="19"/>
      <c r="DX373" s="19"/>
      <c r="DY373" s="19"/>
      <c r="DZ373" s="19"/>
      <c r="EA373" s="19"/>
      <c r="EB373" s="19"/>
      <c r="EC373" s="19"/>
      <c r="ED373" s="19"/>
      <c r="EE373" s="19"/>
      <c r="EF373" s="19"/>
      <c r="EG373" s="19"/>
      <c r="EH373" s="19"/>
      <c r="EI373" s="19"/>
      <c r="EJ373" s="19"/>
      <c r="EK373" s="19"/>
      <c r="EL373" s="19"/>
      <c r="EM373" s="19"/>
      <c r="EN373" s="19"/>
      <c r="EO373" s="19"/>
      <c r="EP373" s="19"/>
      <c r="EQ373" s="19"/>
      <c r="ER373" s="19"/>
      <c r="ES373" s="19"/>
      <c r="ET373" s="19"/>
      <c r="EU373" s="19"/>
      <c r="EV373" s="19"/>
      <c r="EW373" s="19"/>
      <c r="EX373" s="19"/>
      <c r="EY373" s="19"/>
      <c r="EZ373" s="19"/>
      <c r="FA373" s="19"/>
      <c r="FB373" s="19"/>
      <c r="FC373" s="19"/>
      <c r="FD373" s="19"/>
      <c r="FE373" s="19"/>
      <c r="FF373" s="19"/>
      <c r="FG373" s="19"/>
      <c r="FH373" s="19"/>
      <c r="FI373" s="19"/>
    </row>
    <row r="374" spans="1:165" x14ac:dyDescent="0.25">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c r="BE374" s="19"/>
      <c r="BF374" s="19"/>
      <c r="BG374" s="19"/>
      <c r="BH374" s="19"/>
      <c r="BI374" s="19"/>
      <c r="BJ374" s="19"/>
      <c r="BK374" s="19"/>
      <c r="BL374" s="19"/>
      <c r="BM374" s="19"/>
      <c r="BN374" s="19"/>
      <c r="BO374" s="19"/>
      <c r="BP374" s="19"/>
      <c r="BQ374" s="19"/>
      <c r="BR374" s="19"/>
      <c r="BS374" s="19"/>
      <c r="BT374" s="19"/>
      <c r="BU374" s="19"/>
      <c r="BV374" s="19"/>
      <c r="BW374" s="19"/>
      <c r="BX374" s="19"/>
      <c r="BY374" s="19"/>
      <c r="BZ374" s="19"/>
      <c r="CA374" s="19"/>
      <c r="CB374" s="19"/>
      <c r="CC374" s="19"/>
      <c r="CD374" s="19"/>
      <c r="CE374" s="19"/>
      <c r="CF374" s="19"/>
      <c r="CG374" s="19"/>
      <c r="CH374" s="19"/>
      <c r="CI374" s="19"/>
      <c r="CJ374" s="19"/>
      <c r="CK374" s="19"/>
      <c r="CL374" s="19"/>
      <c r="CM374" s="19"/>
      <c r="CN374" s="19"/>
      <c r="CO374" s="19"/>
      <c r="CP374" s="19"/>
      <c r="CQ374" s="19"/>
      <c r="CR374" s="19"/>
      <c r="CS374" s="19"/>
      <c r="CT374" s="19"/>
      <c r="CU374" s="19"/>
      <c r="CV374" s="19"/>
      <c r="CW374" s="19"/>
      <c r="CX374" s="19"/>
      <c r="CY374" s="19"/>
      <c r="CZ374" s="19"/>
      <c r="DA374" s="19"/>
      <c r="DB374" s="19"/>
      <c r="DC374" s="19"/>
      <c r="DD374" s="19"/>
      <c r="DE374" s="19"/>
      <c r="DF374" s="19"/>
      <c r="DG374" s="19"/>
      <c r="DH374" s="19"/>
      <c r="DI374" s="19"/>
      <c r="DJ374" s="19"/>
      <c r="DK374" s="19"/>
      <c r="DL374" s="19"/>
      <c r="DM374" s="19"/>
      <c r="DN374" s="19"/>
      <c r="DO374" s="19"/>
      <c r="DP374" s="19"/>
      <c r="DQ374" s="19"/>
      <c r="DR374" s="19"/>
      <c r="DS374" s="19"/>
      <c r="DT374" s="19"/>
      <c r="DU374" s="19"/>
      <c r="DV374" s="19"/>
      <c r="DW374" s="19"/>
      <c r="DX374" s="19"/>
      <c r="DY374" s="19"/>
      <c r="DZ374" s="19"/>
      <c r="EA374" s="19"/>
      <c r="EB374" s="19"/>
      <c r="EC374" s="19"/>
      <c r="ED374" s="19"/>
      <c r="EE374" s="19"/>
      <c r="EF374" s="19"/>
      <c r="EG374" s="19"/>
      <c r="EH374" s="19"/>
      <c r="EI374" s="19"/>
      <c r="EJ374" s="19"/>
      <c r="EK374" s="19"/>
      <c r="EL374" s="19"/>
      <c r="EM374" s="19"/>
      <c r="EN374" s="19"/>
      <c r="EO374" s="19"/>
      <c r="EP374" s="19"/>
      <c r="EQ374" s="19"/>
      <c r="ER374" s="19"/>
      <c r="ES374" s="19"/>
      <c r="ET374" s="19"/>
      <c r="EU374" s="19"/>
      <c r="EV374" s="19"/>
      <c r="EW374" s="19"/>
      <c r="EX374" s="19"/>
      <c r="EY374" s="19"/>
      <c r="EZ374" s="19"/>
      <c r="FA374" s="19"/>
      <c r="FB374" s="19"/>
      <c r="FC374" s="19"/>
      <c r="FD374" s="19"/>
      <c r="FE374" s="19"/>
      <c r="FF374" s="19"/>
      <c r="FG374" s="19"/>
      <c r="FH374" s="19"/>
      <c r="FI374" s="19"/>
    </row>
    <row r="375" spans="1:165" x14ac:dyDescent="0.25">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c r="BE375" s="19"/>
      <c r="BF375" s="19"/>
      <c r="BG375" s="19"/>
      <c r="BH375" s="19"/>
      <c r="BI375" s="19"/>
      <c r="BJ375" s="19"/>
      <c r="BK375" s="19"/>
      <c r="BL375" s="19"/>
      <c r="BM375" s="19"/>
      <c r="BN375" s="19"/>
      <c r="BO375" s="19"/>
      <c r="BP375" s="19"/>
      <c r="BQ375" s="19"/>
      <c r="BR375" s="19"/>
      <c r="BS375" s="19"/>
      <c r="BT375" s="19"/>
      <c r="BU375" s="19"/>
      <c r="BV375" s="19"/>
      <c r="BW375" s="19"/>
      <c r="BX375" s="19"/>
      <c r="BY375" s="19"/>
      <c r="BZ375" s="19"/>
      <c r="CA375" s="19"/>
      <c r="CB375" s="19"/>
      <c r="CC375" s="19"/>
      <c r="CD375" s="19"/>
      <c r="CE375" s="19"/>
      <c r="CF375" s="19"/>
      <c r="CG375" s="19"/>
      <c r="CH375" s="19"/>
      <c r="CI375" s="19"/>
      <c r="CJ375" s="19"/>
      <c r="CK375" s="19"/>
      <c r="CL375" s="19"/>
      <c r="CM375" s="19"/>
      <c r="CN375" s="19"/>
      <c r="CO375" s="19"/>
      <c r="CP375" s="19"/>
      <c r="CQ375" s="19"/>
      <c r="CR375" s="19"/>
      <c r="CS375" s="19"/>
      <c r="CT375" s="19"/>
      <c r="CU375" s="19"/>
      <c r="CV375" s="19"/>
      <c r="CW375" s="19"/>
      <c r="CX375" s="19"/>
      <c r="CY375" s="19"/>
      <c r="CZ375" s="19"/>
      <c r="DA375" s="19"/>
      <c r="DB375" s="19"/>
      <c r="DC375" s="19"/>
      <c r="DD375" s="19"/>
      <c r="DE375" s="19"/>
      <c r="DF375" s="19"/>
      <c r="DG375" s="19"/>
      <c r="DH375" s="19"/>
      <c r="DI375" s="19"/>
      <c r="DJ375" s="19"/>
      <c r="DK375" s="19"/>
      <c r="DL375" s="19"/>
      <c r="DM375" s="19"/>
      <c r="DN375" s="19"/>
      <c r="DO375" s="19"/>
      <c r="DP375" s="19"/>
      <c r="DQ375" s="19"/>
      <c r="DR375" s="19"/>
      <c r="DS375" s="19"/>
      <c r="DT375" s="19"/>
      <c r="DU375" s="19"/>
      <c r="DV375" s="19"/>
      <c r="DW375" s="19"/>
      <c r="DX375" s="19"/>
      <c r="DY375" s="19"/>
      <c r="DZ375" s="19"/>
      <c r="EA375" s="19"/>
      <c r="EB375" s="19"/>
      <c r="EC375" s="19"/>
      <c r="ED375" s="19"/>
      <c r="EE375" s="19"/>
      <c r="EF375" s="19"/>
      <c r="EG375" s="19"/>
      <c r="EH375" s="19"/>
      <c r="EI375" s="19"/>
      <c r="EJ375" s="19"/>
      <c r="EK375" s="19"/>
      <c r="EL375" s="19"/>
      <c r="EM375" s="19"/>
      <c r="EN375" s="19"/>
      <c r="EO375" s="19"/>
      <c r="EP375" s="19"/>
      <c r="EQ375" s="19"/>
      <c r="ER375" s="19"/>
      <c r="ES375" s="19"/>
      <c r="ET375" s="19"/>
      <c r="EU375" s="19"/>
      <c r="EV375" s="19"/>
      <c r="EW375" s="19"/>
      <c r="EX375" s="19"/>
      <c r="EY375" s="19"/>
      <c r="EZ375" s="19"/>
      <c r="FA375" s="19"/>
      <c r="FB375" s="19"/>
      <c r="FC375" s="19"/>
      <c r="FD375" s="19"/>
      <c r="FE375" s="19"/>
      <c r="FF375" s="19"/>
      <c r="FG375" s="19"/>
      <c r="FH375" s="19"/>
      <c r="FI375" s="19"/>
    </row>
    <row r="376" spans="1:165" x14ac:dyDescent="0.25">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c r="BE376" s="19"/>
      <c r="BF376" s="19"/>
      <c r="BG376" s="19"/>
      <c r="BH376" s="19"/>
      <c r="BI376" s="19"/>
      <c r="BJ376" s="19"/>
      <c r="BK376" s="19"/>
      <c r="BL376" s="19"/>
      <c r="BM376" s="19"/>
      <c r="BN376" s="19"/>
      <c r="BO376" s="19"/>
      <c r="BP376" s="19"/>
      <c r="BQ376" s="19"/>
      <c r="BR376" s="19"/>
      <c r="BS376" s="19"/>
      <c r="BT376" s="19"/>
      <c r="BU376" s="19"/>
      <c r="BV376" s="19"/>
      <c r="BW376" s="19"/>
      <c r="BX376" s="19"/>
      <c r="BY376" s="19"/>
      <c r="BZ376" s="19"/>
      <c r="CA376" s="19"/>
      <c r="CB376" s="19"/>
      <c r="CC376" s="19"/>
      <c r="CD376" s="19"/>
      <c r="CE376" s="19"/>
      <c r="CF376" s="19"/>
      <c r="CG376" s="19"/>
      <c r="CH376" s="19"/>
      <c r="CI376" s="19"/>
      <c r="CJ376" s="19"/>
      <c r="CK376" s="19"/>
      <c r="CL376" s="19"/>
      <c r="CM376" s="19"/>
      <c r="CN376" s="19"/>
      <c r="CO376" s="19"/>
      <c r="CP376" s="19"/>
      <c r="CQ376" s="19"/>
      <c r="CR376" s="19"/>
      <c r="CS376" s="19"/>
      <c r="CT376" s="19"/>
      <c r="CU376" s="19"/>
      <c r="CV376" s="19"/>
      <c r="CW376" s="19"/>
      <c r="CX376" s="19"/>
      <c r="CY376" s="19"/>
      <c r="CZ376" s="19"/>
      <c r="DA376" s="19"/>
      <c r="DB376" s="19"/>
      <c r="DC376" s="19"/>
      <c r="DD376" s="19"/>
      <c r="DE376" s="19"/>
      <c r="DF376" s="19"/>
      <c r="DG376" s="19"/>
      <c r="DH376" s="19"/>
      <c r="DI376" s="19"/>
      <c r="DJ376" s="19"/>
      <c r="DK376" s="19"/>
      <c r="DL376" s="19"/>
      <c r="DM376" s="19"/>
      <c r="DN376" s="19"/>
      <c r="DO376" s="19"/>
      <c r="DP376" s="19"/>
      <c r="DQ376" s="19"/>
      <c r="DR376" s="19"/>
      <c r="DS376" s="19"/>
      <c r="DT376" s="19"/>
      <c r="DU376" s="19"/>
      <c r="DV376" s="19"/>
      <c r="DW376" s="19"/>
      <c r="DX376" s="19"/>
      <c r="DY376" s="19"/>
      <c r="DZ376" s="19"/>
      <c r="EA376" s="19"/>
      <c r="EB376" s="19"/>
      <c r="EC376" s="19"/>
      <c r="ED376" s="19"/>
      <c r="EE376" s="19"/>
      <c r="EF376" s="19"/>
      <c r="EG376" s="19"/>
      <c r="EH376" s="19"/>
      <c r="EI376" s="19"/>
      <c r="EJ376" s="19"/>
      <c r="EK376" s="19"/>
      <c r="EL376" s="19"/>
      <c r="EM376" s="19"/>
      <c r="EN376" s="19"/>
      <c r="EO376" s="19"/>
      <c r="EP376" s="19"/>
      <c r="EQ376" s="19"/>
      <c r="ER376" s="19"/>
      <c r="ES376" s="19"/>
      <c r="ET376" s="19"/>
      <c r="EU376" s="19"/>
      <c r="EV376" s="19"/>
      <c r="EW376" s="19"/>
      <c r="EX376" s="19"/>
      <c r="EY376" s="19"/>
      <c r="EZ376" s="19"/>
      <c r="FA376" s="19"/>
      <c r="FB376" s="19"/>
      <c r="FC376" s="19"/>
      <c r="FD376" s="19"/>
      <c r="FE376" s="19"/>
      <c r="FF376" s="19"/>
      <c r="FG376" s="19"/>
      <c r="FH376" s="19"/>
      <c r="FI376" s="19"/>
    </row>
    <row r="377" spans="1:165" x14ac:dyDescent="0.25">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c r="BE377" s="19"/>
      <c r="BF377" s="19"/>
      <c r="BG377" s="19"/>
      <c r="BH377" s="19"/>
      <c r="BI377" s="19"/>
      <c r="BJ377" s="19"/>
      <c r="BK377" s="19"/>
      <c r="BL377" s="19"/>
      <c r="BM377" s="19"/>
      <c r="BN377" s="19"/>
      <c r="BO377" s="19"/>
      <c r="BP377" s="19"/>
      <c r="BQ377" s="19"/>
      <c r="BR377" s="19"/>
      <c r="BS377" s="19"/>
      <c r="BT377" s="19"/>
      <c r="BU377" s="19"/>
      <c r="BV377" s="19"/>
      <c r="BW377" s="19"/>
      <c r="BX377" s="19"/>
      <c r="BY377" s="19"/>
      <c r="BZ377" s="19"/>
      <c r="CA377" s="19"/>
      <c r="CB377" s="19"/>
      <c r="CC377" s="19"/>
      <c r="CD377" s="19"/>
      <c r="CE377" s="19"/>
      <c r="CF377" s="19"/>
      <c r="CG377" s="19"/>
      <c r="CH377" s="19"/>
      <c r="CI377" s="19"/>
      <c r="CJ377" s="19"/>
      <c r="CK377" s="19"/>
      <c r="CL377" s="19"/>
      <c r="CM377" s="19"/>
      <c r="CN377" s="19"/>
      <c r="CO377" s="19"/>
      <c r="CP377" s="19"/>
      <c r="CQ377" s="19"/>
      <c r="CR377" s="19"/>
      <c r="CS377" s="19"/>
      <c r="CT377" s="19"/>
      <c r="CU377" s="19"/>
      <c r="CV377" s="19"/>
      <c r="CW377" s="19"/>
      <c r="CX377" s="19"/>
      <c r="CY377" s="19"/>
      <c r="CZ377" s="19"/>
      <c r="DA377" s="19"/>
      <c r="DB377" s="19"/>
      <c r="DC377" s="19"/>
      <c r="DD377" s="19"/>
      <c r="DE377" s="19"/>
      <c r="DF377" s="19"/>
      <c r="DG377" s="19"/>
      <c r="DH377" s="19"/>
      <c r="DI377" s="19"/>
      <c r="DJ377" s="19"/>
      <c r="DK377" s="19"/>
      <c r="DL377" s="19"/>
      <c r="DM377" s="19"/>
      <c r="DN377" s="19"/>
      <c r="DO377" s="19"/>
      <c r="DP377" s="19"/>
      <c r="DQ377" s="19"/>
      <c r="DR377" s="19"/>
      <c r="DS377" s="19"/>
      <c r="DT377" s="19"/>
      <c r="DU377" s="19"/>
      <c r="DV377" s="19"/>
      <c r="DW377" s="19"/>
      <c r="DX377" s="19"/>
      <c r="DY377" s="19"/>
      <c r="DZ377" s="19"/>
      <c r="EA377" s="19"/>
      <c r="EB377" s="19"/>
      <c r="EC377" s="19"/>
      <c r="ED377" s="19"/>
      <c r="EE377" s="19"/>
      <c r="EF377" s="19"/>
      <c r="EG377" s="19"/>
      <c r="EH377" s="19"/>
      <c r="EI377" s="19"/>
      <c r="EJ377" s="19"/>
      <c r="EK377" s="19"/>
      <c r="EL377" s="19"/>
      <c r="EM377" s="19"/>
      <c r="EN377" s="19"/>
      <c r="EO377" s="19"/>
      <c r="EP377" s="19"/>
      <c r="EQ377" s="19"/>
      <c r="ER377" s="19"/>
      <c r="ES377" s="19"/>
      <c r="ET377" s="19"/>
      <c r="EU377" s="19"/>
      <c r="EV377" s="19"/>
      <c r="EW377" s="19"/>
      <c r="EX377" s="19"/>
      <c r="EY377" s="19"/>
      <c r="EZ377" s="19"/>
      <c r="FA377" s="19"/>
      <c r="FB377" s="19"/>
      <c r="FC377" s="19"/>
      <c r="FD377" s="19"/>
      <c r="FE377" s="19"/>
      <c r="FF377" s="19"/>
      <c r="FG377" s="19"/>
      <c r="FH377" s="19"/>
      <c r="FI377" s="19"/>
    </row>
    <row r="378" spans="1:165" x14ac:dyDescent="0.25">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c r="BE378" s="19"/>
      <c r="BF378" s="19"/>
      <c r="BG378" s="19"/>
      <c r="BH378" s="19"/>
      <c r="BI378" s="19"/>
      <c r="BJ378" s="19"/>
      <c r="BK378" s="19"/>
      <c r="BL378" s="19"/>
      <c r="BM378" s="19"/>
      <c r="BN378" s="19"/>
      <c r="BO378" s="19"/>
      <c r="BP378" s="19"/>
      <c r="BQ378" s="19"/>
      <c r="BR378" s="19"/>
      <c r="BS378" s="19"/>
      <c r="BT378" s="19"/>
      <c r="BU378" s="19"/>
      <c r="BV378" s="19"/>
      <c r="BW378" s="19"/>
      <c r="BX378" s="19"/>
      <c r="BY378" s="19"/>
      <c r="BZ378" s="19"/>
      <c r="CA378" s="19"/>
      <c r="CB378" s="19"/>
      <c r="CC378" s="19"/>
      <c r="CD378" s="19"/>
      <c r="CE378" s="19"/>
      <c r="CF378" s="19"/>
      <c r="CG378" s="19"/>
      <c r="CH378" s="19"/>
      <c r="CI378" s="19"/>
      <c r="CJ378" s="19"/>
      <c r="CK378" s="19"/>
      <c r="CL378" s="19"/>
      <c r="CM378" s="19"/>
      <c r="CN378" s="19"/>
      <c r="CO378" s="19"/>
      <c r="CP378" s="19"/>
      <c r="CQ378" s="19"/>
      <c r="CR378" s="19"/>
      <c r="CS378" s="19"/>
      <c r="CT378" s="19"/>
      <c r="CU378" s="19"/>
      <c r="CV378" s="19"/>
      <c r="CW378" s="19"/>
      <c r="CX378" s="19"/>
      <c r="CY378" s="19"/>
      <c r="CZ378" s="19"/>
      <c r="DA378" s="19"/>
      <c r="DB378" s="19"/>
      <c r="DC378" s="19"/>
      <c r="DD378" s="19"/>
      <c r="DE378" s="19"/>
      <c r="DF378" s="19"/>
      <c r="DG378" s="19"/>
      <c r="DH378" s="19"/>
      <c r="DI378" s="19"/>
      <c r="DJ378" s="19"/>
      <c r="DK378" s="19"/>
      <c r="DL378" s="19"/>
      <c r="DM378" s="19"/>
      <c r="DN378" s="19"/>
      <c r="DO378" s="19"/>
      <c r="DP378" s="19"/>
      <c r="DQ378" s="19"/>
      <c r="DR378" s="19"/>
      <c r="DS378" s="19"/>
      <c r="DT378" s="19"/>
      <c r="DU378" s="19"/>
      <c r="DV378" s="19"/>
      <c r="DW378" s="19"/>
      <c r="DX378" s="19"/>
      <c r="DY378" s="19"/>
      <c r="DZ378" s="19"/>
      <c r="EA378" s="19"/>
      <c r="EB378" s="19"/>
      <c r="EC378" s="19"/>
      <c r="ED378" s="19"/>
      <c r="EE378" s="19"/>
      <c r="EF378" s="19"/>
      <c r="EG378" s="19"/>
      <c r="EH378" s="19"/>
      <c r="EI378" s="19"/>
      <c r="EJ378" s="19"/>
      <c r="EK378" s="19"/>
      <c r="EL378" s="19"/>
      <c r="EM378" s="19"/>
      <c r="EN378" s="19"/>
      <c r="EO378" s="19"/>
      <c r="EP378" s="19"/>
      <c r="EQ378" s="19"/>
      <c r="ER378" s="19"/>
      <c r="ES378" s="19"/>
      <c r="ET378" s="19"/>
      <c r="EU378" s="19"/>
      <c r="EV378" s="19"/>
      <c r="EW378" s="19"/>
      <c r="EX378" s="19"/>
      <c r="EY378" s="19"/>
      <c r="EZ378" s="19"/>
      <c r="FA378" s="19"/>
      <c r="FB378" s="19"/>
      <c r="FC378" s="19"/>
      <c r="FD378" s="19"/>
      <c r="FE378" s="19"/>
      <c r="FF378" s="19"/>
      <c r="FG378" s="19"/>
      <c r="FH378" s="19"/>
      <c r="FI378" s="19"/>
    </row>
    <row r="379" spans="1:165" x14ac:dyDescent="0.25">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c r="BE379" s="19"/>
      <c r="BF379" s="19"/>
      <c r="BG379" s="19"/>
      <c r="BH379" s="19"/>
      <c r="BI379" s="19"/>
      <c r="BJ379" s="19"/>
      <c r="BK379" s="19"/>
      <c r="BL379" s="19"/>
      <c r="BM379" s="19"/>
      <c r="BN379" s="19"/>
      <c r="BO379" s="19"/>
      <c r="BP379" s="19"/>
      <c r="BQ379" s="19"/>
      <c r="BR379" s="19"/>
      <c r="BS379" s="19"/>
      <c r="BT379" s="19"/>
      <c r="BU379" s="19"/>
      <c r="BV379" s="19"/>
      <c r="BW379" s="19"/>
      <c r="BX379" s="19"/>
      <c r="BY379" s="19"/>
      <c r="BZ379" s="19"/>
      <c r="CA379" s="19"/>
      <c r="CB379" s="19"/>
      <c r="CC379" s="19"/>
      <c r="CD379" s="19"/>
      <c r="CE379" s="19"/>
      <c r="CF379" s="19"/>
      <c r="CG379" s="19"/>
      <c r="CH379" s="19"/>
      <c r="CI379" s="19"/>
      <c r="CJ379" s="19"/>
      <c r="CK379" s="19"/>
      <c r="CL379" s="19"/>
      <c r="CM379" s="19"/>
      <c r="CN379" s="19"/>
      <c r="CO379" s="19"/>
      <c r="CP379" s="19"/>
      <c r="CQ379" s="19"/>
      <c r="CR379" s="19"/>
      <c r="CS379" s="19"/>
      <c r="CT379" s="19"/>
      <c r="CU379" s="19"/>
      <c r="CV379" s="19"/>
      <c r="CW379" s="19"/>
      <c r="CX379" s="19"/>
      <c r="CY379" s="19"/>
      <c r="CZ379" s="19"/>
      <c r="DA379" s="19"/>
      <c r="DB379" s="19"/>
      <c r="DC379" s="19"/>
      <c r="DD379" s="19"/>
      <c r="DE379" s="19"/>
      <c r="DF379" s="19"/>
      <c r="DG379" s="19"/>
      <c r="DH379" s="19"/>
      <c r="DI379" s="19"/>
      <c r="DJ379" s="19"/>
      <c r="DK379" s="19"/>
      <c r="DL379" s="19"/>
      <c r="DM379" s="19"/>
      <c r="DN379" s="19"/>
      <c r="DO379" s="19"/>
      <c r="DP379" s="19"/>
      <c r="DQ379" s="19"/>
      <c r="DR379" s="19"/>
      <c r="DS379" s="19"/>
      <c r="DT379" s="19"/>
      <c r="DU379" s="19"/>
      <c r="DV379" s="19"/>
      <c r="DW379" s="19"/>
      <c r="DX379" s="19"/>
      <c r="DY379" s="19"/>
      <c r="DZ379" s="19"/>
      <c r="EA379" s="19"/>
      <c r="EB379" s="19"/>
      <c r="EC379" s="19"/>
      <c r="ED379" s="19"/>
      <c r="EE379" s="19"/>
      <c r="EF379" s="19"/>
      <c r="EG379" s="19"/>
      <c r="EH379" s="19"/>
      <c r="EI379" s="19"/>
      <c r="EJ379" s="19"/>
      <c r="EK379" s="19"/>
      <c r="EL379" s="19"/>
      <c r="EM379" s="19"/>
      <c r="EN379" s="19"/>
      <c r="EO379" s="19"/>
      <c r="EP379" s="19"/>
      <c r="EQ379" s="19"/>
      <c r="ER379" s="19"/>
      <c r="ES379" s="19"/>
      <c r="ET379" s="19"/>
      <c r="EU379" s="19"/>
      <c r="EV379" s="19"/>
      <c r="EW379" s="19"/>
      <c r="EX379" s="19"/>
      <c r="EY379" s="19"/>
      <c r="EZ379" s="19"/>
      <c r="FA379" s="19"/>
      <c r="FB379" s="19"/>
      <c r="FC379" s="19"/>
      <c r="FD379" s="19"/>
      <c r="FE379" s="19"/>
      <c r="FF379" s="19"/>
      <c r="FG379" s="19"/>
      <c r="FH379" s="19"/>
      <c r="FI379" s="19"/>
    </row>
    <row r="380" spans="1:165" x14ac:dyDescent="0.25">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c r="BE380" s="19"/>
      <c r="BF380" s="19"/>
      <c r="BG380" s="19"/>
      <c r="BH380" s="19"/>
      <c r="BI380" s="19"/>
      <c r="BJ380" s="19"/>
      <c r="BK380" s="19"/>
      <c r="BL380" s="19"/>
      <c r="BM380" s="19"/>
      <c r="BN380" s="19"/>
      <c r="BO380" s="19"/>
      <c r="BP380" s="19"/>
      <c r="BQ380" s="19"/>
      <c r="BR380" s="19"/>
      <c r="BS380" s="19"/>
      <c r="BT380" s="19"/>
      <c r="BU380" s="19"/>
      <c r="BV380" s="19"/>
      <c r="BW380" s="19"/>
      <c r="BX380" s="19"/>
      <c r="BY380" s="19"/>
      <c r="BZ380" s="19"/>
      <c r="CA380" s="19"/>
      <c r="CB380" s="19"/>
      <c r="CC380" s="19"/>
      <c r="CD380" s="19"/>
      <c r="CE380" s="19"/>
      <c r="CF380" s="19"/>
      <c r="CG380" s="19"/>
      <c r="CH380" s="19"/>
      <c r="CI380" s="19"/>
      <c r="CJ380" s="19"/>
      <c r="CK380" s="19"/>
      <c r="CL380" s="19"/>
      <c r="CM380" s="19"/>
      <c r="CN380" s="19"/>
      <c r="CO380" s="19"/>
      <c r="CP380" s="19"/>
      <c r="CQ380" s="19"/>
      <c r="CR380" s="19"/>
      <c r="CS380" s="19"/>
      <c r="CT380" s="19"/>
      <c r="CU380" s="19"/>
      <c r="CV380" s="19"/>
      <c r="CW380" s="19"/>
      <c r="CX380" s="19"/>
      <c r="CY380" s="19"/>
      <c r="CZ380" s="19"/>
      <c r="DA380" s="19"/>
      <c r="DB380" s="19"/>
      <c r="DC380" s="19"/>
      <c r="DD380" s="19"/>
      <c r="DE380" s="19"/>
      <c r="DF380" s="19"/>
      <c r="DG380" s="19"/>
      <c r="DH380" s="19"/>
      <c r="DI380" s="19"/>
      <c r="DJ380" s="19"/>
      <c r="DK380" s="19"/>
      <c r="DL380" s="19"/>
      <c r="DM380" s="19"/>
      <c r="DN380" s="19"/>
      <c r="DO380" s="19"/>
      <c r="DP380" s="19"/>
      <c r="DQ380" s="19"/>
      <c r="DR380" s="19"/>
      <c r="DS380" s="19"/>
      <c r="DT380" s="19"/>
      <c r="DU380" s="19"/>
      <c r="DV380" s="19"/>
      <c r="DW380" s="19"/>
      <c r="DX380" s="19"/>
      <c r="DY380" s="19"/>
      <c r="DZ380" s="19"/>
      <c r="EA380" s="19"/>
      <c r="EB380" s="19"/>
      <c r="EC380" s="19"/>
      <c r="ED380" s="19"/>
      <c r="EE380" s="19"/>
      <c r="EF380" s="19"/>
      <c r="EG380" s="19"/>
      <c r="EH380" s="19"/>
      <c r="EI380" s="19"/>
      <c r="EJ380" s="19"/>
      <c r="EK380" s="19"/>
      <c r="EL380" s="19"/>
      <c r="EM380" s="19"/>
      <c r="EN380" s="19"/>
      <c r="EO380" s="19"/>
      <c r="EP380" s="19"/>
      <c r="EQ380" s="19"/>
      <c r="ER380" s="19"/>
      <c r="ES380" s="19"/>
      <c r="ET380" s="19"/>
      <c r="EU380" s="19"/>
      <c r="EV380" s="19"/>
      <c r="EW380" s="19"/>
      <c r="EX380" s="19"/>
      <c r="EY380" s="19"/>
      <c r="EZ380" s="19"/>
      <c r="FA380" s="19"/>
      <c r="FB380" s="19"/>
      <c r="FC380" s="19"/>
      <c r="FD380" s="19"/>
      <c r="FE380" s="19"/>
      <c r="FF380" s="19"/>
      <c r="FG380" s="19"/>
      <c r="FH380" s="19"/>
      <c r="FI380" s="19"/>
    </row>
    <row r="381" spans="1:165" x14ac:dyDescent="0.25">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c r="BE381" s="19"/>
      <c r="BF381" s="19"/>
      <c r="BG381" s="19"/>
      <c r="BH381" s="19"/>
      <c r="BI381" s="19"/>
      <c r="BJ381" s="19"/>
      <c r="BK381" s="19"/>
      <c r="BL381" s="19"/>
      <c r="BM381" s="19"/>
      <c r="BN381" s="19"/>
      <c r="BO381" s="19"/>
      <c r="BP381" s="19"/>
      <c r="BQ381" s="19"/>
      <c r="BR381" s="19"/>
      <c r="BS381" s="19"/>
      <c r="BT381" s="19"/>
      <c r="BU381" s="19"/>
      <c r="BV381" s="19"/>
      <c r="BW381" s="19"/>
      <c r="BX381" s="19"/>
      <c r="BY381" s="19"/>
      <c r="BZ381" s="19"/>
      <c r="CA381" s="19"/>
      <c r="CB381" s="19"/>
      <c r="CC381" s="19"/>
      <c r="CD381" s="19"/>
      <c r="CE381" s="19"/>
      <c r="CF381" s="19"/>
      <c r="CG381" s="19"/>
      <c r="CH381" s="19"/>
      <c r="CI381" s="19"/>
      <c r="CJ381" s="19"/>
      <c r="CK381" s="19"/>
      <c r="CL381" s="19"/>
      <c r="CM381" s="19"/>
      <c r="CN381" s="19"/>
      <c r="CO381" s="19"/>
      <c r="CP381" s="19"/>
      <c r="CQ381" s="19"/>
      <c r="CR381" s="19"/>
      <c r="CS381" s="19"/>
      <c r="CT381" s="19"/>
      <c r="CU381" s="19"/>
      <c r="CV381" s="19"/>
      <c r="CW381" s="19"/>
      <c r="CX381" s="19"/>
      <c r="CY381" s="19"/>
      <c r="CZ381" s="19"/>
      <c r="DA381" s="19"/>
      <c r="DB381" s="19"/>
      <c r="DC381" s="19"/>
      <c r="DD381" s="19"/>
      <c r="DE381" s="19"/>
      <c r="DF381" s="19"/>
      <c r="DG381" s="19"/>
      <c r="DH381" s="19"/>
      <c r="DI381" s="19"/>
      <c r="DJ381" s="19"/>
      <c r="DK381" s="19"/>
      <c r="DL381" s="19"/>
      <c r="DM381" s="19"/>
      <c r="DN381" s="19"/>
      <c r="DO381" s="19"/>
      <c r="DP381" s="19"/>
      <c r="DQ381" s="19"/>
      <c r="DR381" s="19"/>
      <c r="DS381" s="19"/>
      <c r="DT381" s="19"/>
      <c r="DU381" s="19"/>
      <c r="DV381" s="19"/>
      <c r="DW381" s="19"/>
      <c r="DX381" s="19"/>
      <c r="DY381" s="19"/>
      <c r="DZ381" s="19"/>
      <c r="EA381" s="19"/>
      <c r="EB381" s="19"/>
      <c r="EC381" s="19"/>
      <c r="ED381" s="19"/>
      <c r="EE381" s="19"/>
      <c r="EF381" s="19"/>
      <c r="EG381" s="19"/>
      <c r="EH381" s="19"/>
      <c r="EI381" s="19"/>
      <c r="EJ381" s="19"/>
      <c r="EK381" s="19"/>
      <c r="EL381" s="19"/>
      <c r="EM381" s="19"/>
      <c r="EN381" s="19"/>
      <c r="EO381" s="19"/>
      <c r="EP381" s="19"/>
      <c r="EQ381" s="19"/>
      <c r="ER381" s="19"/>
      <c r="ES381" s="19"/>
      <c r="ET381" s="19"/>
      <c r="EU381" s="19"/>
      <c r="EV381" s="19"/>
      <c r="EW381" s="19"/>
      <c r="EX381" s="19"/>
      <c r="EY381" s="19"/>
      <c r="EZ381" s="19"/>
      <c r="FA381" s="19"/>
      <c r="FB381" s="19"/>
      <c r="FC381" s="19"/>
      <c r="FD381" s="19"/>
      <c r="FE381" s="19"/>
      <c r="FF381" s="19"/>
      <c r="FG381" s="19"/>
      <c r="FH381" s="19"/>
      <c r="FI381" s="19"/>
    </row>
    <row r="382" spans="1:165" x14ac:dyDescent="0.25">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c r="BE382" s="19"/>
      <c r="BF382" s="19"/>
      <c r="BG382" s="19"/>
      <c r="BH382" s="19"/>
      <c r="BI382" s="19"/>
      <c r="BJ382" s="19"/>
      <c r="BK382" s="19"/>
      <c r="BL382" s="19"/>
      <c r="BM382" s="19"/>
      <c r="BN382" s="19"/>
      <c r="BO382" s="19"/>
      <c r="BP382" s="19"/>
      <c r="BQ382" s="19"/>
      <c r="BR382" s="19"/>
      <c r="BS382" s="19"/>
      <c r="BT382" s="19"/>
      <c r="BU382" s="19"/>
      <c r="BV382" s="19"/>
      <c r="BW382" s="19"/>
      <c r="BX382" s="19"/>
      <c r="BY382" s="19"/>
      <c r="BZ382" s="19"/>
      <c r="CA382" s="19"/>
      <c r="CB382" s="19"/>
      <c r="CC382" s="19"/>
      <c r="CD382" s="19"/>
      <c r="CE382" s="19"/>
      <c r="CF382" s="19"/>
      <c r="CG382" s="19"/>
      <c r="CH382" s="19"/>
      <c r="CI382" s="19"/>
      <c r="CJ382" s="19"/>
      <c r="CK382" s="19"/>
      <c r="CL382" s="19"/>
      <c r="CM382" s="19"/>
      <c r="CN382" s="19"/>
      <c r="CO382" s="19"/>
      <c r="CP382" s="19"/>
      <c r="CQ382" s="19"/>
      <c r="CR382" s="19"/>
      <c r="CS382" s="19"/>
      <c r="CT382" s="19"/>
      <c r="CU382" s="19"/>
      <c r="CV382" s="19"/>
      <c r="CW382" s="19"/>
      <c r="CX382" s="19"/>
      <c r="CY382" s="19"/>
      <c r="CZ382" s="19"/>
      <c r="DA382" s="19"/>
      <c r="DB382" s="19"/>
      <c r="DC382" s="19"/>
      <c r="DD382" s="19"/>
      <c r="DE382" s="19"/>
      <c r="DF382" s="19"/>
      <c r="DG382" s="19"/>
      <c r="DH382" s="19"/>
      <c r="DI382" s="19"/>
      <c r="DJ382" s="19"/>
      <c r="DK382" s="19"/>
      <c r="DL382" s="19"/>
      <c r="DM382" s="19"/>
      <c r="DN382" s="19"/>
      <c r="DO382" s="19"/>
      <c r="DP382" s="19"/>
      <c r="DQ382" s="19"/>
      <c r="DR382" s="19"/>
      <c r="DS382" s="19"/>
      <c r="DT382" s="19"/>
      <c r="DU382" s="19"/>
      <c r="DV382" s="19"/>
      <c r="DW382" s="19"/>
      <c r="DX382" s="19"/>
      <c r="DY382" s="19"/>
      <c r="DZ382" s="19"/>
      <c r="EA382" s="19"/>
      <c r="EB382" s="19"/>
      <c r="EC382" s="19"/>
      <c r="ED382" s="19"/>
      <c r="EE382" s="19"/>
      <c r="EF382" s="19"/>
      <c r="EG382" s="19"/>
      <c r="EH382" s="19"/>
      <c r="EI382" s="19"/>
      <c r="EJ382" s="19"/>
      <c r="EK382" s="19"/>
      <c r="EL382" s="19"/>
      <c r="EM382" s="19"/>
      <c r="EN382" s="19"/>
      <c r="EO382" s="19"/>
      <c r="EP382" s="19"/>
      <c r="EQ382" s="19"/>
      <c r="ER382" s="19"/>
      <c r="ES382" s="19"/>
      <c r="ET382" s="19"/>
      <c r="EU382" s="19"/>
      <c r="EV382" s="19"/>
      <c r="EW382" s="19"/>
      <c r="EX382" s="19"/>
      <c r="EY382" s="19"/>
      <c r="EZ382" s="19"/>
      <c r="FA382" s="19"/>
      <c r="FB382" s="19"/>
      <c r="FC382" s="19"/>
      <c r="FD382" s="19"/>
      <c r="FE382" s="19"/>
      <c r="FF382" s="19"/>
      <c r="FG382" s="19"/>
      <c r="FH382" s="19"/>
      <c r="FI382" s="19"/>
    </row>
    <row r="383" spans="1:165" x14ac:dyDescent="0.25">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c r="BE383" s="19"/>
      <c r="BF383" s="19"/>
      <c r="BG383" s="19"/>
      <c r="BH383" s="19"/>
      <c r="BI383" s="19"/>
      <c r="BJ383" s="19"/>
      <c r="BK383" s="19"/>
      <c r="BL383" s="19"/>
      <c r="BM383" s="19"/>
      <c r="BN383" s="19"/>
      <c r="BO383" s="19"/>
      <c r="BP383" s="19"/>
      <c r="BQ383" s="19"/>
      <c r="BR383" s="19"/>
      <c r="BS383" s="19"/>
      <c r="BT383" s="19"/>
      <c r="BU383" s="19"/>
      <c r="BV383" s="19"/>
      <c r="BW383" s="19"/>
      <c r="BX383" s="19"/>
      <c r="BY383" s="19"/>
      <c r="BZ383" s="19"/>
      <c r="CA383" s="19"/>
      <c r="CB383" s="19"/>
      <c r="CC383" s="19"/>
      <c r="CD383" s="19"/>
      <c r="CE383" s="19"/>
      <c r="CF383" s="19"/>
      <c r="CG383" s="19"/>
      <c r="CH383" s="19"/>
      <c r="CI383" s="19"/>
      <c r="CJ383" s="19"/>
      <c r="CK383" s="19"/>
      <c r="CL383" s="19"/>
      <c r="CM383" s="19"/>
      <c r="CN383" s="19"/>
      <c r="CO383" s="19"/>
      <c r="CP383" s="19"/>
      <c r="CQ383" s="19"/>
      <c r="CR383" s="19"/>
      <c r="CS383" s="19"/>
      <c r="CT383" s="19"/>
      <c r="CU383" s="19"/>
      <c r="CV383" s="19"/>
      <c r="CW383" s="19"/>
      <c r="CX383" s="19"/>
      <c r="CY383" s="19"/>
      <c r="CZ383" s="19"/>
      <c r="DA383" s="19"/>
      <c r="DB383" s="19"/>
      <c r="DC383" s="19"/>
      <c r="DD383" s="19"/>
      <c r="DE383" s="19"/>
      <c r="DF383" s="19"/>
      <c r="DG383" s="19"/>
      <c r="DH383" s="19"/>
      <c r="DI383" s="19"/>
      <c r="DJ383" s="19"/>
      <c r="DK383" s="19"/>
      <c r="DL383" s="19"/>
      <c r="DM383" s="19"/>
      <c r="DN383" s="19"/>
      <c r="DO383" s="19"/>
      <c r="DP383" s="19"/>
      <c r="DQ383" s="19"/>
      <c r="DR383" s="19"/>
      <c r="DS383" s="19"/>
      <c r="DT383" s="19"/>
      <c r="DU383" s="19"/>
      <c r="DV383" s="19"/>
      <c r="DW383" s="19"/>
      <c r="DX383" s="19"/>
      <c r="DY383" s="19"/>
      <c r="DZ383" s="19"/>
      <c r="EA383" s="19"/>
      <c r="EB383" s="19"/>
      <c r="EC383" s="19"/>
      <c r="ED383" s="19"/>
      <c r="EE383" s="19"/>
      <c r="EF383" s="19"/>
      <c r="EG383" s="19"/>
      <c r="EH383" s="19"/>
      <c r="EI383" s="19"/>
      <c r="EJ383" s="19"/>
      <c r="EK383" s="19"/>
      <c r="EL383" s="19"/>
      <c r="EM383" s="19"/>
      <c r="EN383" s="19"/>
      <c r="EO383" s="19"/>
      <c r="EP383" s="19"/>
      <c r="EQ383" s="19"/>
      <c r="ER383" s="19"/>
      <c r="ES383" s="19"/>
      <c r="ET383" s="19"/>
      <c r="EU383" s="19"/>
      <c r="EV383" s="19"/>
      <c r="EW383" s="19"/>
      <c r="EX383" s="19"/>
      <c r="EY383" s="19"/>
      <c r="EZ383" s="19"/>
      <c r="FA383" s="19"/>
      <c r="FB383" s="19"/>
      <c r="FC383" s="19"/>
      <c r="FD383" s="19"/>
      <c r="FE383" s="19"/>
      <c r="FF383" s="19"/>
      <c r="FG383" s="19"/>
      <c r="FH383" s="19"/>
      <c r="FI383" s="19"/>
    </row>
    <row r="384" spans="1:165" x14ac:dyDescent="0.25">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c r="BE384" s="19"/>
      <c r="BF384" s="19"/>
      <c r="BG384" s="19"/>
      <c r="BH384" s="19"/>
      <c r="BI384" s="19"/>
      <c r="BJ384" s="19"/>
      <c r="BK384" s="19"/>
      <c r="BL384" s="19"/>
      <c r="BM384" s="19"/>
      <c r="BN384" s="19"/>
      <c r="BO384" s="19"/>
      <c r="BP384" s="19"/>
      <c r="BQ384" s="19"/>
      <c r="BR384" s="19"/>
      <c r="BS384" s="19"/>
      <c r="BT384" s="19"/>
      <c r="BU384" s="19"/>
      <c r="BV384" s="19"/>
      <c r="BW384" s="19"/>
      <c r="BX384" s="19"/>
      <c r="BY384" s="19"/>
      <c r="BZ384" s="19"/>
      <c r="CA384" s="19"/>
      <c r="CB384" s="19"/>
      <c r="CC384" s="19"/>
      <c r="CD384" s="19"/>
      <c r="CE384" s="19"/>
      <c r="CF384" s="19"/>
      <c r="CG384" s="19"/>
      <c r="CH384" s="19"/>
      <c r="CI384" s="19"/>
      <c r="CJ384" s="19"/>
      <c r="CK384" s="19"/>
      <c r="CL384" s="19"/>
      <c r="CM384" s="19"/>
      <c r="CN384" s="19"/>
      <c r="CO384" s="19"/>
      <c r="CP384" s="19"/>
      <c r="CQ384" s="19"/>
      <c r="CR384" s="19"/>
      <c r="CS384" s="19"/>
      <c r="CT384" s="19"/>
      <c r="CU384" s="19"/>
      <c r="CV384" s="19"/>
      <c r="CW384" s="19"/>
      <c r="CX384" s="19"/>
      <c r="CY384" s="19"/>
      <c r="CZ384" s="19"/>
      <c r="DA384" s="19"/>
      <c r="DB384" s="19"/>
      <c r="DC384" s="19"/>
      <c r="DD384" s="19"/>
      <c r="DE384" s="19"/>
      <c r="DF384" s="19"/>
      <c r="DG384" s="19"/>
      <c r="DH384" s="19"/>
      <c r="DI384" s="19"/>
      <c r="DJ384" s="19"/>
      <c r="DK384" s="19"/>
      <c r="DL384" s="19"/>
      <c r="DM384" s="19"/>
      <c r="DN384" s="19"/>
      <c r="DO384" s="19"/>
      <c r="DP384" s="19"/>
      <c r="DQ384" s="19"/>
      <c r="DR384" s="19"/>
      <c r="DS384" s="19"/>
      <c r="DT384" s="19"/>
      <c r="DU384" s="19"/>
      <c r="DV384" s="19"/>
      <c r="DW384" s="19"/>
      <c r="DX384" s="19"/>
      <c r="DY384" s="19"/>
      <c r="DZ384" s="19"/>
      <c r="EA384" s="19"/>
      <c r="EB384" s="19"/>
      <c r="EC384" s="19"/>
      <c r="ED384" s="19"/>
      <c r="EE384" s="19"/>
      <c r="EF384" s="19"/>
      <c r="EG384" s="19"/>
      <c r="EH384" s="19"/>
      <c r="EI384" s="19"/>
      <c r="EJ384" s="19"/>
      <c r="EK384" s="19"/>
      <c r="EL384" s="19"/>
      <c r="EM384" s="19"/>
      <c r="EN384" s="19"/>
      <c r="EO384" s="19"/>
      <c r="EP384" s="19"/>
      <c r="EQ384" s="19"/>
      <c r="ER384" s="19"/>
      <c r="ES384" s="19"/>
      <c r="ET384" s="19"/>
      <c r="EU384" s="19"/>
      <c r="EV384" s="19"/>
      <c r="EW384" s="19"/>
      <c r="EX384" s="19"/>
      <c r="EY384" s="19"/>
      <c r="EZ384" s="19"/>
      <c r="FA384" s="19"/>
      <c r="FB384" s="19"/>
      <c r="FC384" s="19"/>
      <c r="FD384" s="19"/>
      <c r="FE384" s="19"/>
      <c r="FF384" s="19"/>
      <c r="FG384" s="19"/>
      <c r="FH384" s="19"/>
      <c r="FI384" s="19"/>
    </row>
    <row r="385" spans="1:165" x14ac:dyDescent="0.25">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c r="BE385" s="19"/>
      <c r="BF385" s="19"/>
      <c r="BG385" s="19"/>
      <c r="BH385" s="19"/>
      <c r="BI385" s="19"/>
      <c r="BJ385" s="19"/>
      <c r="BK385" s="19"/>
      <c r="BL385" s="19"/>
      <c r="BM385" s="19"/>
      <c r="BN385" s="19"/>
      <c r="BO385" s="19"/>
      <c r="BP385" s="19"/>
      <c r="BQ385" s="19"/>
      <c r="BR385" s="19"/>
      <c r="BS385" s="19"/>
      <c r="BT385" s="19"/>
      <c r="BU385" s="19"/>
      <c r="BV385" s="19"/>
      <c r="BW385" s="19"/>
      <c r="BX385" s="19"/>
      <c r="BY385" s="19"/>
      <c r="BZ385" s="19"/>
      <c r="CA385" s="19"/>
      <c r="CB385" s="19"/>
      <c r="CC385" s="19"/>
      <c r="CD385" s="19"/>
      <c r="CE385" s="19"/>
      <c r="CF385" s="19"/>
      <c r="CG385" s="19"/>
      <c r="CH385" s="19"/>
      <c r="CI385" s="19"/>
      <c r="CJ385" s="19"/>
      <c r="CK385" s="19"/>
      <c r="CL385" s="19"/>
      <c r="CM385" s="19"/>
      <c r="CN385" s="19"/>
      <c r="CO385" s="19"/>
      <c r="CP385" s="19"/>
      <c r="CQ385" s="19"/>
      <c r="CR385" s="19"/>
      <c r="CS385" s="19"/>
      <c r="CT385" s="19"/>
      <c r="CU385" s="19"/>
      <c r="CV385" s="19"/>
      <c r="CW385" s="19"/>
      <c r="CX385" s="19"/>
      <c r="CY385" s="19"/>
      <c r="CZ385" s="19"/>
      <c r="DA385" s="19"/>
      <c r="DB385" s="19"/>
      <c r="DC385" s="19"/>
      <c r="DD385" s="19"/>
      <c r="DE385" s="19"/>
      <c r="DF385" s="19"/>
      <c r="DG385" s="19"/>
      <c r="DH385" s="19"/>
      <c r="DI385" s="19"/>
      <c r="DJ385" s="19"/>
      <c r="DK385" s="19"/>
      <c r="DL385" s="19"/>
      <c r="DM385" s="19"/>
      <c r="DN385" s="19"/>
      <c r="DO385" s="19"/>
      <c r="DP385" s="19"/>
      <c r="DQ385" s="19"/>
      <c r="DR385" s="19"/>
      <c r="DS385" s="19"/>
      <c r="DT385" s="19"/>
      <c r="DU385" s="19"/>
      <c r="DV385" s="19"/>
      <c r="DW385" s="19"/>
      <c r="DX385" s="19"/>
      <c r="DY385" s="19"/>
      <c r="DZ385" s="19"/>
      <c r="EA385" s="19"/>
      <c r="EB385" s="19"/>
      <c r="EC385" s="19"/>
      <c r="ED385" s="19"/>
      <c r="EE385" s="19"/>
      <c r="EF385" s="19"/>
      <c r="EG385" s="19"/>
      <c r="EH385" s="19"/>
      <c r="EI385" s="19"/>
      <c r="EJ385" s="19"/>
      <c r="EK385" s="19"/>
      <c r="EL385" s="19"/>
      <c r="EM385" s="19"/>
      <c r="EN385" s="19"/>
      <c r="EO385" s="19"/>
      <c r="EP385" s="19"/>
      <c r="EQ385" s="19"/>
      <c r="ER385" s="19"/>
      <c r="ES385" s="19"/>
      <c r="ET385" s="19"/>
      <c r="EU385" s="19"/>
      <c r="EV385" s="19"/>
      <c r="EW385" s="19"/>
      <c r="EX385" s="19"/>
      <c r="EY385" s="19"/>
      <c r="EZ385" s="19"/>
      <c r="FA385" s="19"/>
      <c r="FB385" s="19"/>
      <c r="FC385" s="19"/>
      <c r="FD385" s="19"/>
      <c r="FE385" s="19"/>
      <c r="FF385" s="19"/>
      <c r="FG385" s="19"/>
      <c r="FH385" s="19"/>
      <c r="FI385" s="19"/>
    </row>
    <row r="386" spans="1:165" x14ac:dyDescent="0.25">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c r="BE386" s="19"/>
      <c r="BF386" s="19"/>
      <c r="BG386" s="19"/>
      <c r="BH386" s="19"/>
      <c r="BI386" s="19"/>
      <c r="BJ386" s="19"/>
      <c r="BK386" s="19"/>
      <c r="BL386" s="19"/>
      <c r="BM386" s="19"/>
      <c r="BN386" s="19"/>
      <c r="BO386" s="19"/>
      <c r="BP386" s="19"/>
      <c r="BQ386" s="19"/>
      <c r="BR386" s="19"/>
      <c r="BS386" s="19"/>
      <c r="BT386" s="19"/>
      <c r="BU386" s="19"/>
      <c r="BV386" s="19"/>
      <c r="BW386" s="19"/>
      <c r="BX386" s="19"/>
      <c r="BY386" s="19"/>
      <c r="BZ386" s="19"/>
      <c r="CA386" s="19"/>
      <c r="CB386" s="19"/>
      <c r="CC386" s="19"/>
      <c r="CD386" s="19"/>
      <c r="CE386" s="19"/>
      <c r="CF386" s="19"/>
      <c r="CG386" s="19"/>
      <c r="CH386" s="19"/>
      <c r="CI386" s="19"/>
      <c r="CJ386" s="19"/>
      <c r="CK386" s="19"/>
      <c r="CL386" s="19"/>
      <c r="CM386" s="19"/>
      <c r="CN386" s="19"/>
      <c r="CO386" s="19"/>
      <c r="CP386" s="19"/>
      <c r="CQ386" s="19"/>
      <c r="CR386" s="19"/>
      <c r="CS386" s="19"/>
      <c r="CT386" s="19"/>
      <c r="CU386" s="19"/>
      <c r="CV386" s="19"/>
      <c r="CW386" s="19"/>
      <c r="CX386" s="19"/>
      <c r="CY386" s="19"/>
      <c r="CZ386" s="19"/>
      <c r="DA386" s="19"/>
      <c r="DB386" s="19"/>
      <c r="DC386" s="19"/>
      <c r="DD386" s="19"/>
      <c r="DE386" s="19"/>
      <c r="DF386" s="19"/>
      <c r="DG386" s="19"/>
      <c r="DH386" s="19"/>
      <c r="DI386" s="19"/>
      <c r="DJ386" s="19"/>
      <c r="DK386" s="19"/>
      <c r="DL386" s="19"/>
      <c r="DM386" s="19"/>
      <c r="DN386" s="19"/>
      <c r="DO386" s="19"/>
      <c r="DP386" s="19"/>
      <c r="DQ386" s="19"/>
      <c r="DR386" s="19"/>
      <c r="DS386" s="19"/>
      <c r="DT386" s="19"/>
      <c r="DU386" s="19"/>
      <c r="DV386" s="19"/>
      <c r="DW386" s="19"/>
      <c r="DX386" s="19"/>
      <c r="DY386" s="19"/>
      <c r="DZ386" s="19"/>
      <c r="EA386" s="19"/>
      <c r="EB386" s="19"/>
      <c r="EC386" s="19"/>
      <c r="ED386" s="19"/>
      <c r="EE386" s="19"/>
      <c r="EF386" s="19"/>
      <c r="EG386" s="19"/>
      <c r="EH386" s="19"/>
      <c r="EI386" s="19"/>
      <c r="EJ386" s="19"/>
      <c r="EK386" s="19"/>
      <c r="EL386" s="19"/>
      <c r="EM386" s="19"/>
      <c r="EN386" s="19"/>
      <c r="EO386" s="19"/>
      <c r="EP386" s="19"/>
      <c r="EQ386" s="19"/>
      <c r="ER386" s="19"/>
      <c r="ES386" s="19"/>
      <c r="ET386" s="19"/>
      <c r="EU386" s="19"/>
      <c r="EV386" s="19"/>
      <c r="EW386" s="19"/>
      <c r="EX386" s="19"/>
      <c r="EY386" s="19"/>
      <c r="EZ386" s="19"/>
      <c r="FA386" s="19"/>
      <c r="FB386" s="19"/>
      <c r="FC386" s="19"/>
      <c r="FD386" s="19"/>
      <c r="FE386" s="19"/>
      <c r="FF386" s="19"/>
      <c r="FG386" s="19"/>
      <c r="FH386" s="19"/>
      <c r="FI386" s="19"/>
    </row>
    <row r="387" spans="1:165" x14ac:dyDescent="0.25">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c r="BE387" s="19"/>
      <c r="BF387" s="19"/>
      <c r="BG387" s="19"/>
      <c r="BH387" s="19"/>
      <c r="BI387" s="19"/>
      <c r="BJ387" s="19"/>
      <c r="BK387" s="19"/>
      <c r="BL387" s="19"/>
      <c r="BM387" s="19"/>
      <c r="BN387" s="19"/>
      <c r="BO387" s="19"/>
      <c r="BP387" s="19"/>
      <c r="BQ387" s="19"/>
      <c r="BR387" s="19"/>
      <c r="BS387" s="19"/>
      <c r="BT387" s="19"/>
      <c r="BU387" s="19"/>
      <c r="BV387" s="19"/>
      <c r="BW387" s="19"/>
      <c r="BX387" s="19"/>
      <c r="BY387" s="19"/>
      <c r="BZ387" s="19"/>
      <c r="CA387" s="19"/>
      <c r="CB387" s="19"/>
      <c r="CC387" s="19"/>
      <c r="CD387" s="19"/>
      <c r="CE387" s="19"/>
      <c r="CF387" s="19"/>
      <c r="CG387" s="19"/>
      <c r="CH387" s="19"/>
      <c r="CI387" s="19"/>
      <c r="CJ387" s="19"/>
      <c r="CK387" s="19"/>
      <c r="CL387" s="19"/>
      <c r="CM387" s="19"/>
      <c r="CN387" s="19"/>
      <c r="CO387" s="19"/>
      <c r="CP387" s="19"/>
      <c r="CQ387" s="19"/>
      <c r="CR387" s="19"/>
      <c r="CS387" s="19"/>
      <c r="CT387" s="19"/>
      <c r="CU387" s="19"/>
      <c r="CV387" s="19"/>
      <c r="CW387" s="19"/>
      <c r="CX387" s="19"/>
      <c r="CY387" s="19"/>
      <c r="CZ387" s="19"/>
      <c r="DA387" s="19"/>
      <c r="DB387" s="19"/>
      <c r="DC387" s="19"/>
      <c r="DD387" s="19"/>
      <c r="DE387" s="19"/>
      <c r="DF387" s="19"/>
      <c r="DG387" s="19"/>
      <c r="DH387" s="19"/>
      <c r="DI387" s="19"/>
      <c r="DJ387" s="19"/>
      <c r="DK387" s="19"/>
      <c r="DL387" s="19"/>
      <c r="DM387" s="19"/>
      <c r="DN387" s="19"/>
      <c r="DO387" s="19"/>
      <c r="DP387" s="19"/>
      <c r="DQ387" s="19"/>
      <c r="DR387" s="19"/>
      <c r="DS387" s="19"/>
      <c r="DT387" s="19"/>
      <c r="DU387" s="19"/>
      <c r="DV387" s="19"/>
      <c r="DW387" s="19"/>
      <c r="DX387" s="19"/>
      <c r="DY387" s="19"/>
      <c r="DZ387" s="19"/>
      <c r="EA387" s="19"/>
      <c r="EB387" s="19"/>
      <c r="EC387" s="19"/>
      <c r="ED387" s="19"/>
      <c r="EE387" s="19"/>
      <c r="EF387" s="19"/>
      <c r="EG387" s="19"/>
      <c r="EH387" s="19"/>
      <c r="EI387" s="19"/>
      <c r="EJ387" s="19"/>
      <c r="EK387" s="19"/>
      <c r="EL387" s="19"/>
      <c r="EM387" s="19"/>
      <c r="EN387" s="19"/>
      <c r="EO387" s="19"/>
      <c r="EP387" s="19"/>
      <c r="EQ387" s="19"/>
      <c r="ER387" s="19"/>
      <c r="ES387" s="19"/>
      <c r="ET387" s="19"/>
      <c r="EU387" s="19"/>
      <c r="EV387" s="19"/>
      <c r="EW387" s="19"/>
      <c r="EX387" s="19"/>
      <c r="EY387" s="19"/>
      <c r="EZ387" s="19"/>
      <c r="FA387" s="19"/>
      <c r="FB387" s="19"/>
      <c r="FC387" s="19"/>
      <c r="FD387" s="19"/>
      <c r="FE387" s="19"/>
      <c r="FF387" s="19"/>
      <c r="FG387" s="19"/>
      <c r="FH387" s="19"/>
      <c r="FI387" s="19"/>
    </row>
    <row r="388" spans="1:165" x14ac:dyDescent="0.25">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c r="BE388" s="19"/>
      <c r="BF388" s="19"/>
      <c r="BG388" s="19"/>
      <c r="BH388" s="19"/>
      <c r="BI388" s="19"/>
      <c r="BJ388" s="19"/>
      <c r="BK388" s="19"/>
      <c r="BL388" s="19"/>
      <c r="BM388" s="19"/>
      <c r="BN388" s="19"/>
      <c r="BO388" s="19"/>
      <c r="BP388" s="19"/>
      <c r="BQ388" s="19"/>
      <c r="BR388" s="19"/>
      <c r="BS388" s="19"/>
      <c r="BT388" s="19"/>
      <c r="BU388" s="19"/>
      <c r="BV388" s="19"/>
      <c r="BW388" s="19"/>
      <c r="BX388" s="19"/>
      <c r="BY388" s="19"/>
      <c r="BZ388" s="19"/>
      <c r="CA388" s="19"/>
      <c r="CB388" s="19"/>
      <c r="CC388" s="19"/>
      <c r="CD388" s="19"/>
      <c r="CE388" s="19"/>
      <c r="CF388" s="19"/>
      <c r="CG388" s="19"/>
      <c r="CH388" s="19"/>
      <c r="CI388" s="19"/>
      <c r="CJ388" s="19"/>
      <c r="CK388" s="19"/>
      <c r="CL388" s="19"/>
      <c r="CM388" s="19"/>
      <c r="CN388" s="19"/>
      <c r="CO388" s="19"/>
      <c r="CP388" s="19"/>
      <c r="CQ388" s="19"/>
      <c r="CR388" s="19"/>
      <c r="CS388" s="19"/>
      <c r="CT388" s="19"/>
      <c r="CU388" s="19"/>
      <c r="CV388" s="19"/>
      <c r="CW388" s="19"/>
      <c r="CX388" s="19"/>
      <c r="CY388" s="19"/>
      <c r="CZ388" s="19"/>
      <c r="DA388" s="19"/>
      <c r="DB388" s="19"/>
      <c r="DC388" s="19"/>
      <c r="DD388" s="19"/>
      <c r="DE388" s="19"/>
      <c r="DF388" s="19"/>
      <c r="DG388" s="19"/>
      <c r="DH388" s="19"/>
      <c r="DI388" s="19"/>
      <c r="DJ388" s="19"/>
      <c r="DK388" s="19"/>
      <c r="DL388" s="19"/>
      <c r="DM388" s="19"/>
      <c r="DN388" s="19"/>
      <c r="DO388" s="19"/>
      <c r="DP388" s="19"/>
      <c r="DQ388" s="19"/>
      <c r="DR388" s="19"/>
      <c r="DS388" s="19"/>
      <c r="DT388" s="19"/>
      <c r="DU388" s="19"/>
      <c r="DV388" s="19"/>
      <c r="DW388" s="19"/>
      <c r="DX388" s="19"/>
      <c r="DY388" s="19"/>
      <c r="DZ388" s="19"/>
      <c r="EA388" s="19"/>
      <c r="EB388" s="19"/>
      <c r="EC388" s="19"/>
      <c r="ED388" s="19"/>
      <c r="EE388" s="19"/>
      <c r="EF388" s="19"/>
      <c r="EG388" s="19"/>
      <c r="EH388" s="19"/>
      <c r="EI388" s="19"/>
      <c r="EJ388" s="19"/>
      <c r="EK388" s="19"/>
      <c r="EL388" s="19"/>
      <c r="EM388" s="19"/>
      <c r="EN388" s="19"/>
      <c r="EO388" s="19"/>
      <c r="EP388" s="19"/>
      <c r="EQ388" s="19"/>
      <c r="ER388" s="19"/>
      <c r="ES388" s="19"/>
      <c r="ET388" s="19"/>
      <c r="EU388" s="19"/>
      <c r="EV388" s="19"/>
      <c r="EW388" s="19"/>
      <c r="EX388" s="19"/>
      <c r="EY388" s="19"/>
      <c r="EZ388" s="19"/>
      <c r="FA388" s="19"/>
      <c r="FB388" s="19"/>
      <c r="FC388" s="19"/>
      <c r="FD388" s="19"/>
      <c r="FE388" s="19"/>
      <c r="FF388" s="19"/>
      <c r="FG388" s="19"/>
      <c r="FH388" s="19"/>
      <c r="FI388" s="19"/>
    </row>
    <row r="389" spans="1:165" x14ac:dyDescent="0.25">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c r="BE389" s="19"/>
      <c r="BF389" s="19"/>
      <c r="BG389" s="19"/>
      <c r="BH389" s="19"/>
      <c r="BI389" s="19"/>
      <c r="BJ389" s="19"/>
      <c r="BK389" s="19"/>
      <c r="BL389" s="19"/>
      <c r="BM389" s="19"/>
      <c r="BN389" s="19"/>
      <c r="BO389" s="19"/>
      <c r="BP389" s="19"/>
      <c r="BQ389" s="19"/>
      <c r="BR389" s="19"/>
      <c r="BS389" s="19"/>
      <c r="BT389" s="19"/>
      <c r="BU389" s="19"/>
      <c r="BV389" s="19"/>
      <c r="BW389" s="19"/>
      <c r="BX389" s="19"/>
      <c r="BY389" s="19"/>
      <c r="BZ389" s="19"/>
      <c r="CA389" s="19"/>
      <c r="CB389" s="19"/>
      <c r="CC389" s="19"/>
      <c r="CD389" s="19"/>
      <c r="CE389" s="19"/>
      <c r="CF389" s="19"/>
      <c r="CG389" s="19"/>
      <c r="CH389" s="19"/>
      <c r="CI389" s="19"/>
      <c r="CJ389" s="19"/>
      <c r="CK389" s="19"/>
      <c r="CL389" s="19"/>
      <c r="CM389" s="19"/>
      <c r="CN389" s="19"/>
      <c r="CO389" s="19"/>
      <c r="CP389" s="19"/>
      <c r="CQ389" s="19"/>
      <c r="CR389" s="19"/>
      <c r="CS389" s="19"/>
      <c r="CT389" s="19"/>
      <c r="CU389" s="19"/>
      <c r="CV389" s="19"/>
      <c r="CW389" s="19"/>
      <c r="CX389" s="19"/>
      <c r="CY389" s="19"/>
      <c r="CZ389" s="19"/>
      <c r="DA389" s="19"/>
      <c r="DB389" s="19"/>
      <c r="DC389" s="19"/>
      <c r="DD389" s="19"/>
      <c r="DE389" s="19"/>
      <c r="DF389" s="19"/>
      <c r="DG389" s="19"/>
      <c r="DH389" s="19"/>
      <c r="DI389" s="19"/>
      <c r="DJ389" s="19"/>
      <c r="DK389" s="19"/>
      <c r="DL389" s="19"/>
      <c r="DM389" s="19"/>
      <c r="DN389" s="19"/>
      <c r="DO389" s="19"/>
      <c r="DP389" s="19"/>
      <c r="DQ389" s="19"/>
      <c r="DR389" s="19"/>
      <c r="DS389" s="19"/>
      <c r="DT389" s="19"/>
      <c r="DU389" s="19"/>
      <c r="DV389" s="19"/>
      <c r="DW389" s="19"/>
      <c r="DX389" s="19"/>
      <c r="DY389" s="19"/>
      <c r="DZ389" s="19"/>
      <c r="EA389" s="19"/>
      <c r="EB389" s="19"/>
      <c r="EC389" s="19"/>
      <c r="ED389" s="19"/>
      <c r="EE389" s="19"/>
      <c r="EF389" s="19"/>
      <c r="EG389" s="19"/>
      <c r="EH389" s="19"/>
      <c r="EI389" s="19"/>
      <c r="EJ389" s="19"/>
      <c r="EK389" s="19"/>
      <c r="EL389" s="19"/>
      <c r="EM389" s="19"/>
      <c r="EN389" s="19"/>
      <c r="EO389" s="19"/>
      <c r="EP389" s="19"/>
      <c r="EQ389" s="19"/>
      <c r="ER389" s="19"/>
      <c r="ES389" s="19"/>
      <c r="ET389" s="19"/>
      <c r="EU389" s="19"/>
      <c r="EV389" s="19"/>
      <c r="EW389" s="19"/>
      <c r="EX389" s="19"/>
      <c r="EY389" s="19"/>
      <c r="EZ389" s="19"/>
      <c r="FA389" s="19"/>
      <c r="FB389" s="19"/>
      <c r="FC389" s="19"/>
      <c r="FD389" s="19"/>
      <c r="FE389" s="19"/>
      <c r="FF389" s="19"/>
      <c r="FG389" s="19"/>
      <c r="FH389" s="19"/>
      <c r="FI389" s="19"/>
    </row>
    <row r="390" spans="1:165" x14ac:dyDescent="0.25">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c r="BE390" s="19"/>
      <c r="BF390" s="19"/>
      <c r="BG390" s="19"/>
      <c r="BH390" s="19"/>
      <c r="BI390" s="19"/>
      <c r="BJ390" s="19"/>
      <c r="BK390" s="19"/>
      <c r="BL390" s="19"/>
      <c r="BM390" s="19"/>
      <c r="BN390" s="19"/>
      <c r="BO390" s="19"/>
      <c r="BP390" s="19"/>
      <c r="BQ390" s="19"/>
      <c r="BR390" s="19"/>
      <c r="BS390" s="19"/>
      <c r="BT390" s="19"/>
      <c r="BU390" s="19"/>
      <c r="BV390" s="19"/>
      <c r="BW390" s="19"/>
      <c r="BX390" s="19"/>
      <c r="BY390" s="19"/>
      <c r="BZ390" s="19"/>
      <c r="CA390" s="19"/>
      <c r="CB390" s="19"/>
      <c r="CC390" s="19"/>
      <c r="CD390" s="19"/>
      <c r="CE390" s="19"/>
      <c r="CF390" s="19"/>
      <c r="CG390" s="19"/>
      <c r="CH390" s="19"/>
      <c r="CI390" s="19"/>
      <c r="CJ390" s="19"/>
      <c r="CK390" s="19"/>
      <c r="CL390" s="19"/>
      <c r="CM390" s="19"/>
      <c r="CN390" s="19"/>
      <c r="CO390" s="19"/>
      <c r="CP390" s="19"/>
      <c r="CQ390" s="19"/>
      <c r="CR390" s="19"/>
      <c r="CS390" s="19"/>
      <c r="CT390" s="19"/>
      <c r="CU390" s="19"/>
      <c r="CV390" s="19"/>
      <c r="CW390" s="19"/>
      <c r="CX390" s="19"/>
      <c r="CY390" s="19"/>
      <c r="CZ390" s="19"/>
      <c r="DA390" s="19"/>
      <c r="DB390" s="19"/>
      <c r="DC390" s="19"/>
      <c r="DD390" s="19"/>
      <c r="DE390" s="19"/>
      <c r="DF390" s="19"/>
      <c r="DG390" s="19"/>
      <c r="DH390" s="19"/>
      <c r="DI390" s="19"/>
      <c r="DJ390" s="19"/>
      <c r="DK390" s="19"/>
      <c r="DL390" s="19"/>
      <c r="DM390" s="19"/>
      <c r="DN390" s="19"/>
      <c r="DO390" s="19"/>
      <c r="DP390" s="19"/>
      <c r="DQ390" s="19"/>
      <c r="DR390" s="19"/>
      <c r="DS390" s="19"/>
      <c r="DT390" s="19"/>
      <c r="DU390" s="19"/>
      <c r="DV390" s="19"/>
      <c r="DW390" s="19"/>
      <c r="DX390" s="19"/>
      <c r="DY390" s="19"/>
      <c r="DZ390" s="19"/>
      <c r="EA390" s="19"/>
      <c r="EB390" s="19"/>
      <c r="EC390" s="19"/>
      <c r="ED390" s="19"/>
      <c r="EE390" s="19"/>
      <c r="EF390" s="19"/>
      <c r="EG390" s="19"/>
      <c r="EH390" s="19"/>
      <c r="EI390" s="19"/>
      <c r="EJ390" s="19"/>
      <c r="EK390" s="19"/>
      <c r="EL390" s="19"/>
      <c r="EM390" s="19"/>
      <c r="EN390" s="19"/>
      <c r="EO390" s="19"/>
      <c r="EP390" s="19"/>
      <c r="EQ390" s="19"/>
      <c r="ER390" s="19"/>
      <c r="ES390" s="19"/>
      <c r="ET390" s="19"/>
      <c r="EU390" s="19"/>
      <c r="EV390" s="19"/>
      <c r="EW390" s="19"/>
      <c r="EX390" s="19"/>
      <c r="EY390" s="19"/>
      <c r="EZ390" s="19"/>
      <c r="FA390" s="19"/>
      <c r="FB390" s="19"/>
      <c r="FC390" s="19"/>
      <c r="FD390" s="19"/>
      <c r="FE390" s="19"/>
      <c r="FF390" s="19"/>
      <c r="FG390" s="19"/>
      <c r="FH390" s="19"/>
      <c r="FI390" s="19"/>
    </row>
    <row r="391" spans="1:165" x14ac:dyDescent="0.25">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c r="BE391" s="19"/>
      <c r="BF391" s="19"/>
      <c r="BG391" s="19"/>
      <c r="BH391" s="19"/>
      <c r="BI391" s="19"/>
      <c r="BJ391" s="19"/>
      <c r="BK391" s="19"/>
      <c r="BL391" s="19"/>
      <c r="BM391" s="19"/>
      <c r="BN391" s="19"/>
      <c r="BO391" s="19"/>
      <c r="BP391" s="19"/>
      <c r="BQ391" s="19"/>
      <c r="BR391" s="19"/>
      <c r="BS391" s="19"/>
      <c r="BT391" s="19"/>
      <c r="BU391" s="19"/>
      <c r="BV391" s="19"/>
      <c r="BW391" s="19"/>
      <c r="BX391" s="19"/>
      <c r="BY391" s="19"/>
      <c r="BZ391" s="19"/>
      <c r="CA391" s="19"/>
      <c r="CB391" s="19"/>
      <c r="CC391" s="19"/>
      <c r="CD391" s="19"/>
      <c r="CE391" s="19"/>
      <c r="CF391" s="19"/>
      <c r="CG391" s="19"/>
      <c r="CH391" s="19"/>
      <c r="CI391" s="19"/>
      <c r="CJ391" s="19"/>
      <c r="CK391" s="19"/>
      <c r="CL391" s="19"/>
      <c r="CM391" s="19"/>
      <c r="CN391" s="19"/>
      <c r="CO391" s="19"/>
      <c r="CP391" s="19"/>
      <c r="CQ391" s="19"/>
      <c r="CR391" s="19"/>
      <c r="CS391" s="19"/>
      <c r="CT391" s="19"/>
      <c r="CU391" s="19"/>
      <c r="CV391" s="19"/>
      <c r="CW391" s="19"/>
      <c r="CX391" s="19"/>
      <c r="CY391" s="19"/>
      <c r="CZ391" s="19"/>
      <c r="DA391" s="19"/>
      <c r="DB391" s="19"/>
      <c r="DC391" s="19"/>
      <c r="DD391" s="19"/>
      <c r="DE391" s="19"/>
      <c r="DF391" s="19"/>
      <c r="DG391" s="19"/>
      <c r="DH391" s="19"/>
      <c r="DI391" s="19"/>
      <c r="DJ391" s="19"/>
      <c r="DK391" s="19"/>
      <c r="DL391" s="19"/>
      <c r="DM391" s="19"/>
      <c r="DN391" s="19"/>
      <c r="DO391" s="19"/>
      <c r="DP391" s="19"/>
      <c r="DQ391" s="19"/>
      <c r="DR391" s="19"/>
      <c r="DS391" s="19"/>
      <c r="DT391" s="19"/>
      <c r="DU391" s="19"/>
      <c r="DV391" s="19"/>
      <c r="DW391" s="19"/>
      <c r="DX391" s="19"/>
      <c r="DY391" s="19"/>
      <c r="DZ391" s="19"/>
      <c r="EA391" s="19"/>
      <c r="EB391" s="19"/>
      <c r="EC391" s="19"/>
      <c r="ED391" s="19"/>
      <c r="EE391" s="19"/>
      <c r="EF391" s="19"/>
      <c r="EG391" s="19"/>
      <c r="EH391" s="19"/>
      <c r="EI391" s="19"/>
      <c r="EJ391" s="19"/>
      <c r="EK391" s="19"/>
      <c r="EL391" s="19"/>
      <c r="EM391" s="19"/>
      <c r="EN391" s="19"/>
      <c r="EO391" s="19"/>
      <c r="EP391" s="19"/>
      <c r="EQ391" s="19"/>
      <c r="ER391" s="19"/>
      <c r="ES391" s="19"/>
      <c r="ET391" s="19"/>
      <c r="EU391" s="19"/>
      <c r="EV391" s="19"/>
      <c r="EW391" s="19"/>
      <c r="EX391" s="19"/>
      <c r="EY391" s="19"/>
      <c r="EZ391" s="19"/>
      <c r="FA391" s="19"/>
      <c r="FB391" s="19"/>
      <c r="FC391" s="19"/>
      <c r="FD391" s="19"/>
      <c r="FE391" s="19"/>
      <c r="FF391" s="19"/>
      <c r="FG391" s="19"/>
      <c r="FH391" s="19"/>
      <c r="FI391" s="19"/>
    </row>
    <row r="392" spans="1:165" x14ac:dyDescent="0.25">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c r="BE392" s="19"/>
      <c r="BF392" s="19"/>
      <c r="BG392" s="19"/>
      <c r="BH392" s="19"/>
      <c r="BI392" s="19"/>
      <c r="BJ392" s="19"/>
      <c r="BK392" s="19"/>
      <c r="BL392" s="19"/>
      <c r="BM392" s="19"/>
      <c r="BN392" s="19"/>
      <c r="BO392" s="19"/>
      <c r="BP392" s="19"/>
      <c r="BQ392" s="19"/>
      <c r="BR392" s="19"/>
      <c r="BS392" s="19"/>
      <c r="BT392" s="19"/>
      <c r="BU392" s="19"/>
      <c r="BV392" s="19"/>
      <c r="BW392" s="19"/>
      <c r="BX392" s="19"/>
      <c r="BY392" s="19"/>
      <c r="BZ392" s="19"/>
      <c r="CA392" s="19"/>
      <c r="CB392" s="19"/>
      <c r="CC392" s="19"/>
      <c r="CD392" s="19"/>
      <c r="CE392" s="19"/>
      <c r="CF392" s="19"/>
      <c r="CG392" s="19"/>
      <c r="CH392" s="19"/>
      <c r="CI392" s="19"/>
      <c r="CJ392" s="19"/>
      <c r="CK392" s="19"/>
      <c r="CL392" s="19"/>
      <c r="CM392" s="19"/>
      <c r="CN392" s="19"/>
      <c r="CO392" s="19"/>
      <c r="CP392" s="19"/>
      <c r="CQ392" s="19"/>
      <c r="CR392" s="19"/>
      <c r="CS392" s="19"/>
      <c r="CT392" s="19"/>
      <c r="CU392" s="19"/>
      <c r="CV392" s="19"/>
      <c r="CW392" s="19"/>
      <c r="CX392" s="19"/>
      <c r="CY392" s="19"/>
      <c r="CZ392" s="19"/>
      <c r="DA392" s="19"/>
      <c r="DB392" s="19"/>
      <c r="DC392" s="19"/>
      <c r="DD392" s="19"/>
      <c r="DE392" s="19"/>
      <c r="DF392" s="19"/>
      <c r="DG392" s="19"/>
      <c r="DH392" s="19"/>
      <c r="DI392" s="19"/>
      <c r="DJ392" s="19"/>
      <c r="DK392" s="19"/>
      <c r="DL392" s="19"/>
      <c r="DM392" s="19"/>
      <c r="DN392" s="19"/>
      <c r="DO392" s="19"/>
      <c r="DP392" s="19"/>
      <c r="DQ392" s="19"/>
      <c r="DR392" s="19"/>
      <c r="DS392" s="19"/>
      <c r="DT392" s="19"/>
      <c r="DU392" s="19"/>
      <c r="DV392" s="19"/>
      <c r="DW392" s="19"/>
      <c r="DX392" s="19"/>
      <c r="DY392" s="19"/>
      <c r="DZ392" s="19"/>
      <c r="EA392" s="19"/>
      <c r="EB392" s="19"/>
      <c r="EC392" s="19"/>
      <c r="ED392" s="19"/>
      <c r="EE392" s="19"/>
      <c r="EF392" s="19"/>
      <c r="EG392" s="19"/>
      <c r="EH392" s="19"/>
      <c r="EI392" s="19"/>
      <c r="EJ392" s="19"/>
      <c r="EK392" s="19"/>
      <c r="EL392" s="19"/>
      <c r="EM392" s="19"/>
      <c r="EN392" s="19"/>
      <c r="EO392" s="19"/>
      <c r="EP392" s="19"/>
      <c r="EQ392" s="19"/>
      <c r="ER392" s="19"/>
      <c r="ES392" s="19"/>
      <c r="ET392" s="19"/>
      <c r="EU392" s="19"/>
      <c r="EV392" s="19"/>
      <c r="EW392" s="19"/>
      <c r="EX392" s="19"/>
      <c r="EY392" s="19"/>
      <c r="EZ392" s="19"/>
      <c r="FA392" s="19"/>
      <c r="FB392" s="19"/>
      <c r="FC392" s="19"/>
      <c r="FD392" s="19"/>
      <c r="FE392" s="19"/>
      <c r="FF392" s="19"/>
      <c r="FG392" s="19"/>
      <c r="FH392" s="19"/>
      <c r="FI392" s="19"/>
    </row>
    <row r="393" spans="1:165" x14ac:dyDescent="0.25">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c r="BE393" s="19"/>
      <c r="BF393" s="19"/>
      <c r="BG393" s="19"/>
      <c r="BH393" s="19"/>
      <c r="BI393" s="19"/>
      <c r="BJ393" s="19"/>
      <c r="BK393" s="19"/>
      <c r="BL393" s="19"/>
      <c r="BM393" s="19"/>
      <c r="BN393" s="19"/>
      <c r="BO393" s="19"/>
      <c r="BP393" s="19"/>
      <c r="BQ393" s="19"/>
      <c r="BR393" s="19"/>
      <c r="BS393" s="19"/>
      <c r="BT393" s="19"/>
      <c r="BU393" s="19"/>
      <c r="BV393" s="19"/>
      <c r="BW393" s="19"/>
      <c r="BX393" s="19"/>
      <c r="BY393" s="19"/>
      <c r="BZ393" s="19"/>
      <c r="CA393" s="19"/>
      <c r="CB393" s="19"/>
      <c r="CC393" s="19"/>
      <c r="CD393" s="19"/>
      <c r="CE393" s="19"/>
      <c r="CF393" s="19"/>
      <c r="CG393" s="19"/>
      <c r="CH393" s="19"/>
      <c r="CI393" s="19"/>
      <c r="CJ393" s="19"/>
      <c r="CK393" s="19"/>
      <c r="CL393" s="19"/>
      <c r="CM393" s="19"/>
      <c r="CN393" s="19"/>
      <c r="CO393" s="19"/>
      <c r="CP393" s="19"/>
      <c r="CQ393" s="19"/>
      <c r="CR393" s="19"/>
      <c r="CS393" s="19"/>
      <c r="CT393" s="19"/>
      <c r="CU393" s="19"/>
      <c r="CV393" s="19"/>
      <c r="CW393" s="19"/>
      <c r="CX393" s="19"/>
      <c r="CY393" s="19"/>
      <c r="CZ393" s="19"/>
      <c r="DA393" s="19"/>
      <c r="DB393" s="19"/>
      <c r="DC393" s="19"/>
      <c r="DD393" s="19"/>
      <c r="DE393" s="19"/>
      <c r="DF393" s="19"/>
      <c r="DG393" s="19"/>
      <c r="DH393" s="19"/>
      <c r="DI393" s="19"/>
      <c r="DJ393" s="19"/>
      <c r="DK393" s="19"/>
      <c r="DL393" s="19"/>
      <c r="DM393" s="19"/>
      <c r="DN393" s="19"/>
      <c r="DO393" s="19"/>
      <c r="DP393" s="19"/>
      <c r="DQ393" s="19"/>
      <c r="DR393" s="19"/>
      <c r="DS393" s="19"/>
      <c r="DT393" s="19"/>
      <c r="DU393" s="19"/>
      <c r="DV393" s="19"/>
      <c r="DW393" s="19"/>
      <c r="DX393" s="19"/>
      <c r="DY393" s="19"/>
      <c r="DZ393" s="19"/>
      <c r="EA393" s="19"/>
      <c r="EB393" s="19"/>
      <c r="EC393" s="19"/>
      <c r="ED393" s="19"/>
      <c r="EE393" s="19"/>
      <c r="EF393" s="19"/>
      <c r="EG393" s="19"/>
      <c r="EH393" s="19"/>
      <c r="EI393" s="19"/>
      <c r="EJ393" s="19"/>
      <c r="EK393" s="19"/>
      <c r="EL393" s="19"/>
      <c r="EM393" s="19"/>
      <c r="EN393" s="19"/>
      <c r="EO393" s="19"/>
      <c r="EP393" s="19"/>
      <c r="EQ393" s="19"/>
      <c r="ER393" s="19"/>
      <c r="ES393" s="19"/>
      <c r="ET393" s="19"/>
      <c r="EU393" s="19"/>
      <c r="EV393" s="19"/>
      <c r="EW393" s="19"/>
      <c r="EX393" s="19"/>
      <c r="EY393" s="19"/>
      <c r="EZ393" s="19"/>
      <c r="FA393" s="19"/>
      <c r="FB393" s="19"/>
      <c r="FC393" s="19"/>
      <c r="FD393" s="19"/>
      <c r="FE393" s="19"/>
      <c r="FF393" s="19"/>
      <c r="FG393" s="19"/>
      <c r="FH393" s="19"/>
      <c r="FI393" s="19"/>
    </row>
    <row r="394" spans="1:165" x14ac:dyDescent="0.25">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c r="BE394" s="19"/>
      <c r="BF394" s="19"/>
      <c r="BG394" s="19"/>
      <c r="BH394" s="19"/>
      <c r="BI394" s="19"/>
      <c r="BJ394" s="19"/>
      <c r="BK394" s="19"/>
      <c r="BL394" s="19"/>
      <c r="BM394" s="19"/>
      <c r="BN394" s="19"/>
      <c r="BO394" s="19"/>
      <c r="BP394" s="19"/>
      <c r="BQ394" s="19"/>
      <c r="BR394" s="19"/>
      <c r="BS394" s="19"/>
      <c r="BT394" s="19"/>
      <c r="BU394" s="19"/>
      <c r="BV394" s="19"/>
      <c r="BW394" s="19"/>
      <c r="BX394" s="19"/>
      <c r="BY394" s="19"/>
      <c r="BZ394" s="19"/>
      <c r="CA394" s="19"/>
      <c r="CB394" s="19"/>
      <c r="CC394" s="19"/>
      <c r="CD394" s="19"/>
      <c r="CE394" s="19"/>
      <c r="CF394" s="19"/>
      <c r="CG394" s="19"/>
      <c r="CH394" s="19"/>
      <c r="CI394" s="19"/>
      <c r="CJ394" s="19"/>
      <c r="CK394" s="19"/>
      <c r="CL394" s="19"/>
      <c r="CM394" s="19"/>
      <c r="CN394" s="19"/>
      <c r="CO394" s="19"/>
      <c r="CP394" s="19"/>
      <c r="CQ394" s="19"/>
      <c r="CR394" s="19"/>
      <c r="CS394" s="19"/>
      <c r="CT394" s="19"/>
      <c r="CU394" s="19"/>
      <c r="CV394" s="19"/>
      <c r="CW394" s="19"/>
      <c r="CX394" s="19"/>
      <c r="CY394" s="19"/>
      <c r="CZ394" s="19"/>
      <c r="DA394" s="19"/>
      <c r="DB394" s="19"/>
      <c r="DC394" s="19"/>
      <c r="DD394" s="19"/>
      <c r="DE394" s="19"/>
      <c r="DF394" s="19"/>
      <c r="DG394" s="19"/>
      <c r="DH394" s="19"/>
      <c r="DI394" s="19"/>
      <c r="DJ394" s="19"/>
      <c r="DK394" s="19"/>
      <c r="DL394" s="19"/>
      <c r="DM394" s="19"/>
      <c r="DN394" s="19"/>
      <c r="DO394" s="19"/>
      <c r="DP394" s="19"/>
      <c r="DQ394" s="19"/>
      <c r="DR394" s="19"/>
      <c r="DS394" s="19"/>
      <c r="DT394" s="19"/>
      <c r="DU394" s="19"/>
      <c r="DV394" s="19"/>
      <c r="DW394" s="19"/>
      <c r="DX394" s="19"/>
      <c r="DY394" s="19"/>
      <c r="DZ394" s="19"/>
      <c r="EA394" s="19"/>
      <c r="EB394" s="19"/>
      <c r="EC394" s="19"/>
      <c r="ED394" s="19"/>
      <c r="EE394" s="19"/>
      <c r="EF394" s="19"/>
      <c r="EG394" s="19"/>
      <c r="EH394" s="19"/>
      <c r="EI394" s="19"/>
      <c r="EJ394" s="19"/>
      <c r="EK394" s="19"/>
      <c r="EL394" s="19"/>
      <c r="EM394" s="19"/>
      <c r="EN394" s="19"/>
      <c r="EO394" s="19"/>
      <c r="EP394" s="19"/>
      <c r="EQ394" s="19"/>
      <c r="ER394" s="19"/>
      <c r="ES394" s="19"/>
      <c r="ET394" s="19"/>
      <c r="EU394" s="19"/>
      <c r="EV394" s="19"/>
      <c r="EW394" s="19"/>
      <c r="EX394" s="19"/>
      <c r="EY394" s="19"/>
      <c r="EZ394" s="19"/>
      <c r="FA394" s="19"/>
      <c r="FB394" s="19"/>
      <c r="FC394" s="19"/>
      <c r="FD394" s="19"/>
      <c r="FE394" s="19"/>
      <c r="FF394" s="19"/>
      <c r="FG394" s="19"/>
      <c r="FH394" s="19"/>
      <c r="FI394" s="19"/>
    </row>
    <row r="395" spans="1:165" x14ac:dyDescent="0.25">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c r="BE395" s="19"/>
      <c r="BF395" s="19"/>
      <c r="BG395" s="19"/>
      <c r="BH395" s="19"/>
      <c r="BI395" s="19"/>
      <c r="BJ395" s="19"/>
      <c r="BK395" s="19"/>
      <c r="BL395" s="19"/>
      <c r="BM395" s="19"/>
      <c r="BN395" s="19"/>
      <c r="BO395" s="19"/>
      <c r="BP395" s="19"/>
      <c r="BQ395" s="19"/>
      <c r="BR395" s="19"/>
      <c r="BS395" s="19"/>
      <c r="BT395" s="19"/>
      <c r="BU395" s="19"/>
      <c r="BV395" s="19"/>
      <c r="BW395" s="19"/>
      <c r="BX395" s="19"/>
      <c r="BY395" s="19"/>
      <c r="BZ395" s="19"/>
      <c r="CA395" s="19"/>
      <c r="CB395" s="19"/>
      <c r="CC395" s="19"/>
      <c r="CD395" s="19"/>
      <c r="CE395" s="19"/>
      <c r="CF395" s="19"/>
      <c r="CG395" s="19"/>
      <c r="CH395" s="19"/>
      <c r="CI395" s="19"/>
      <c r="CJ395" s="19"/>
      <c r="CK395" s="19"/>
      <c r="CL395" s="19"/>
      <c r="CM395" s="19"/>
      <c r="CN395" s="19"/>
      <c r="CO395" s="19"/>
      <c r="CP395" s="19"/>
      <c r="CQ395" s="19"/>
      <c r="CR395" s="19"/>
      <c r="CS395" s="19"/>
      <c r="CT395" s="19"/>
      <c r="CU395" s="19"/>
      <c r="CV395" s="19"/>
      <c r="CW395" s="19"/>
      <c r="CX395" s="19"/>
      <c r="CY395" s="19"/>
      <c r="CZ395" s="19"/>
      <c r="DA395" s="19"/>
      <c r="DB395" s="19"/>
      <c r="DC395" s="19"/>
      <c r="DD395" s="19"/>
      <c r="DE395" s="19"/>
      <c r="DF395" s="19"/>
      <c r="DG395" s="19"/>
      <c r="DH395" s="19"/>
      <c r="DI395" s="19"/>
      <c r="DJ395" s="19"/>
      <c r="DK395" s="19"/>
      <c r="DL395" s="19"/>
      <c r="DM395" s="19"/>
      <c r="DN395" s="19"/>
      <c r="DO395" s="19"/>
      <c r="DP395" s="19"/>
      <c r="DQ395" s="19"/>
      <c r="DR395" s="19"/>
      <c r="DS395" s="19"/>
      <c r="DT395" s="19"/>
      <c r="DU395" s="19"/>
      <c r="DV395" s="19"/>
      <c r="DW395" s="19"/>
      <c r="DX395" s="19"/>
      <c r="DY395" s="19"/>
      <c r="DZ395" s="19"/>
      <c r="EA395" s="19"/>
      <c r="EB395" s="19"/>
      <c r="EC395" s="19"/>
      <c r="ED395" s="19"/>
      <c r="EE395" s="19"/>
      <c r="EF395" s="19"/>
      <c r="EG395" s="19"/>
      <c r="EH395" s="19"/>
      <c r="EI395" s="19"/>
      <c r="EJ395" s="19"/>
      <c r="EK395" s="19"/>
      <c r="EL395" s="19"/>
      <c r="EM395" s="19"/>
      <c r="EN395" s="19"/>
      <c r="EO395" s="19"/>
      <c r="EP395" s="19"/>
      <c r="EQ395" s="19"/>
      <c r="ER395" s="19"/>
      <c r="ES395" s="19"/>
      <c r="ET395" s="19"/>
      <c r="EU395" s="19"/>
      <c r="EV395" s="19"/>
      <c r="EW395" s="19"/>
      <c r="EX395" s="19"/>
      <c r="EY395" s="19"/>
      <c r="EZ395" s="19"/>
      <c r="FA395" s="19"/>
      <c r="FB395" s="19"/>
      <c r="FC395" s="19"/>
      <c r="FD395" s="19"/>
      <c r="FE395" s="19"/>
      <c r="FF395" s="19"/>
      <c r="FG395" s="19"/>
      <c r="FH395" s="19"/>
      <c r="FI395" s="19"/>
    </row>
    <row r="396" spans="1:165" x14ac:dyDescent="0.25">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c r="BE396" s="19"/>
      <c r="BF396" s="19"/>
      <c r="BG396" s="19"/>
      <c r="BH396" s="19"/>
      <c r="BI396" s="19"/>
      <c r="BJ396" s="19"/>
      <c r="BK396" s="19"/>
      <c r="BL396" s="19"/>
      <c r="BM396" s="19"/>
      <c r="BN396" s="19"/>
      <c r="BO396" s="19"/>
      <c r="BP396" s="19"/>
      <c r="BQ396" s="19"/>
      <c r="BR396" s="19"/>
      <c r="BS396" s="19"/>
      <c r="BT396" s="19"/>
      <c r="BU396" s="19"/>
      <c r="BV396" s="19"/>
      <c r="BW396" s="19"/>
      <c r="BX396" s="19"/>
      <c r="BY396" s="19"/>
      <c r="BZ396" s="19"/>
      <c r="CA396" s="19"/>
      <c r="CB396" s="19"/>
      <c r="CC396" s="19"/>
      <c r="CD396" s="19"/>
      <c r="CE396" s="19"/>
      <c r="CF396" s="19"/>
      <c r="CG396" s="19"/>
      <c r="CH396" s="19"/>
      <c r="CI396" s="19"/>
      <c r="CJ396" s="19"/>
      <c r="CK396" s="19"/>
      <c r="CL396" s="19"/>
      <c r="CM396" s="19"/>
      <c r="CN396" s="19"/>
      <c r="CO396" s="19"/>
      <c r="CP396" s="19"/>
      <c r="CQ396" s="19"/>
      <c r="CR396" s="19"/>
      <c r="CS396" s="19"/>
      <c r="CT396" s="19"/>
      <c r="CU396" s="19"/>
      <c r="CV396" s="19"/>
      <c r="CW396" s="19"/>
      <c r="CX396" s="19"/>
      <c r="CY396" s="19"/>
      <c r="CZ396" s="19"/>
      <c r="DA396" s="19"/>
      <c r="DB396" s="19"/>
      <c r="DC396" s="19"/>
      <c r="DD396" s="19"/>
      <c r="DE396" s="19"/>
      <c r="DF396" s="19"/>
      <c r="DG396" s="19"/>
      <c r="DH396" s="19"/>
      <c r="DI396" s="19"/>
      <c r="DJ396" s="19"/>
      <c r="DK396" s="19"/>
      <c r="DL396" s="19"/>
      <c r="DM396" s="19"/>
      <c r="DN396" s="19"/>
      <c r="DO396" s="19"/>
      <c r="DP396" s="19"/>
      <c r="DQ396" s="19"/>
      <c r="DR396" s="19"/>
      <c r="DS396" s="19"/>
      <c r="DT396" s="19"/>
      <c r="DU396" s="19"/>
      <c r="DV396" s="19"/>
      <c r="DW396" s="19"/>
      <c r="DX396" s="19"/>
      <c r="DY396" s="19"/>
      <c r="DZ396" s="19"/>
      <c r="EA396" s="19"/>
      <c r="EB396" s="19"/>
      <c r="EC396" s="19"/>
      <c r="ED396" s="19"/>
      <c r="EE396" s="19"/>
      <c r="EF396" s="19"/>
      <c r="EG396" s="19"/>
      <c r="EH396" s="19"/>
      <c r="EI396" s="19"/>
      <c r="EJ396" s="19"/>
      <c r="EK396" s="19"/>
      <c r="EL396" s="19"/>
      <c r="EM396" s="19"/>
      <c r="EN396" s="19"/>
      <c r="EO396" s="19"/>
      <c r="EP396" s="19"/>
      <c r="EQ396" s="19"/>
      <c r="ER396" s="19"/>
      <c r="ES396" s="19"/>
      <c r="ET396" s="19"/>
      <c r="EU396" s="19"/>
      <c r="EV396" s="19"/>
      <c r="EW396" s="19"/>
      <c r="EX396" s="19"/>
      <c r="EY396" s="19"/>
      <c r="EZ396" s="19"/>
      <c r="FA396" s="19"/>
      <c r="FB396" s="19"/>
      <c r="FC396" s="19"/>
      <c r="FD396" s="19"/>
      <c r="FE396" s="19"/>
      <c r="FF396" s="19"/>
      <c r="FG396" s="19"/>
      <c r="FH396" s="19"/>
      <c r="FI396" s="19"/>
    </row>
    <row r="397" spans="1:165" x14ac:dyDescent="0.25">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c r="BE397" s="19"/>
      <c r="BF397" s="19"/>
      <c r="BG397" s="19"/>
      <c r="BH397" s="19"/>
      <c r="BI397" s="19"/>
      <c r="BJ397" s="19"/>
      <c r="BK397" s="19"/>
      <c r="BL397" s="19"/>
      <c r="BM397" s="19"/>
      <c r="BN397" s="19"/>
      <c r="BO397" s="19"/>
      <c r="BP397" s="19"/>
      <c r="BQ397" s="19"/>
      <c r="BR397" s="19"/>
      <c r="BS397" s="19"/>
      <c r="BT397" s="19"/>
      <c r="BU397" s="19"/>
      <c r="BV397" s="19"/>
      <c r="BW397" s="19"/>
      <c r="BX397" s="19"/>
      <c r="BY397" s="19"/>
      <c r="BZ397" s="19"/>
      <c r="CA397" s="19"/>
      <c r="CB397" s="19"/>
      <c r="CC397" s="19"/>
      <c r="CD397" s="19"/>
      <c r="CE397" s="19"/>
      <c r="CF397" s="19"/>
      <c r="CG397" s="19"/>
      <c r="CH397" s="19"/>
      <c r="CI397" s="19"/>
      <c r="CJ397" s="19"/>
      <c r="CK397" s="19"/>
      <c r="CL397" s="19"/>
      <c r="CM397" s="19"/>
      <c r="CN397" s="19"/>
      <c r="CO397" s="19"/>
      <c r="CP397" s="19"/>
      <c r="CQ397" s="19"/>
      <c r="CR397" s="19"/>
      <c r="CS397" s="19"/>
      <c r="CT397" s="19"/>
      <c r="CU397" s="19"/>
      <c r="CV397" s="19"/>
      <c r="CW397" s="19"/>
      <c r="CX397" s="19"/>
      <c r="CY397" s="19"/>
      <c r="CZ397" s="19"/>
      <c r="DA397" s="19"/>
      <c r="DB397" s="19"/>
      <c r="DC397" s="19"/>
      <c r="DD397" s="19"/>
      <c r="DE397" s="19"/>
      <c r="DF397" s="19"/>
      <c r="DG397" s="19"/>
      <c r="DH397" s="19"/>
      <c r="DI397" s="19"/>
      <c r="DJ397" s="19"/>
      <c r="DK397" s="19"/>
      <c r="DL397" s="19"/>
      <c r="DM397" s="19"/>
      <c r="DN397" s="19"/>
      <c r="DO397" s="19"/>
      <c r="DP397" s="19"/>
      <c r="DQ397" s="19"/>
      <c r="DR397" s="19"/>
      <c r="DS397" s="19"/>
      <c r="DT397" s="19"/>
      <c r="DU397" s="19"/>
      <c r="DV397" s="19"/>
      <c r="DW397" s="19"/>
      <c r="DX397" s="19"/>
      <c r="DY397" s="19"/>
      <c r="DZ397" s="19"/>
      <c r="EA397" s="19"/>
      <c r="EB397" s="19"/>
      <c r="EC397" s="19"/>
      <c r="ED397" s="19"/>
      <c r="EE397" s="19"/>
      <c r="EF397" s="19"/>
      <c r="EG397" s="19"/>
      <c r="EH397" s="19"/>
      <c r="EI397" s="19"/>
      <c r="EJ397" s="19"/>
      <c r="EK397" s="19"/>
      <c r="EL397" s="19"/>
      <c r="EM397" s="19"/>
      <c r="EN397" s="19"/>
      <c r="EO397" s="19"/>
      <c r="EP397" s="19"/>
      <c r="EQ397" s="19"/>
      <c r="ER397" s="19"/>
      <c r="ES397" s="19"/>
      <c r="ET397" s="19"/>
      <c r="EU397" s="19"/>
      <c r="EV397" s="19"/>
      <c r="EW397" s="19"/>
      <c r="EX397" s="19"/>
      <c r="EY397" s="19"/>
      <c r="EZ397" s="19"/>
      <c r="FA397" s="19"/>
      <c r="FB397" s="19"/>
      <c r="FC397" s="19"/>
      <c r="FD397" s="19"/>
      <c r="FE397" s="19"/>
      <c r="FF397" s="19"/>
      <c r="FG397" s="19"/>
      <c r="FH397" s="19"/>
      <c r="FI397" s="19"/>
    </row>
    <row r="398" spans="1:165" x14ac:dyDescent="0.25">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c r="BE398" s="19"/>
      <c r="BF398" s="19"/>
      <c r="BG398" s="19"/>
      <c r="BH398" s="19"/>
      <c r="BI398" s="19"/>
      <c r="BJ398" s="19"/>
      <c r="BK398" s="19"/>
      <c r="BL398" s="19"/>
      <c r="BM398" s="19"/>
      <c r="BN398" s="19"/>
      <c r="BO398" s="19"/>
      <c r="BP398" s="19"/>
      <c r="BQ398" s="19"/>
      <c r="BR398" s="19"/>
      <c r="BS398" s="19"/>
      <c r="BT398" s="19"/>
      <c r="BU398" s="19"/>
      <c r="BV398" s="19"/>
      <c r="BW398" s="19"/>
      <c r="BX398" s="19"/>
      <c r="BY398" s="19"/>
      <c r="BZ398" s="19"/>
      <c r="CA398" s="19"/>
      <c r="CB398" s="19"/>
      <c r="CC398" s="19"/>
      <c r="CD398" s="19"/>
      <c r="CE398" s="19"/>
      <c r="CF398" s="19"/>
      <c r="CG398" s="19"/>
      <c r="CH398" s="19"/>
      <c r="CI398" s="19"/>
      <c r="CJ398" s="19"/>
      <c r="CK398" s="19"/>
      <c r="CL398" s="19"/>
      <c r="CM398" s="19"/>
      <c r="CN398" s="19"/>
      <c r="CO398" s="19"/>
      <c r="CP398" s="19"/>
      <c r="CQ398" s="19"/>
      <c r="CR398" s="19"/>
      <c r="CS398" s="19"/>
      <c r="CT398" s="19"/>
      <c r="CU398" s="19"/>
      <c r="CV398" s="19"/>
      <c r="CW398" s="19"/>
      <c r="CX398" s="19"/>
      <c r="CY398" s="19"/>
      <c r="CZ398" s="19"/>
      <c r="DA398" s="19"/>
      <c r="DB398" s="19"/>
      <c r="DC398" s="19"/>
      <c r="DD398" s="19"/>
      <c r="DE398" s="19"/>
      <c r="DF398" s="19"/>
      <c r="DG398" s="19"/>
      <c r="DH398" s="19"/>
      <c r="DI398" s="19"/>
      <c r="DJ398" s="19"/>
      <c r="DK398" s="19"/>
      <c r="DL398" s="19"/>
      <c r="DM398" s="19"/>
      <c r="DN398" s="19"/>
      <c r="DO398" s="19"/>
      <c r="DP398" s="19"/>
      <c r="DQ398" s="19"/>
      <c r="DR398" s="19"/>
      <c r="DS398" s="19"/>
      <c r="DT398" s="19"/>
      <c r="DU398" s="19"/>
      <c r="DV398" s="19"/>
      <c r="DW398" s="19"/>
      <c r="DX398" s="19"/>
      <c r="DY398" s="19"/>
      <c r="DZ398" s="19"/>
      <c r="EA398" s="19"/>
      <c r="EB398" s="19"/>
      <c r="EC398" s="19"/>
      <c r="ED398" s="19"/>
      <c r="EE398" s="19"/>
      <c r="EF398" s="19"/>
      <c r="EG398" s="19"/>
      <c r="EH398" s="19"/>
      <c r="EI398" s="19"/>
      <c r="EJ398" s="19"/>
      <c r="EK398" s="19"/>
      <c r="EL398" s="19"/>
      <c r="EM398" s="19"/>
      <c r="EN398" s="19"/>
      <c r="EO398" s="19"/>
      <c r="EP398" s="19"/>
      <c r="EQ398" s="19"/>
      <c r="ER398" s="19"/>
      <c r="ES398" s="19"/>
      <c r="ET398" s="19"/>
      <c r="EU398" s="19"/>
      <c r="EV398" s="19"/>
      <c r="EW398" s="19"/>
      <c r="EX398" s="19"/>
      <c r="EY398" s="19"/>
      <c r="EZ398" s="19"/>
      <c r="FA398" s="19"/>
      <c r="FB398" s="19"/>
      <c r="FC398" s="19"/>
      <c r="FD398" s="19"/>
      <c r="FE398" s="19"/>
      <c r="FF398" s="19"/>
      <c r="FG398" s="19"/>
      <c r="FH398" s="19"/>
      <c r="FI398" s="19"/>
    </row>
    <row r="399" spans="1:165" x14ac:dyDescent="0.25">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c r="BE399" s="19"/>
      <c r="BF399" s="19"/>
      <c r="BG399" s="19"/>
      <c r="BH399" s="19"/>
      <c r="BI399" s="19"/>
      <c r="BJ399" s="19"/>
      <c r="BK399" s="19"/>
      <c r="BL399" s="19"/>
      <c r="BM399" s="19"/>
      <c r="BN399" s="19"/>
      <c r="BO399" s="19"/>
      <c r="BP399" s="19"/>
      <c r="BQ399" s="19"/>
      <c r="BR399" s="19"/>
      <c r="BS399" s="19"/>
      <c r="BT399" s="19"/>
      <c r="BU399" s="19"/>
      <c r="BV399" s="19"/>
      <c r="BW399" s="19"/>
      <c r="BX399" s="19"/>
      <c r="BY399" s="19"/>
      <c r="BZ399" s="19"/>
      <c r="CA399" s="19"/>
      <c r="CB399" s="19"/>
      <c r="CC399" s="19"/>
      <c r="CD399" s="19"/>
      <c r="CE399" s="19"/>
      <c r="CF399" s="19"/>
      <c r="CG399" s="19"/>
      <c r="CH399" s="19"/>
      <c r="CI399" s="19"/>
      <c r="CJ399" s="19"/>
      <c r="CK399" s="19"/>
      <c r="CL399" s="19"/>
      <c r="CM399" s="19"/>
      <c r="CN399" s="19"/>
      <c r="CO399" s="19"/>
      <c r="CP399" s="19"/>
      <c r="CQ399" s="19"/>
      <c r="CR399" s="19"/>
      <c r="CS399" s="19"/>
      <c r="CT399" s="19"/>
      <c r="CU399" s="19"/>
      <c r="CV399" s="19"/>
      <c r="CW399" s="19"/>
      <c r="CX399" s="19"/>
      <c r="CY399" s="19"/>
      <c r="CZ399" s="19"/>
      <c r="DA399" s="19"/>
      <c r="DB399" s="19"/>
      <c r="DC399" s="19"/>
      <c r="DD399" s="19"/>
      <c r="DE399" s="19"/>
      <c r="DF399" s="19"/>
      <c r="DG399" s="19"/>
      <c r="DH399" s="19"/>
      <c r="DI399" s="19"/>
      <c r="DJ399" s="19"/>
      <c r="DK399" s="19"/>
      <c r="DL399" s="19"/>
      <c r="DM399" s="19"/>
      <c r="DN399" s="19"/>
      <c r="DO399" s="19"/>
      <c r="DP399" s="19"/>
      <c r="DQ399" s="19"/>
      <c r="DR399" s="19"/>
      <c r="DS399" s="19"/>
      <c r="DT399" s="19"/>
      <c r="DU399" s="19"/>
      <c r="DV399" s="19"/>
      <c r="DW399" s="19"/>
      <c r="DX399" s="19"/>
      <c r="DY399" s="19"/>
      <c r="DZ399" s="19"/>
      <c r="EA399" s="19"/>
      <c r="EB399" s="19"/>
      <c r="EC399" s="19"/>
      <c r="ED399" s="19"/>
      <c r="EE399" s="19"/>
      <c r="EF399" s="19"/>
      <c r="EG399" s="19"/>
      <c r="EH399" s="19"/>
      <c r="EI399" s="19"/>
      <c r="EJ399" s="19"/>
      <c r="EK399" s="19"/>
      <c r="EL399" s="19"/>
      <c r="EM399" s="19"/>
      <c r="EN399" s="19"/>
      <c r="EO399" s="19"/>
      <c r="EP399" s="19"/>
      <c r="EQ399" s="19"/>
      <c r="ER399" s="19"/>
      <c r="ES399" s="19"/>
      <c r="ET399" s="19"/>
      <c r="EU399" s="19"/>
      <c r="EV399" s="19"/>
      <c r="EW399" s="19"/>
      <c r="EX399" s="19"/>
      <c r="EY399" s="19"/>
      <c r="EZ399" s="19"/>
      <c r="FA399" s="19"/>
      <c r="FB399" s="19"/>
      <c r="FC399" s="19"/>
      <c r="FD399" s="19"/>
      <c r="FE399" s="19"/>
      <c r="FF399" s="19"/>
      <c r="FG399" s="19"/>
      <c r="FH399" s="19"/>
      <c r="FI399" s="19"/>
    </row>
    <row r="400" spans="1:165" x14ac:dyDescent="0.25">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c r="BE400" s="19"/>
      <c r="BF400" s="19"/>
      <c r="BG400" s="19"/>
      <c r="BH400" s="19"/>
      <c r="BI400" s="19"/>
      <c r="BJ400" s="19"/>
      <c r="BK400" s="19"/>
      <c r="BL400" s="19"/>
      <c r="BM400" s="19"/>
      <c r="BN400" s="19"/>
      <c r="BO400" s="19"/>
      <c r="BP400" s="19"/>
      <c r="BQ400" s="19"/>
      <c r="BR400" s="19"/>
      <c r="BS400" s="19"/>
      <c r="BT400" s="19"/>
      <c r="BU400" s="19"/>
      <c r="BV400" s="19"/>
      <c r="BW400" s="19"/>
      <c r="BX400" s="19"/>
      <c r="BY400" s="19"/>
      <c r="BZ400" s="19"/>
      <c r="CA400" s="19"/>
      <c r="CB400" s="19"/>
      <c r="CC400" s="19"/>
      <c r="CD400" s="19"/>
      <c r="CE400" s="19"/>
      <c r="CF400" s="19"/>
      <c r="CG400" s="19"/>
      <c r="CH400" s="19"/>
      <c r="CI400" s="19"/>
      <c r="CJ400" s="19"/>
      <c r="CK400" s="19"/>
      <c r="CL400" s="19"/>
      <c r="CM400" s="19"/>
      <c r="CN400" s="19"/>
      <c r="CO400" s="19"/>
      <c r="CP400" s="19"/>
      <c r="CQ400" s="19"/>
      <c r="CR400" s="19"/>
      <c r="CS400" s="19"/>
      <c r="CT400" s="19"/>
      <c r="CU400" s="19"/>
      <c r="CV400" s="19"/>
      <c r="CW400" s="19"/>
      <c r="CX400" s="19"/>
      <c r="CY400" s="19"/>
      <c r="CZ400" s="19"/>
      <c r="DA400" s="19"/>
      <c r="DB400" s="19"/>
      <c r="DC400" s="19"/>
      <c r="DD400" s="19"/>
      <c r="DE400" s="19"/>
      <c r="DF400" s="19"/>
      <c r="DG400" s="19"/>
      <c r="DH400" s="19"/>
      <c r="DI400" s="19"/>
      <c r="DJ400" s="19"/>
      <c r="DK400" s="19"/>
      <c r="DL400" s="19"/>
      <c r="DM400" s="19"/>
      <c r="DN400" s="19"/>
      <c r="DO400" s="19"/>
      <c r="DP400" s="19"/>
      <c r="DQ400" s="19"/>
      <c r="DR400" s="19"/>
      <c r="DS400" s="19"/>
      <c r="DT400" s="19"/>
      <c r="DU400" s="19"/>
      <c r="DV400" s="19"/>
      <c r="DW400" s="19"/>
      <c r="DX400" s="19"/>
      <c r="DY400" s="19"/>
      <c r="DZ400" s="19"/>
      <c r="EA400" s="19"/>
      <c r="EB400" s="19"/>
      <c r="EC400" s="19"/>
      <c r="ED400" s="19"/>
      <c r="EE400" s="19"/>
      <c r="EF400" s="19"/>
      <c r="EG400" s="19"/>
      <c r="EH400" s="19"/>
      <c r="EI400" s="19"/>
      <c r="EJ400" s="19"/>
      <c r="EK400" s="19"/>
      <c r="EL400" s="19"/>
      <c r="EM400" s="19"/>
      <c r="EN400" s="19"/>
      <c r="EO400" s="19"/>
      <c r="EP400" s="19"/>
      <c r="EQ400" s="19"/>
      <c r="ER400" s="19"/>
      <c r="ES400" s="19"/>
      <c r="ET400" s="19"/>
      <c r="EU400" s="19"/>
      <c r="EV400" s="19"/>
      <c r="EW400" s="19"/>
      <c r="EX400" s="19"/>
      <c r="EY400" s="19"/>
      <c r="EZ400" s="19"/>
      <c r="FA400" s="19"/>
      <c r="FB400" s="19"/>
      <c r="FC400" s="19"/>
      <c r="FD400" s="19"/>
      <c r="FE400" s="19"/>
      <c r="FF400" s="19"/>
      <c r="FG400" s="19"/>
      <c r="FH400" s="19"/>
      <c r="FI400" s="19"/>
    </row>
    <row r="401" spans="1:165" x14ac:dyDescent="0.25">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c r="BE401" s="19"/>
      <c r="BF401" s="19"/>
      <c r="BG401" s="19"/>
      <c r="BH401" s="19"/>
      <c r="BI401" s="19"/>
      <c r="BJ401" s="19"/>
      <c r="BK401" s="19"/>
      <c r="BL401" s="19"/>
      <c r="BM401" s="19"/>
      <c r="BN401" s="19"/>
      <c r="BO401" s="19"/>
      <c r="BP401" s="19"/>
      <c r="BQ401" s="19"/>
      <c r="BR401" s="19"/>
      <c r="BS401" s="19"/>
      <c r="BT401" s="19"/>
      <c r="BU401" s="19"/>
      <c r="BV401" s="19"/>
      <c r="BW401" s="19"/>
      <c r="BX401" s="19"/>
      <c r="BY401" s="19"/>
      <c r="BZ401" s="19"/>
      <c r="CA401" s="19"/>
      <c r="CB401" s="19"/>
      <c r="CC401" s="19"/>
      <c r="CD401" s="19"/>
      <c r="CE401" s="19"/>
      <c r="CF401" s="19"/>
      <c r="CG401" s="19"/>
      <c r="CH401" s="19"/>
      <c r="CI401" s="19"/>
      <c r="CJ401" s="19"/>
      <c r="CK401" s="19"/>
      <c r="CL401" s="19"/>
      <c r="CM401" s="19"/>
      <c r="CN401" s="19"/>
      <c r="CO401" s="19"/>
      <c r="CP401" s="19"/>
      <c r="CQ401" s="19"/>
      <c r="CR401" s="19"/>
      <c r="CS401" s="19"/>
      <c r="CT401" s="19"/>
      <c r="CU401" s="19"/>
      <c r="CV401" s="19"/>
      <c r="CW401" s="19"/>
      <c r="CX401" s="19"/>
      <c r="CY401" s="19"/>
      <c r="CZ401" s="19"/>
      <c r="DA401" s="19"/>
      <c r="DB401" s="19"/>
      <c r="DC401" s="19"/>
      <c r="DD401" s="19"/>
      <c r="DE401" s="19"/>
      <c r="DF401" s="19"/>
      <c r="DG401" s="19"/>
      <c r="DH401" s="19"/>
      <c r="DI401" s="19"/>
      <c r="DJ401" s="19"/>
      <c r="DK401" s="19"/>
      <c r="DL401" s="19"/>
      <c r="DM401" s="19"/>
      <c r="DN401" s="19"/>
      <c r="DO401" s="19"/>
      <c r="DP401" s="19"/>
      <c r="DQ401" s="19"/>
      <c r="DR401" s="19"/>
      <c r="DS401" s="19"/>
      <c r="DT401" s="19"/>
      <c r="DU401" s="19"/>
      <c r="DV401" s="19"/>
      <c r="DW401" s="19"/>
      <c r="DX401" s="19"/>
      <c r="DY401" s="19"/>
      <c r="DZ401" s="19"/>
      <c r="EA401" s="19"/>
      <c r="EB401" s="19"/>
      <c r="EC401" s="19"/>
      <c r="ED401" s="19"/>
      <c r="EE401" s="19"/>
      <c r="EF401" s="19"/>
      <c r="EG401" s="19"/>
      <c r="EH401" s="19"/>
      <c r="EI401" s="19"/>
      <c r="EJ401" s="19"/>
      <c r="EK401" s="19"/>
      <c r="EL401" s="19"/>
      <c r="EM401" s="19"/>
      <c r="EN401" s="19"/>
      <c r="EO401" s="19"/>
      <c r="EP401" s="19"/>
      <c r="EQ401" s="19"/>
      <c r="ER401" s="19"/>
      <c r="ES401" s="19"/>
      <c r="ET401" s="19"/>
      <c r="EU401" s="19"/>
      <c r="EV401" s="19"/>
      <c r="EW401" s="19"/>
      <c r="EX401" s="19"/>
      <c r="EY401" s="19"/>
      <c r="EZ401" s="19"/>
      <c r="FA401" s="19"/>
      <c r="FB401" s="19"/>
      <c r="FC401" s="19"/>
      <c r="FD401" s="19"/>
      <c r="FE401" s="19"/>
      <c r="FF401" s="19"/>
      <c r="FG401" s="19"/>
      <c r="FH401" s="19"/>
      <c r="FI401" s="19"/>
    </row>
    <row r="402" spans="1:165" x14ac:dyDescent="0.25">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c r="BE402" s="19"/>
      <c r="BF402" s="19"/>
      <c r="BG402" s="19"/>
      <c r="BH402" s="19"/>
      <c r="BI402" s="19"/>
      <c r="BJ402" s="19"/>
      <c r="BK402" s="19"/>
      <c r="BL402" s="19"/>
      <c r="BM402" s="19"/>
      <c r="BN402" s="19"/>
      <c r="BO402" s="19"/>
      <c r="BP402" s="19"/>
      <c r="BQ402" s="19"/>
      <c r="BR402" s="19"/>
      <c r="BS402" s="19"/>
      <c r="BT402" s="19"/>
      <c r="BU402" s="19"/>
      <c r="BV402" s="19"/>
      <c r="BW402" s="19"/>
      <c r="BX402" s="19"/>
      <c r="BY402" s="19"/>
      <c r="BZ402" s="19"/>
      <c r="CA402" s="19"/>
      <c r="CB402" s="19"/>
      <c r="CC402" s="19"/>
      <c r="CD402" s="19"/>
      <c r="CE402" s="19"/>
      <c r="CF402" s="19"/>
      <c r="CG402" s="19"/>
      <c r="CH402" s="19"/>
      <c r="CI402" s="19"/>
      <c r="CJ402" s="19"/>
      <c r="CK402" s="19"/>
      <c r="CL402" s="19"/>
      <c r="CM402" s="19"/>
      <c r="CN402" s="19"/>
      <c r="CO402" s="19"/>
      <c r="CP402" s="19"/>
      <c r="CQ402" s="19"/>
      <c r="CR402" s="19"/>
      <c r="CS402" s="19"/>
      <c r="CT402" s="19"/>
      <c r="CU402" s="19"/>
      <c r="CV402" s="19"/>
      <c r="CW402" s="19"/>
      <c r="CX402" s="19"/>
      <c r="CY402" s="19"/>
      <c r="CZ402" s="19"/>
      <c r="DA402" s="19"/>
      <c r="DB402" s="19"/>
      <c r="DC402" s="19"/>
      <c r="DD402" s="19"/>
      <c r="DE402" s="19"/>
      <c r="DF402" s="19"/>
      <c r="DG402" s="19"/>
      <c r="DH402" s="19"/>
      <c r="DI402" s="19"/>
      <c r="DJ402" s="19"/>
      <c r="DK402" s="19"/>
      <c r="DL402" s="19"/>
      <c r="DM402" s="19"/>
      <c r="DN402" s="19"/>
      <c r="DO402" s="19"/>
      <c r="DP402" s="19"/>
      <c r="DQ402" s="19"/>
      <c r="DR402" s="19"/>
      <c r="DS402" s="19"/>
      <c r="DT402" s="19"/>
      <c r="DU402" s="19"/>
      <c r="DV402" s="19"/>
      <c r="DW402" s="19"/>
      <c r="DX402" s="19"/>
      <c r="DY402" s="19"/>
      <c r="DZ402" s="19"/>
      <c r="EA402" s="19"/>
      <c r="EB402" s="19"/>
      <c r="EC402" s="19"/>
      <c r="ED402" s="19"/>
      <c r="EE402" s="19"/>
      <c r="EF402" s="19"/>
      <c r="EG402" s="19"/>
      <c r="EH402" s="19"/>
      <c r="EI402" s="19"/>
      <c r="EJ402" s="19"/>
      <c r="EK402" s="19"/>
      <c r="EL402" s="19"/>
      <c r="EM402" s="19"/>
      <c r="EN402" s="19"/>
      <c r="EO402" s="19"/>
      <c r="EP402" s="19"/>
      <c r="EQ402" s="19"/>
      <c r="ER402" s="19"/>
      <c r="ES402" s="19"/>
      <c r="ET402" s="19"/>
      <c r="EU402" s="19"/>
      <c r="EV402" s="19"/>
      <c r="EW402" s="19"/>
      <c r="EX402" s="19"/>
      <c r="EY402" s="19"/>
      <c r="EZ402" s="19"/>
      <c r="FA402" s="19"/>
      <c r="FB402" s="19"/>
      <c r="FC402" s="19"/>
      <c r="FD402" s="19"/>
      <c r="FE402" s="19"/>
      <c r="FF402" s="19"/>
      <c r="FG402" s="19"/>
      <c r="FH402" s="19"/>
      <c r="FI402" s="19"/>
    </row>
    <row r="403" spans="1:165" x14ac:dyDescent="0.25">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c r="BE403" s="19"/>
      <c r="BF403" s="19"/>
      <c r="BG403" s="19"/>
      <c r="BH403" s="19"/>
      <c r="BI403" s="19"/>
      <c r="BJ403" s="19"/>
      <c r="BK403" s="19"/>
      <c r="BL403" s="19"/>
      <c r="BM403" s="19"/>
      <c r="BN403" s="19"/>
      <c r="BO403" s="19"/>
      <c r="BP403" s="19"/>
      <c r="BQ403" s="19"/>
      <c r="BR403" s="19"/>
      <c r="BS403" s="19"/>
      <c r="BT403" s="19"/>
      <c r="BU403" s="19"/>
      <c r="BV403" s="19"/>
      <c r="BW403" s="19"/>
      <c r="BX403" s="19"/>
      <c r="BY403" s="19"/>
      <c r="BZ403" s="19"/>
      <c r="CA403" s="19"/>
      <c r="CB403" s="19"/>
      <c r="CC403" s="19"/>
      <c r="CD403" s="19"/>
      <c r="CE403" s="19"/>
      <c r="CF403" s="19"/>
      <c r="CG403" s="19"/>
      <c r="CH403" s="19"/>
      <c r="CI403" s="19"/>
      <c r="CJ403" s="19"/>
      <c r="CK403" s="19"/>
      <c r="CL403" s="19"/>
      <c r="CM403" s="19"/>
      <c r="CN403" s="19"/>
      <c r="CO403" s="19"/>
      <c r="CP403" s="19"/>
      <c r="CQ403" s="19"/>
      <c r="CR403" s="19"/>
      <c r="CS403" s="19"/>
      <c r="CT403" s="19"/>
      <c r="CU403" s="19"/>
      <c r="CV403" s="19"/>
      <c r="CW403" s="19"/>
      <c r="CX403" s="19"/>
      <c r="CY403" s="19"/>
      <c r="CZ403" s="19"/>
      <c r="DA403" s="19"/>
      <c r="DB403" s="19"/>
      <c r="DC403" s="19"/>
      <c r="DD403" s="19"/>
      <c r="DE403" s="19"/>
      <c r="DF403" s="19"/>
      <c r="DG403" s="19"/>
      <c r="DH403" s="19"/>
      <c r="DI403" s="19"/>
      <c r="DJ403" s="19"/>
      <c r="DK403" s="19"/>
      <c r="DL403" s="19"/>
      <c r="DM403" s="19"/>
      <c r="DN403" s="19"/>
      <c r="DO403" s="19"/>
      <c r="DP403" s="19"/>
      <c r="DQ403" s="19"/>
      <c r="DR403" s="19"/>
      <c r="DS403" s="19"/>
      <c r="DT403" s="19"/>
      <c r="DU403" s="19"/>
      <c r="DV403" s="19"/>
      <c r="DW403" s="19"/>
      <c r="DX403" s="19"/>
      <c r="DY403" s="19"/>
      <c r="DZ403" s="19"/>
      <c r="EA403" s="19"/>
      <c r="EB403" s="19"/>
      <c r="EC403" s="19"/>
      <c r="ED403" s="19"/>
      <c r="EE403" s="19"/>
      <c r="EF403" s="19"/>
      <c r="EG403" s="19"/>
      <c r="EH403" s="19"/>
      <c r="EI403" s="19"/>
      <c r="EJ403" s="19"/>
      <c r="EK403" s="19"/>
      <c r="EL403" s="19"/>
      <c r="EM403" s="19"/>
      <c r="EN403" s="19"/>
      <c r="EO403" s="19"/>
      <c r="EP403" s="19"/>
      <c r="EQ403" s="19"/>
      <c r="ER403" s="19"/>
      <c r="ES403" s="19"/>
      <c r="ET403" s="19"/>
      <c r="EU403" s="19"/>
      <c r="EV403" s="19"/>
      <c r="EW403" s="19"/>
      <c r="EX403" s="19"/>
      <c r="EY403" s="19"/>
      <c r="EZ403" s="19"/>
      <c r="FA403" s="19"/>
      <c r="FB403" s="19"/>
      <c r="FC403" s="19"/>
      <c r="FD403" s="19"/>
      <c r="FE403" s="19"/>
      <c r="FF403" s="19"/>
      <c r="FG403" s="19"/>
      <c r="FH403" s="19"/>
      <c r="FI403" s="19"/>
    </row>
    <row r="404" spans="1:165" x14ac:dyDescent="0.25">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c r="BE404" s="19"/>
      <c r="BF404" s="19"/>
      <c r="BG404" s="19"/>
      <c r="BH404" s="19"/>
      <c r="BI404" s="19"/>
      <c r="BJ404" s="19"/>
      <c r="BK404" s="19"/>
      <c r="BL404" s="19"/>
      <c r="BM404" s="19"/>
      <c r="BN404" s="19"/>
      <c r="BO404" s="19"/>
      <c r="BP404" s="19"/>
      <c r="BQ404" s="19"/>
      <c r="BR404" s="19"/>
      <c r="BS404" s="19"/>
      <c r="BT404" s="19"/>
      <c r="BU404" s="19"/>
      <c r="BV404" s="19"/>
      <c r="BW404" s="19"/>
      <c r="BX404" s="19"/>
      <c r="BY404" s="19"/>
      <c r="BZ404" s="19"/>
      <c r="CA404" s="19"/>
      <c r="CB404" s="19"/>
      <c r="CC404" s="19"/>
      <c r="CD404" s="19"/>
      <c r="CE404" s="19"/>
      <c r="CF404" s="19"/>
      <c r="CG404" s="19"/>
      <c r="CH404" s="19"/>
      <c r="CI404" s="19"/>
      <c r="CJ404" s="19"/>
      <c r="CK404" s="19"/>
      <c r="CL404" s="19"/>
      <c r="CM404" s="19"/>
      <c r="CN404" s="19"/>
      <c r="CO404" s="19"/>
      <c r="CP404" s="19"/>
      <c r="CQ404" s="19"/>
      <c r="CR404" s="19"/>
      <c r="CS404" s="19"/>
      <c r="CT404" s="19"/>
      <c r="CU404" s="19"/>
      <c r="CV404" s="19"/>
      <c r="CW404" s="19"/>
      <c r="CX404" s="19"/>
      <c r="CY404" s="19"/>
      <c r="CZ404" s="19"/>
      <c r="DA404" s="19"/>
      <c r="DB404" s="19"/>
      <c r="DC404" s="19"/>
      <c r="DD404" s="19"/>
      <c r="DE404" s="19"/>
      <c r="DF404" s="19"/>
      <c r="DG404" s="19"/>
      <c r="DH404" s="19"/>
      <c r="DI404" s="19"/>
      <c r="DJ404" s="19"/>
      <c r="DK404" s="19"/>
      <c r="DL404" s="19"/>
      <c r="DM404" s="19"/>
      <c r="DN404" s="19"/>
      <c r="DO404" s="19"/>
      <c r="DP404" s="19"/>
      <c r="DQ404" s="19"/>
      <c r="DR404" s="19"/>
      <c r="DS404" s="19"/>
      <c r="DT404" s="19"/>
      <c r="DU404" s="19"/>
      <c r="DV404" s="19"/>
      <c r="DW404" s="19"/>
      <c r="DX404" s="19"/>
      <c r="DY404" s="19"/>
      <c r="DZ404" s="19"/>
      <c r="EA404" s="19"/>
      <c r="EB404" s="19"/>
      <c r="EC404" s="19"/>
      <c r="ED404" s="19"/>
      <c r="EE404" s="19"/>
      <c r="EF404" s="19"/>
      <c r="EG404" s="19"/>
      <c r="EH404" s="19"/>
      <c r="EI404" s="19"/>
      <c r="EJ404" s="19"/>
      <c r="EK404" s="19"/>
      <c r="EL404" s="19"/>
      <c r="EM404" s="19"/>
      <c r="EN404" s="19"/>
      <c r="EO404" s="19"/>
      <c r="EP404" s="19"/>
      <c r="EQ404" s="19"/>
      <c r="ER404" s="19"/>
      <c r="ES404" s="19"/>
      <c r="ET404" s="19"/>
      <c r="EU404" s="19"/>
      <c r="EV404" s="19"/>
      <c r="EW404" s="19"/>
      <c r="EX404" s="19"/>
      <c r="EY404" s="19"/>
      <c r="EZ404" s="19"/>
      <c r="FA404" s="19"/>
      <c r="FB404" s="19"/>
      <c r="FC404" s="19"/>
      <c r="FD404" s="19"/>
      <c r="FE404" s="19"/>
      <c r="FF404" s="19"/>
      <c r="FG404" s="19"/>
      <c r="FH404" s="19"/>
      <c r="FI404" s="19"/>
    </row>
    <row r="405" spans="1:165" x14ac:dyDescent="0.25">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c r="BE405" s="19"/>
      <c r="BF405" s="19"/>
      <c r="BG405" s="19"/>
      <c r="BH405" s="19"/>
      <c r="BI405" s="19"/>
      <c r="BJ405" s="19"/>
      <c r="BK405" s="19"/>
      <c r="BL405" s="19"/>
      <c r="BM405" s="19"/>
      <c r="BN405" s="19"/>
      <c r="BO405" s="19"/>
      <c r="BP405" s="19"/>
      <c r="BQ405" s="19"/>
      <c r="BR405" s="19"/>
      <c r="BS405" s="19"/>
      <c r="BT405" s="19"/>
      <c r="BU405" s="19"/>
      <c r="BV405" s="19"/>
      <c r="BW405" s="19"/>
      <c r="BX405" s="19"/>
      <c r="BY405" s="19"/>
      <c r="BZ405" s="19"/>
      <c r="CA405" s="19"/>
      <c r="CB405" s="19"/>
      <c r="CC405" s="19"/>
      <c r="CD405" s="19"/>
      <c r="CE405" s="19"/>
      <c r="CF405" s="19"/>
      <c r="CG405" s="19"/>
      <c r="CH405" s="19"/>
      <c r="CI405" s="19"/>
      <c r="CJ405" s="19"/>
      <c r="CK405" s="19"/>
      <c r="CL405" s="19"/>
      <c r="CM405" s="19"/>
      <c r="CN405" s="19"/>
      <c r="CO405" s="19"/>
      <c r="CP405" s="19"/>
      <c r="CQ405" s="19"/>
      <c r="CR405" s="19"/>
      <c r="CS405" s="19"/>
      <c r="CT405" s="19"/>
      <c r="CU405" s="19"/>
      <c r="CV405" s="19"/>
      <c r="CW405" s="19"/>
      <c r="CX405" s="19"/>
      <c r="CY405" s="19"/>
      <c r="CZ405" s="19"/>
      <c r="DA405" s="19"/>
      <c r="DB405" s="19"/>
      <c r="DC405" s="19"/>
      <c r="DD405" s="19"/>
      <c r="DE405" s="19"/>
      <c r="DF405" s="19"/>
      <c r="DG405" s="19"/>
      <c r="DH405" s="19"/>
      <c r="DI405" s="19"/>
      <c r="DJ405" s="19"/>
      <c r="DK405" s="19"/>
      <c r="DL405" s="19"/>
      <c r="DM405" s="19"/>
      <c r="DN405" s="19"/>
      <c r="DO405" s="19"/>
      <c r="DP405" s="19"/>
      <c r="DQ405" s="19"/>
      <c r="DR405" s="19"/>
      <c r="DS405" s="19"/>
      <c r="DT405" s="19"/>
      <c r="DU405" s="19"/>
      <c r="DV405" s="19"/>
      <c r="DW405" s="19"/>
      <c r="DX405" s="19"/>
      <c r="DY405" s="19"/>
      <c r="DZ405" s="19"/>
      <c r="EA405" s="19"/>
      <c r="EB405" s="19"/>
      <c r="EC405" s="19"/>
      <c r="ED405" s="19"/>
      <c r="EE405" s="19"/>
      <c r="EF405" s="19"/>
      <c r="EG405" s="19"/>
      <c r="EH405" s="19"/>
      <c r="EI405" s="19"/>
      <c r="EJ405" s="19"/>
      <c r="EK405" s="19"/>
      <c r="EL405" s="19"/>
      <c r="EM405" s="19"/>
      <c r="EN405" s="19"/>
      <c r="EO405" s="19"/>
      <c r="EP405" s="19"/>
      <c r="EQ405" s="19"/>
      <c r="ER405" s="19"/>
      <c r="ES405" s="19"/>
      <c r="ET405" s="19"/>
      <c r="EU405" s="19"/>
      <c r="EV405" s="19"/>
      <c r="EW405" s="19"/>
      <c r="EX405" s="19"/>
      <c r="EY405" s="19"/>
      <c r="EZ405" s="19"/>
      <c r="FA405" s="19"/>
      <c r="FB405" s="19"/>
      <c r="FC405" s="19"/>
      <c r="FD405" s="19"/>
      <c r="FE405" s="19"/>
      <c r="FF405" s="19"/>
      <c r="FG405" s="19"/>
      <c r="FH405" s="19"/>
      <c r="FI405" s="19"/>
    </row>
    <row r="406" spans="1:165" x14ac:dyDescent="0.25">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c r="BE406" s="19"/>
      <c r="BF406" s="19"/>
      <c r="BG406" s="19"/>
      <c r="BH406" s="19"/>
      <c r="BI406" s="19"/>
      <c r="BJ406" s="19"/>
      <c r="BK406" s="19"/>
      <c r="BL406" s="19"/>
      <c r="BM406" s="19"/>
      <c r="BN406" s="19"/>
      <c r="BO406" s="19"/>
      <c r="BP406" s="19"/>
      <c r="BQ406" s="19"/>
      <c r="BR406" s="19"/>
      <c r="BS406" s="19"/>
      <c r="BT406" s="19"/>
      <c r="BU406" s="19"/>
      <c r="BV406" s="19"/>
      <c r="BW406" s="19"/>
      <c r="BX406" s="19"/>
      <c r="BY406" s="19"/>
      <c r="BZ406" s="19"/>
      <c r="CA406" s="19"/>
      <c r="CB406" s="19"/>
      <c r="CC406" s="19"/>
      <c r="CD406" s="19"/>
      <c r="CE406" s="19"/>
      <c r="CF406" s="19"/>
      <c r="CG406" s="19"/>
      <c r="CH406" s="19"/>
      <c r="CI406" s="19"/>
      <c r="CJ406" s="19"/>
      <c r="CK406" s="19"/>
      <c r="CL406" s="19"/>
      <c r="CM406" s="19"/>
      <c r="CN406" s="19"/>
      <c r="CO406" s="19"/>
      <c r="CP406" s="19"/>
      <c r="CQ406" s="19"/>
      <c r="CR406" s="19"/>
      <c r="CS406" s="19"/>
      <c r="CT406" s="19"/>
      <c r="CU406" s="19"/>
      <c r="CV406" s="19"/>
      <c r="CW406" s="19"/>
      <c r="CX406" s="19"/>
      <c r="CY406" s="19"/>
      <c r="CZ406" s="19"/>
      <c r="DA406" s="19"/>
      <c r="DB406" s="19"/>
      <c r="DC406" s="19"/>
      <c r="DD406" s="19"/>
      <c r="DE406" s="19"/>
      <c r="DF406" s="19"/>
      <c r="DG406" s="19"/>
      <c r="DH406" s="19"/>
      <c r="DI406" s="19"/>
      <c r="DJ406" s="19"/>
      <c r="DK406" s="19"/>
      <c r="DL406" s="19"/>
      <c r="DM406" s="19"/>
      <c r="DN406" s="19"/>
      <c r="DO406" s="19"/>
      <c r="DP406" s="19"/>
      <c r="DQ406" s="19"/>
      <c r="DR406" s="19"/>
      <c r="DS406" s="19"/>
      <c r="DT406" s="19"/>
      <c r="DU406" s="19"/>
      <c r="DV406" s="19"/>
      <c r="DW406" s="19"/>
      <c r="DX406" s="19"/>
      <c r="DY406" s="19"/>
      <c r="DZ406" s="19"/>
      <c r="EA406" s="19"/>
      <c r="EB406" s="19"/>
      <c r="EC406" s="19"/>
      <c r="ED406" s="19"/>
      <c r="EE406" s="19"/>
      <c r="EF406" s="19"/>
      <c r="EG406" s="19"/>
      <c r="EH406" s="19"/>
      <c r="EI406" s="19"/>
      <c r="EJ406" s="19"/>
      <c r="EK406" s="19"/>
      <c r="EL406" s="19"/>
      <c r="EM406" s="19"/>
      <c r="EN406" s="19"/>
      <c r="EO406" s="19"/>
      <c r="EP406" s="19"/>
      <c r="EQ406" s="19"/>
      <c r="ER406" s="19"/>
      <c r="ES406" s="19"/>
      <c r="ET406" s="19"/>
      <c r="EU406" s="19"/>
      <c r="EV406" s="19"/>
      <c r="EW406" s="19"/>
      <c r="EX406" s="19"/>
      <c r="EY406" s="19"/>
      <c r="EZ406" s="19"/>
      <c r="FA406" s="19"/>
      <c r="FB406" s="19"/>
      <c r="FC406" s="19"/>
      <c r="FD406" s="19"/>
      <c r="FE406" s="19"/>
      <c r="FF406" s="19"/>
      <c r="FG406" s="19"/>
      <c r="FH406" s="19"/>
      <c r="FI406" s="19"/>
    </row>
    <row r="407" spans="1:165" x14ac:dyDescent="0.25">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c r="BE407" s="19"/>
      <c r="BF407" s="19"/>
      <c r="BG407" s="19"/>
      <c r="BH407" s="19"/>
      <c r="BI407" s="19"/>
      <c r="BJ407" s="19"/>
      <c r="BK407" s="19"/>
      <c r="BL407" s="19"/>
      <c r="BM407" s="19"/>
      <c r="BN407" s="19"/>
      <c r="BO407" s="19"/>
      <c r="BP407" s="19"/>
      <c r="BQ407" s="19"/>
      <c r="BR407" s="19"/>
      <c r="BS407" s="19"/>
      <c r="BT407" s="19"/>
      <c r="BU407" s="19"/>
      <c r="BV407" s="19"/>
      <c r="BW407" s="19"/>
      <c r="BX407" s="19"/>
      <c r="BY407" s="19"/>
      <c r="BZ407" s="19"/>
      <c r="CA407" s="19"/>
      <c r="CB407" s="19"/>
      <c r="CC407" s="19"/>
      <c r="CD407" s="19"/>
      <c r="CE407" s="19"/>
      <c r="CF407" s="19"/>
      <c r="CG407" s="19"/>
      <c r="CH407" s="19"/>
      <c r="CI407" s="19"/>
      <c r="CJ407" s="19"/>
      <c r="CK407" s="19"/>
      <c r="CL407" s="19"/>
      <c r="CM407" s="19"/>
      <c r="CN407" s="19"/>
      <c r="CO407" s="19"/>
      <c r="CP407" s="19"/>
      <c r="CQ407" s="19"/>
      <c r="CR407" s="19"/>
      <c r="CS407" s="19"/>
      <c r="CT407" s="19"/>
      <c r="CU407" s="19"/>
      <c r="CV407" s="19"/>
      <c r="CW407" s="19"/>
      <c r="CX407" s="19"/>
      <c r="CY407" s="19"/>
      <c r="CZ407" s="19"/>
      <c r="DA407" s="19"/>
      <c r="DB407" s="19"/>
      <c r="DC407" s="19"/>
      <c r="DD407" s="19"/>
      <c r="DE407" s="19"/>
      <c r="DF407" s="19"/>
      <c r="DG407" s="19"/>
      <c r="DH407" s="19"/>
      <c r="DI407" s="19"/>
      <c r="DJ407" s="19"/>
      <c r="DK407" s="19"/>
      <c r="DL407" s="19"/>
      <c r="DM407" s="19"/>
      <c r="DN407" s="19"/>
      <c r="DO407" s="19"/>
      <c r="DP407" s="19"/>
      <c r="DQ407" s="19"/>
      <c r="DR407" s="19"/>
      <c r="DS407" s="19"/>
      <c r="DT407" s="19"/>
      <c r="DU407" s="19"/>
      <c r="DV407" s="19"/>
      <c r="DW407" s="19"/>
      <c r="DX407" s="19"/>
      <c r="DY407" s="19"/>
      <c r="DZ407" s="19"/>
      <c r="EA407" s="19"/>
      <c r="EB407" s="19"/>
      <c r="EC407" s="19"/>
      <c r="ED407" s="19"/>
      <c r="EE407" s="19"/>
      <c r="EF407" s="19"/>
      <c r="EG407" s="19"/>
      <c r="EH407" s="19"/>
      <c r="EI407" s="19"/>
      <c r="EJ407" s="19"/>
      <c r="EK407" s="19"/>
      <c r="EL407" s="19"/>
      <c r="EM407" s="19"/>
      <c r="EN407" s="19"/>
      <c r="EO407" s="19"/>
      <c r="EP407" s="19"/>
      <c r="EQ407" s="19"/>
      <c r="ER407" s="19"/>
      <c r="ES407" s="19"/>
      <c r="ET407" s="19"/>
      <c r="EU407" s="19"/>
      <c r="EV407" s="19"/>
      <c r="EW407" s="19"/>
      <c r="EX407" s="19"/>
      <c r="EY407" s="19"/>
      <c r="EZ407" s="19"/>
      <c r="FA407" s="19"/>
      <c r="FB407" s="19"/>
      <c r="FC407" s="19"/>
      <c r="FD407" s="19"/>
      <c r="FE407" s="19"/>
      <c r="FF407" s="19"/>
      <c r="FG407" s="19"/>
      <c r="FH407" s="19"/>
      <c r="FI407" s="19"/>
    </row>
    <row r="408" spans="1:165" x14ac:dyDescent="0.25">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c r="BE408" s="19"/>
      <c r="BF408" s="19"/>
      <c r="BG408" s="19"/>
      <c r="BH408" s="19"/>
      <c r="BI408" s="19"/>
      <c r="BJ408" s="19"/>
      <c r="BK408" s="19"/>
      <c r="BL408" s="19"/>
      <c r="BM408" s="19"/>
      <c r="BN408" s="19"/>
      <c r="BO408" s="19"/>
      <c r="BP408" s="19"/>
      <c r="BQ408" s="19"/>
      <c r="BR408" s="19"/>
      <c r="BS408" s="19"/>
      <c r="BT408" s="19"/>
      <c r="BU408" s="19"/>
      <c r="BV408" s="19"/>
      <c r="BW408" s="19"/>
      <c r="BX408" s="19"/>
      <c r="BY408" s="19"/>
      <c r="BZ408" s="19"/>
      <c r="CA408" s="19"/>
      <c r="CB408" s="19"/>
      <c r="CC408" s="19"/>
      <c r="CD408" s="19"/>
      <c r="CE408" s="19"/>
      <c r="CF408" s="19"/>
      <c r="CG408" s="19"/>
      <c r="CH408" s="19"/>
      <c r="CI408" s="19"/>
      <c r="CJ408" s="19"/>
      <c r="CK408" s="19"/>
      <c r="CL408" s="19"/>
      <c r="CM408" s="19"/>
      <c r="CN408" s="19"/>
      <c r="CO408" s="19"/>
      <c r="CP408" s="19"/>
      <c r="CQ408" s="19"/>
      <c r="CR408" s="19"/>
      <c r="CS408" s="19"/>
      <c r="CT408" s="19"/>
      <c r="CU408" s="19"/>
      <c r="CV408" s="19"/>
      <c r="CW408" s="19"/>
      <c r="CX408" s="19"/>
      <c r="CY408" s="19"/>
      <c r="CZ408" s="19"/>
      <c r="DA408" s="19"/>
      <c r="DB408" s="19"/>
      <c r="DC408" s="19"/>
      <c r="DD408" s="19"/>
      <c r="DE408" s="19"/>
      <c r="DF408" s="19"/>
      <c r="DG408" s="19"/>
      <c r="DH408" s="19"/>
      <c r="DI408" s="19"/>
      <c r="DJ408" s="19"/>
      <c r="DK408" s="19"/>
      <c r="DL408" s="19"/>
      <c r="DM408" s="19"/>
      <c r="DN408" s="19"/>
      <c r="DO408" s="19"/>
      <c r="DP408" s="19"/>
      <c r="DQ408" s="19"/>
      <c r="DR408" s="19"/>
      <c r="DS408" s="19"/>
      <c r="DT408" s="19"/>
      <c r="DU408" s="19"/>
      <c r="DV408" s="19"/>
      <c r="DW408" s="19"/>
      <c r="DX408" s="19"/>
      <c r="DY408" s="19"/>
      <c r="DZ408" s="19"/>
      <c r="EA408" s="19"/>
      <c r="EB408" s="19"/>
      <c r="EC408" s="19"/>
      <c r="ED408" s="19"/>
      <c r="EE408" s="19"/>
      <c r="EF408" s="19"/>
      <c r="EG408" s="19"/>
      <c r="EH408" s="19"/>
      <c r="EI408" s="19"/>
      <c r="EJ408" s="19"/>
      <c r="EK408" s="19"/>
      <c r="EL408" s="19"/>
      <c r="EM408" s="19"/>
      <c r="EN408" s="19"/>
      <c r="EO408" s="19"/>
      <c r="EP408" s="19"/>
      <c r="EQ408" s="19"/>
      <c r="ER408" s="19"/>
      <c r="ES408" s="19"/>
      <c r="ET408" s="19"/>
      <c r="EU408" s="19"/>
      <c r="EV408" s="19"/>
      <c r="EW408" s="19"/>
      <c r="EX408" s="19"/>
      <c r="EY408" s="19"/>
      <c r="EZ408" s="19"/>
      <c r="FA408" s="19"/>
      <c r="FB408" s="19"/>
      <c r="FC408" s="19"/>
      <c r="FD408" s="19"/>
      <c r="FE408" s="19"/>
      <c r="FF408" s="19"/>
      <c r="FG408" s="19"/>
      <c r="FH408" s="19"/>
      <c r="FI408" s="19"/>
    </row>
    <row r="409" spans="1:165" x14ac:dyDescent="0.25">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c r="BE409" s="19"/>
      <c r="BF409" s="19"/>
      <c r="BG409" s="19"/>
      <c r="BH409" s="19"/>
      <c r="BI409" s="19"/>
      <c r="BJ409" s="19"/>
      <c r="BK409" s="19"/>
      <c r="BL409" s="19"/>
      <c r="BM409" s="19"/>
      <c r="BN409" s="19"/>
      <c r="BO409" s="19"/>
      <c r="BP409" s="19"/>
      <c r="BQ409" s="19"/>
      <c r="BR409" s="19"/>
      <c r="BS409" s="19"/>
      <c r="BT409" s="19"/>
      <c r="BU409" s="19"/>
      <c r="BV409" s="19"/>
      <c r="BW409" s="19"/>
      <c r="BX409" s="19"/>
      <c r="BY409" s="19"/>
      <c r="BZ409" s="19"/>
      <c r="CA409" s="19"/>
      <c r="CB409" s="19"/>
      <c r="CC409" s="19"/>
      <c r="CD409" s="19"/>
      <c r="CE409" s="19"/>
      <c r="CF409" s="19"/>
      <c r="CG409" s="19"/>
      <c r="CH409" s="19"/>
      <c r="CI409" s="19"/>
      <c r="CJ409" s="19"/>
      <c r="CK409" s="19"/>
      <c r="CL409" s="19"/>
      <c r="CM409" s="19"/>
      <c r="CN409" s="19"/>
      <c r="CO409" s="19"/>
      <c r="CP409" s="19"/>
      <c r="CQ409" s="19"/>
      <c r="CR409" s="19"/>
      <c r="CS409" s="19"/>
      <c r="CT409" s="19"/>
      <c r="CU409" s="19"/>
      <c r="CV409" s="19"/>
      <c r="CW409" s="19"/>
      <c r="CX409" s="19"/>
      <c r="CY409" s="19"/>
      <c r="CZ409" s="19"/>
      <c r="DA409" s="19"/>
      <c r="DB409" s="19"/>
      <c r="DC409" s="19"/>
      <c r="DD409" s="19"/>
      <c r="DE409" s="19"/>
      <c r="DF409" s="19"/>
      <c r="DG409" s="19"/>
      <c r="DH409" s="19"/>
      <c r="DI409" s="19"/>
      <c r="DJ409" s="19"/>
      <c r="DK409" s="19"/>
      <c r="DL409" s="19"/>
      <c r="DM409" s="19"/>
      <c r="DN409" s="19"/>
      <c r="DO409" s="19"/>
      <c r="DP409" s="19"/>
      <c r="DQ409" s="19"/>
      <c r="DR409" s="19"/>
      <c r="DS409" s="19"/>
      <c r="DT409" s="19"/>
      <c r="DU409" s="19"/>
      <c r="DV409" s="19"/>
      <c r="DW409" s="19"/>
      <c r="DX409" s="19"/>
      <c r="DY409" s="19"/>
      <c r="DZ409" s="19"/>
      <c r="EA409" s="19"/>
      <c r="EB409" s="19"/>
      <c r="EC409" s="19"/>
      <c r="ED409" s="19"/>
      <c r="EE409" s="19"/>
      <c r="EF409" s="19"/>
      <c r="EG409" s="19"/>
      <c r="EH409" s="19"/>
      <c r="EI409" s="19"/>
      <c r="EJ409" s="19"/>
      <c r="EK409" s="19"/>
      <c r="EL409" s="19"/>
      <c r="EM409" s="19"/>
      <c r="EN409" s="19"/>
      <c r="EO409" s="19"/>
      <c r="EP409" s="19"/>
      <c r="EQ409" s="19"/>
      <c r="ER409" s="19"/>
      <c r="ES409" s="19"/>
      <c r="ET409" s="19"/>
      <c r="EU409" s="19"/>
      <c r="EV409" s="19"/>
      <c r="EW409" s="19"/>
      <c r="EX409" s="19"/>
      <c r="EY409" s="19"/>
      <c r="EZ409" s="19"/>
      <c r="FA409" s="19"/>
      <c r="FB409" s="19"/>
      <c r="FC409" s="19"/>
      <c r="FD409" s="19"/>
      <c r="FE409" s="19"/>
      <c r="FF409" s="19"/>
      <c r="FG409" s="19"/>
      <c r="FH409" s="19"/>
      <c r="FI409" s="19"/>
    </row>
    <row r="410" spans="1:165" x14ac:dyDescent="0.25">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c r="BE410" s="19"/>
      <c r="BF410" s="19"/>
      <c r="BG410" s="19"/>
      <c r="BH410" s="19"/>
      <c r="BI410" s="19"/>
      <c r="BJ410" s="19"/>
      <c r="BK410" s="19"/>
      <c r="BL410" s="19"/>
      <c r="BM410" s="19"/>
      <c r="BN410" s="19"/>
      <c r="BO410" s="19"/>
      <c r="BP410" s="19"/>
      <c r="BQ410" s="19"/>
      <c r="BR410" s="19"/>
      <c r="BS410" s="19"/>
      <c r="BT410" s="19"/>
      <c r="BU410" s="19"/>
      <c r="BV410" s="19"/>
      <c r="BW410" s="19"/>
      <c r="BX410" s="19"/>
      <c r="BY410" s="19"/>
      <c r="BZ410" s="19"/>
      <c r="CA410" s="19"/>
      <c r="CB410" s="19"/>
      <c r="CC410" s="19"/>
      <c r="CD410" s="19"/>
      <c r="CE410" s="19"/>
      <c r="CF410" s="19"/>
      <c r="CG410" s="19"/>
      <c r="CH410" s="19"/>
      <c r="CI410" s="19"/>
      <c r="CJ410" s="19"/>
      <c r="CK410" s="19"/>
      <c r="CL410" s="19"/>
      <c r="CM410" s="19"/>
      <c r="CN410" s="19"/>
      <c r="CO410" s="19"/>
      <c r="CP410" s="19"/>
      <c r="CQ410" s="19"/>
      <c r="CR410" s="19"/>
      <c r="CS410" s="19"/>
      <c r="CT410" s="19"/>
      <c r="CU410" s="19"/>
      <c r="CV410" s="19"/>
      <c r="CW410" s="19"/>
      <c r="CX410" s="19"/>
      <c r="CY410" s="19"/>
      <c r="CZ410" s="19"/>
      <c r="DA410" s="19"/>
      <c r="DB410" s="19"/>
      <c r="DC410" s="19"/>
      <c r="DD410" s="19"/>
      <c r="DE410" s="19"/>
      <c r="DF410" s="19"/>
      <c r="DG410" s="19"/>
      <c r="DH410" s="19"/>
      <c r="DI410" s="19"/>
      <c r="DJ410" s="19"/>
      <c r="DK410" s="19"/>
      <c r="DL410" s="19"/>
      <c r="DM410" s="19"/>
      <c r="DN410" s="19"/>
      <c r="DO410" s="19"/>
      <c r="DP410" s="19"/>
      <c r="DQ410" s="19"/>
      <c r="DR410" s="19"/>
      <c r="DS410" s="19"/>
      <c r="DT410" s="19"/>
      <c r="DU410" s="19"/>
      <c r="DV410" s="19"/>
      <c r="DW410" s="19"/>
      <c r="DX410" s="19"/>
      <c r="DY410" s="19"/>
      <c r="DZ410" s="19"/>
      <c r="EA410" s="19"/>
      <c r="EB410" s="19"/>
      <c r="EC410" s="19"/>
      <c r="ED410" s="19"/>
      <c r="EE410" s="19"/>
      <c r="EF410" s="19"/>
      <c r="EG410" s="19"/>
      <c r="EH410" s="19"/>
      <c r="EI410" s="19"/>
      <c r="EJ410" s="19"/>
      <c r="EK410" s="19"/>
      <c r="EL410" s="19"/>
      <c r="EM410" s="19"/>
      <c r="EN410" s="19"/>
      <c r="EO410" s="19"/>
      <c r="EP410" s="19"/>
      <c r="EQ410" s="19"/>
      <c r="ER410" s="19"/>
      <c r="ES410" s="19"/>
      <c r="ET410" s="19"/>
      <c r="EU410" s="19"/>
      <c r="EV410" s="19"/>
      <c r="EW410" s="19"/>
      <c r="EX410" s="19"/>
      <c r="EY410" s="19"/>
      <c r="EZ410" s="19"/>
      <c r="FA410" s="19"/>
      <c r="FB410" s="19"/>
      <c r="FC410" s="19"/>
      <c r="FD410" s="19"/>
      <c r="FE410" s="19"/>
      <c r="FF410" s="19"/>
      <c r="FG410" s="19"/>
      <c r="FH410" s="19"/>
      <c r="FI410" s="19"/>
    </row>
    <row r="411" spans="1:165" x14ac:dyDescent="0.25">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c r="BE411" s="19"/>
      <c r="BF411" s="19"/>
      <c r="BG411" s="19"/>
      <c r="BH411" s="19"/>
      <c r="BI411" s="19"/>
      <c r="BJ411" s="19"/>
      <c r="BK411" s="19"/>
      <c r="BL411" s="19"/>
      <c r="BM411" s="19"/>
      <c r="BN411" s="19"/>
      <c r="BO411" s="19"/>
      <c r="BP411" s="19"/>
      <c r="BQ411" s="19"/>
      <c r="BR411" s="19"/>
      <c r="BS411" s="19"/>
      <c r="BT411" s="19"/>
      <c r="BU411" s="19"/>
      <c r="BV411" s="19"/>
      <c r="BW411" s="19"/>
      <c r="BX411" s="19"/>
      <c r="BY411" s="19"/>
      <c r="BZ411" s="19"/>
      <c r="CA411" s="19"/>
      <c r="CB411" s="19"/>
      <c r="CC411" s="19"/>
      <c r="CD411" s="19"/>
      <c r="CE411" s="19"/>
      <c r="CF411" s="19"/>
      <c r="CG411" s="19"/>
      <c r="CH411" s="19"/>
      <c r="CI411" s="19"/>
      <c r="CJ411" s="19"/>
      <c r="CK411" s="19"/>
      <c r="CL411" s="19"/>
      <c r="CM411" s="19"/>
      <c r="CN411" s="19"/>
      <c r="CO411" s="19"/>
      <c r="CP411" s="19"/>
      <c r="CQ411" s="19"/>
      <c r="CR411" s="19"/>
      <c r="CS411" s="19"/>
      <c r="CT411" s="19"/>
      <c r="CU411" s="19"/>
      <c r="CV411" s="19"/>
      <c r="CW411" s="19"/>
      <c r="CX411" s="19"/>
      <c r="CY411" s="19"/>
      <c r="CZ411" s="19"/>
      <c r="DA411" s="19"/>
      <c r="DB411" s="19"/>
      <c r="DC411" s="19"/>
      <c r="DD411" s="19"/>
      <c r="DE411" s="19"/>
      <c r="DF411" s="19"/>
      <c r="DG411" s="19"/>
      <c r="DH411" s="19"/>
      <c r="DI411" s="19"/>
      <c r="DJ411" s="19"/>
      <c r="DK411" s="19"/>
      <c r="DL411" s="19"/>
      <c r="DM411" s="19"/>
      <c r="DN411" s="19"/>
      <c r="DO411" s="19"/>
      <c r="DP411" s="19"/>
      <c r="DQ411" s="19"/>
      <c r="DR411" s="19"/>
      <c r="DS411" s="19"/>
      <c r="DT411" s="19"/>
      <c r="DU411" s="19"/>
      <c r="DV411" s="19"/>
      <c r="DW411" s="19"/>
      <c r="DX411" s="19"/>
      <c r="DY411" s="19"/>
      <c r="DZ411" s="19"/>
      <c r="EA411" s="19"/>
      <c r="EB411" s="19"/>
      <c r="EC411" s="19"/>
      <c r="ED411" s="19"/>
      <c r="EE411" s="19"/>
      <c r="EF411" s="19"/>
      <c r="EG411" s="19"/>
      <c r="EH411" s="19"/>
      <c r="EI411" s="19"/>
      <c r="EJ411" s="19"/>
      <c r="EK411" s="19"/>
      <c r="EL411" s="19"/>
      <c r="EM411" s="19"/>
      <c r="EN411" s="19"/>
      <c r="EO411" s="19"/>
      <c r="EP411" s="19"/>
      <c r="EQ411" s="19"/>
      <c r="ER411" s="19"/>
      <c r="ES411" s="19"/>
      <c r="ET411" s="19"/>
      <c r="EU411" s="19"/>
      <c r="EV411" s="19"/>
      <c r="EW411" s="19"/>
      <c r="EX411" s="19"/>
      <c r="EY411" s="19"/>
      <c r="EZ411" s="19"/>
      <c r="FA411" s="19"/>
      <c r="FB411" s="19"/>
      <c r="FC411" s="19"/>
      <c r="FD411" s="19"/>
      <c r="FE411" s="19"/>
      <c r="FF411" s="19"/>
      <c r="FG411" s="19"/>
      <c r="FH411" s="19"/>
      <c r="FI411" s="19"/>
    </row>
    <row r="412" spans="1:165" x14ac:dyDescent="0.25">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c r="BE412" s="19"/>
      <c r="BF412" s="19"/>
      <c r="BG412" s="19"/>
      <c r="BH412" s="19"/>
      <c r="BI412" s="19"/>
      <c r="BJ412" s="19"/>
      <c r="BK412" s="19"/>
      <c r="BL412" s="19"/>
      <c r="BM412" s="19"/>
      <c r="BN412" s="19"/>
      <c r="BO412" s="19"/>
      <c r="BP412" s="19"/>
      <c r="BQ412" s="19"/>
      <c r="BR412" s="19"/>
      <c r="BS412" s="19"/>
      <c r="BT412" s="19"/>
      <c r="BU412" s="19"/>
      <c r="BV412" s="19"/>
      <c r="BW412" s="19"/>
      <c r="BX412" s="19"/>
      <c r="BY412" s="19"/>
      <c r="BZ412" s="19"/>
      <c r="CA412" s="19"/>
      <c r="CB412" s="19"/>
      <c r="CC412" s="19"/>
      <c r="CD412" s="19"/>
      <c r="CE412" s="19"/>
      <c r="CF412" s="19"/>
      <c r="CG412" s="19"/>
      <c r="CH412" s="19"/>
      <c r="CI412" s="19"/>
      <c r="CJ412" s="19"/>
      <c r="CK412" s="19"/>
      <c r="CL412" s="19"/>
      <c r="CM412" s="19"/>
      <c r="CN412" s="19"/>
      <c r="CO412" s="19"/>
      <c r="CP412" s="19"/>
      <c r="CQ412" s="19"/>
      <c r="CR412" s="19"/>
      <c r="CS412" s="19"/>
      <c r="CT412" s="19"/>
      <c r="CU412" s="19"/>
      <c r="CV412" s="19"/>
      <c r="CW412" s="19"/>
      <c r="CX412" s="19"/>
      <c r="CY412" s="19"/>
      <c r="CZ412" s="19"/>
      <c r="DA412" s="19"/>
      <c r="DB412" s="19"/>
      <c r="DC412" s="19"/>
      <c r="DD412" s="19"/>
      <c r="DE412" s="19"/>
      <c r="DF412" s="19"/>
      <c r="DG412" s="19"/>
      <c r="DH412" s="19"/>
      <c r="DI412" s="19"/>
      <c r="DJ412" s="19"/>
      <c r="DK412" s="19"/>
      <c r="DL412" s="19"/>
      <c r="DM412" s="19"/>
      <c r="DN412" s="19"/>
      <c r="DO412" s="19"/>
      <c r="DP412" s="19"/>
      <c r="DQ412" s="19"/>
      <c r="DR412" s="19"/>
      <c r="DS412" s="19"/>
      <c r="DT412" s="19"/>
      <c r="DU412" s="19"/>
      <c r="DV412" s="19"/>
      <c r="DW412" s="19"/>
      <c r="DX412" s="19"/>
      <c r="DY412" s="19"/>
      <c r="DZ412" s="19"/>
      <c r="EA412" s="19"/>
      <c r="EB412" s="19"/>
      <c r="EC412" s="19"/>
      <c r="ED412" s="19"/>
      <c r="EE412" s="19"/>
      <c r="EF412" s="19"/>
      <c r="EG412" s="19"/>
      <c r="EH412" s="19"/>
      <c r="EI412" s="19"/>
      <c r="EJ412" s="19"/>
      <c r="EK412" s="19"/>
      <c r="EL412" s="19"/>
      <c r="EM412" s="19"/>
      <c r="EN412" s="19"/>
      <c r="EO412" s="19"/>
      <c r="EP412" s="19"/>
      <c r="EQ412" s="19"/>
      <c r="ER412" s="19"/>
      <c r="ES412" s="19"/>
      <c r="ET412" s="19"/>
      <c r="EU412" s="19"/>
      <c r="EV412" s="19"/>
      <c r="EW412" s="19"/>
      <c r="EX412" s="19"/>
      <c r="EY412" s="19"/>
      <c r="EZ412" s="19"/>
      <c r="FA412" s="19"/>
      <c r="FB412" s="19"/>
      <c r="FC412" s="19"/>
      <c r="FD412" s="19"/>
      <c r="FE412" s="19"/>
      <c r="FF412" s="19"/>
      <c r="FG412" s="19"/>
      <c r="FH412" s="19"/>
      <c r="FI412" s="19"/>
    </row>
    <row r="413" spans="1:165" x14ac:dyDescent="0.25">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c r="BE413" s="19"/>
      <c r="BF413" s="19"/>
      <c r="BG413" s="19"/>
      <c r="BH413" s="19"/>
      <c r="BI413" s="19"/>
      <c r="BJ413" s="19"/>
      <c r="BK413" s="19"/>
      <c r="BL413" s="19"/>
      <c r="BM413" s="19"/>
      <c r="BN413" s="19"/>
      <c r="BO413" s="19"/>
      <c r="BP413" s="19"/>
      <c r="BQ413" s="19"/>
      <c r="BR413" s="19"/>
      <c r="BS413" s="19"/>
      <c r="BT413" s="19"/>
      <c r="BU413" s="19"/>
      <c r="BV413" s="19"/>
      <c r="BW413" s="19"/>
      <c r="BX413" s="19"/>
      <c r="BY413" s="19"/>
      <c r="BZ413" s="19"/>
      <c r="CA413" s="19"/>
      <c r="CB413" s="19"/>
      <c r="CC413" s="19"/>
      <c r="CD413" s="19"/>
      <c r="CE413" s="19"/>
      <c r="CF413" s="19"/>
      <c r="CG413" s="19"/>
      <c r="CH413" s="19"/>
      <c r="CI413" s="19"/>
      <c r="CJ413" s="19"/>
      <c r="CK413" s="19"/>
      <c r="CL413" s="19"/>
      <c r="CM413" s="19"/>
      <c r="CN413" s="19"/>
      <c r="CO413" s="19"/>
      <c r="CP413" s="19"/>
      <c r="CQ413" s="19"/>
      <c r="CR413" s="19"/>
      <c r="CS413" s="19"/>
      <c r="CT413" s="19"/>
      <c r="CU413" s="19"/>
      <c r="CV413" s="19"/>
      <c r="CW413" s="19"/>
      <c r="CX413" s="19"/>
      <c r="CY413" s="19"/>
      <c r="CZ413" s="19"/>
      <c r="DA413" s="19"/>
      <c r="DB413" s="19"/>
      <c r="DC413" s="19"/>
      <c r="DD413" s="19"/>
      <c r="DE413" s="19"/>
      <c r="DF413" s="19"/>
      <c r="DG413" s="19"/>
      <c r="DH413" s="19"/>
      <c r="DI413" s="19"/>
      <c r="DJ413" s="19"/>
      <c r="DK413" s="19"/>
      <c r="DL413" s="19"/>
      <c r="DM413" s="19"/>
      <c r="DN413" s="19"/>
      <c r="DO413" s="19"/>
      <c r="DP413" s="19"/>
      <c r="DQ413" s="19"/>
      <c r="DR413" s="19"/>
      <c r="DS413" s="19"/>
      <c r="DT413" s="19"/>
      <c r="DU413" s="19"/>
      <c r="DV413" s="19"/>
      <c r="DW413" s="19"/>
      <c r="DX413" s="19"/>
      <c r="DY413" s="19"/>
      <c r="DZ413" s="19"/>
      <c r="EA413" s="19"/>
      <c r="EB413" s="19"/>
      <c r="EC413" s="19"/>
      <c r="ED413" s="19"/>
      <c r="EE413" s="19"/>
      <c r="EF413" s="19"/>
      <c r="EG413" s="19"/>
      <c r="EH413" s="19"/>
      <c r="EI413" s="19"/>
      <c r="EJ413" s="19"/>
      <c r="EK413" s="19"/>
      <c r="EL413" s="19"/>
      <c r="EM413" s="19"/>
      <c r="EN413" s="19"/>
      <c r="EO413" s="19"/>
      <c r="EP413" s="19"/>
      <c r="EQ413" s="19"/>
      <c r="ER413" s="19"/>
      <c r="ES413" s="19"/>
      <c r="ET413" s="19"/>
      <c r="EU413" s="19"/>
      <c r="EV413" s="19"/>
      <c r="EW413" s="19"/>
      <c r="EX413" s="19"/>
      <c r="EY413" s="19"/>
      <c r="EZ413" s="19"/>
      <c r="FA413" s="19"/>
      <c r="FB413" s="19"/>
      <c r="FC413" s="19"/>
      <c r="FD413" s="19"/>
      <c r="FE413" s="19"/>
      <c r="FF413" s="19"/>
      <c r="FG413" s="19"/>
      <c r="FH413" s="19"/>
      <c r="FI413" s="19"/>
    </row>
    <row r="414" spans="1:165" x14ac:dyDescent="0.25">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c r="BE414" s="19"/>
      <c r="BF414" s="19"/>
      <c r="BG414" s="19"/>
      <c r="BH414" s="19"/>
      <c r="BI414" s="19"/>
      <c r="BJ414" s="19"/>
      <c r="BK414" s="19"/>
      <c r="BL414" s="19"/>
      <c r="BM414" s="19"/>
      <c r="BN414" s="19"/>
      <c r="BO414" s="19"/>
      <c r="BP414" s="19"/>
      <c r="BQ414" s="19"/>
      <c r="BR414" s="19"/>
      <c r="BS414" s="19"/>
      <c r="BT414" s="19"/>
      <c r="BU414" s="19"/>
      <c r="BV414" s="19"/>
      <c r="BW414" s="19"/>
      <c r="BX414" s="19"/>
      <c r="BY414" s="19"/>
      <c r="BZ414" s="19"/>
      <c r="CA414" s="19"/>
      <c r="CB414" s="19"/>
      <c r="CC414" s="19"/>
      <c r="CD414" s="19"/>
      <c r="CE414" s="19"/>
      <c r="CF414" s="19"/>
      <c r="CG414" s="19"/>
      <c r="CH414" s="19"/>
      <c r="CI414" s="19"/>
      <c r="CJ414" s="19"/>
      <c r="CK414" s="19"/>
      <c r="CL414" s="19"/>
      <c r="CM414" s="19"/>
      <c r="CN414" s="19"/>
      <c r="CO414" s="19"/>
      <c r="CP414" s="19"/>
      <c r="CQ414" s="19"/>
      <c r="CR414" s="19"/>
      <c r="CS414" s="19"/>
      <c r="CT414" s="19"/>
      <c r="CU414" s="19"/>
      <c r="CV414" s="19"/>
      <c r="CW414" s="19"/>
      <c r="CX414" s="19"/>
      <c r="CY414" s="19"/>
      <c r="CZ414" s="19"/>
      <c r="DA414" s="19"/>
      <c r="DB414" s="19"/>
      <c r="DC414" s="19"/>
      <c r="DD414" s="19"/>
      <c r="DE414" s="19"/>
      <c r="DF414" s="19"/>
      <c r="DG414" s="19"/>
      <c r="DH414" s="19"/>
      <c r="DI414" s="19"/>
      <c r="DJ414" s="19"/>
      <c r="DK414" s="19"/>
      <c r="DL414" s="19"/>
      <c r="DM414" s="19"/>
      <c r="DN414" s="19"/>
      <c r="DO414" s="19"/>
      <c r="DP414" s="19"/>
      <c r="DQ414" s="19"/>
      <c r="DR414" s="19"/>
      <c r="DS414" s="19"/>
      <c r="DT414" s="19"/>
      <c r="DU414" s="19"/>
      <c r="DV414" s="19"/>
      <c r="DW414" s="19"/>
      <c r="DX414" s="19"/>
      <c r="DY414" s="19"/>
      <c r="DZ414" s="19"/>
      <c r="EA414" s="19"/>
      <c r="EB414" s="19"/>
      <c r="EC414" s="19"/>
      <c r="ED414" s="19"/>
      <c r="EE414" s="19"/>
      <c r="EF414" s="19"/>
      <c r="EG414" s="19"/>
      <c r="EH414" s="19"/>
      <c r="EI414" s="19"/>
      <c r="EJ414" s="19"/>
      <c r="EK414" s="19"/>
      <c r="EL414" s="19"/>
      <c r="EM414" s="19"/>
      <c r="EN414" s="19"/>
      <c r="EO414" s="19"/>
      <c r="EP414" s="19"/>
      <c r="EQ414" s="19"/>
      <c r="ER414" s="19"/>
      <c r="ES414" s="19"/>
      <c r="ET414" s="19"/>
      <c r="EU414" s="19"/>
      <c r="EV414" s="19"/>
      <c r="EW414" s="19"/>
      <c r="EX414" s="19"/>
      <c r="EY414" s="19"/>
      <c r="EZ414" s="19"/>
      <c r="FA414" s="19"/>
      <c r="FB414" s="19"/>
      <c r="FC414" s="19"/>
      <c r="FD414" s="19"/>
      <c r="FE414" s="19"/>
      <c r="FF414" s="19"/>
      <c r="FG414" s="19"/>
      <c r="FH414" s="19"/>
      <c r="FI414" s="19"/>
    </row>
    <row r="415" spans="1:165" x14ac:dyDescent="0.25">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c r="BE415" s="19"/>
      <c r="BF415" s="19"/>
      <c r="BG415" s="19"/>
      <c r="BH415" s="19"/>
      <c r="BI415" s="19"/>
      <c r="BJ415" s="19"/>
      <c r="BK415" s="19"/>
      <c r="BL415" s="19"/>
      <c r="BM415" s="19"/>
      <c r="BN415" s="19"/>
      <c r="BO415" s="19"/>
      <c r="BP415" s="19"/>
      <c r="BQ415" s="19"/>
      <c r="BR415" s="19"/>
      <c r="BS415" s="19"/>
      <c r="BT415" s="19"/>
      <c r="BU415" s="19"/>
      <c r="BV415" s="19"/>
      <c r="BW415" s="19"/>
      <c r="BX415" s="19"/>
      <c r="BY415" s="19"/>
      <c r="BZ415" s="19"/>
      <c r="CA415" s="19"/>
      <c r="CB415" s="19"/>
      <c r="CC415" s="19"/>
      <c r="CD415" s="19"/>
      <c r="CE415" s="19"/>
      <c r="CF415" s="19"/>
      <c r="CG415" s="19"/>
      <c r="CH415" s="19"/>
      <c r="CI415" s="19"/>
      <c r="CJ415" s="19"/>
      <c r="CK415" s="19"/>
      <c r="CL415" s="19"/>
      <c r="CM415" s="19"/>
      <c r="CN415" s="19"/>
      <c r="CO415" s="19"/>
      <c r="CP415" s="19"/>
      <c r="CQ415" s="19"/>
      <c r="CR415" s="19"/>
      <c r="CS415" s="19"/>
      <c r="CT415" s="19"/>
      <c r="CU415" s="19"/>
      <c r="CV415" s="19"/>
      <c r="CW415" s="19"/>
      <c r="CX415" s="19"/>
      <c r="CY415" s="19"/>
      <c r="CZ415" s="19"/>
      <c r="DA415" s="19"/>
      <c r="DB415" s="19"/>
      <c r="DC415" s="19"/>
      <c r="DD415" s="19"/>
      <c r="DE415" s="19"/>
      <c r="DF415" s="19"/>
      <c r="DG415" s="19"/>
      <c r="DH415" s="19"/>
      <c r="DI415" s="19"/>
      <c r="DJ415" s="19"/>
      <c r="DK415" s="19"/>
      <c r="DL415" s="19"/>
      <c r="DM415" s="19"/>
      <c r="DN415" s="19"/>
      <c r="DO415" s="19"/>
      <c r="DP415" s="19"/>
      <c r="DQ415" s="19"/>
      <c r="DR415" s="19"/>
      <c r="DS415" s="19"/>
      <c r="DT415" s="19"/>
      <c r="DU415" s="19"/>
      <c r="DV415" s="19"/>
      <c r="DW415" s="19"/>
      <c r="DX415" s="19"/>
      <c r="DY415" s="19"/>
      <c r="DZ415" s="19"/>
      <c r="EA415" s="19"/>
      <c r="EB415" s="19"/>
      <c r="EC415" s="19"/>
      <c r="ED415" s="19"/>
      <c r="EE415" s="19"/>
      <c r="EF415" s="19"/>
      <c r="EG415" s="19"/>
      <c r="EH415" s="19"/>
      <c r="EI415" s="19"/>
      <c r="EJ415" s="19"/>
      <c r="EK415" s="19"/>
      <c r="EL415" s="19"/>
      <c r="EM415" s="19"/>
      <c r="EN415" s="19"/>
      <c r="EO415" s="19"/>
      <c r="EP415" s="19"/>
      <c r="EQ415" s="19"/>
      <c r="ER415" s="19"/>
      <c r="ES415" s="19"/>
      <c r="ET415" s="19"/>
      <c r="EU415" s="19"/>
      <c r="EV415" s="19"/>
      <c r="EW415" s="19"/>
      <c r="EX415" s="19"/>
      <c r="EY415" s="19"/>
      <c r="EZ415" s="19"/>
      <c r="FA415" s="19"/>
      <c r="FB415" s="19"/>
      <c r="FC415" s="19"/>
      <c r="FD415" s="19"/>
      <c r="FE415" s="19"/>
      <c r="FF415" s="19"/>
      <c r="FG415" s="19"/>
      <c r="FH415" s="19"/>
      <c r="FI415" s="19"/>
    </row>
    <row r="416" spans="1:165" x14ac:dyDescent="0.25">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c r="BE416" s="19"/>
      <c r="BF416" s="19"/>
      <c r="BG416" s="19"/>
      <c r="BH416" s="19"/>
      <c r="BI416" s="19"/>
      <c r="BJ416" s="19"/>
      <c r="BK416" s="19"/>
      <c r="BL416" s="19"/>
      <c r="BM416" s="19"/>
      <c r="BN416" s="19"/>
      <c r="BO416" s="19"/>
      <c r="BP416" s="19"/>
      <c r="BQ416" s="19"/>
      <c r="BR416" s="19"/>
      <c r="BS416" s="19"/>
      <c r="BT416" s="19"/>
      <c r="BU416" s="19"/>
      <c r="BV416" s="19"/>
      <c r="BW416" s="19"/>
      <c r="BX416" s="19"/>
      <c r="BY416" s="19"/>
      <c r="BZ416" s="19"/>
      <c r="CA416" s="19"/>
      <c r="CB416" s="19"/>
      <c r="CC416" s="19"/>
      <c r="CD416" s="19"/>
      <c r="CE416" s="19"/>
      <c r="CF416" s="19"/>
      <c r="CG416" s="19"/>
      <c r="CH416" s="19"/>
      <c r="CI416" s="19"/>
      <c r="CJ416" s="19"/>
      <c r="CK416" s="19"/>
      <c r="CL416" s="19"/>
      <c r="CM416" s="19"/>
      <c r="CN416" s="19"/>
      <c r="CO416" s="19"/>
      <c r="CP416" s="19"/>
      <c r="CQ416" s="19"/>
      <c r="CR416" s="19"/>
      <c r="CS416" s="19"/>
      <c r="CT416" s="19"/>
      <c r="CU416" s="19"/>
      <c r="CV416" s="19"/>
      <c r="CW416" s="19"/>
      <c r="CX416" s="19"/>
      <c r="CY416" s="19"/>
      <c r="CZ416" s="19"/>
      <c r="DA416" s="19"/>
      <c r="DB416" s="19"/>
      <c r="DC416" s="19"/>
      <c r="DD416" s="19"/>
      <c r="DE416" s="19"/>
      <c r="DF416" s="19"/>
      <c r="DG416" s="19"/>
      <c r="DH416" s="19"/>
      <c r="DI416" s="19"/>
      <c r="DJ416" s="19"/>
      <c r="DK416" s="19"/>
      <c r="DL416" s="19"/>
      <c r="DM416" s="19"/>
      <c r="DN416" s="19"/>
      <c r="DO416" s="19"/>
      <c r="DP416" s="19"/>
      <c r="DQ416" s="19"/>
      <c r="DR416" s="19"/>
      <c r="DS416" s="19"/>
      <c r="DT416" s="19"/>
      <c r="DU416" s="19"/>
      <c r="DV416" s="19"/>
      <c r="DW416" s="19"/>
      <c r="DX416" s="19"/>
      <c r="DY416" s="19"/>
      <c r="DZ416" s="19"/>
      <c r="EA416" s="19"/>
      <c r="EB416" s="19"/>
      <c r="EC416" s="19"/>
      <c r="ED416" s="19"/>
      <c r="EE416" s="19"/>
      <c r="EF416" s="19"/>
      <c r="EG416" s="19"/>
      <c r="EH416" s="19"/>
      <c r="EI416" s="19"/>
      <c r="EJ416" s="19"/>
      <c r="EK416" s="19"/>
      <c r="EL416" s="19"/>
      <c r="EM416" s="19"/>
      <c r="EN416" s="19"/>
      <c r="EO416" s="19"/>
      <c r="EP416" s="19"/>
      <c r="EQ416" s="19"/>
      <c r="ER416" s="19"/>
      <c r="ES416" s="19"/>
      <c r="ET416" s="19"/>
      <c r="EU416" s="19"/>
      <c r="EV416" s="19"/>
      <c r="EW416" s="19"/>
      <c r="EX416" s="19"/>
      <c r="EY416" s="19"/>
      <c r="EZ416" s="19"/>
      <c r="FA416" s="19"/>
      <c r="FB416" s="19"/>
      <c r="FC416" s="19"/>
      <c r="FD416" s="19"/>
      <c r="FE416" s="19"/>
      <c r="FF416" s="19"/>
      <c r="FG416" s="19"/>
      <c r="FH416" s="19"/>
      <c r="FI416" s="19"/>
    </row>
    <row r="417" spans="1:165" x14ac:dyDescent="0.25">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c r="BE417" s="19"/>
      <c r="BF417" s="19"/>
      <c r="BG417" s="19"/>
      <c r="BH417" s="19"/>
      <c r="BI417" s="19"/>
      <c r="BJ417" s="19"/>
      <c r="BK417" s="19"/>
      <c r="BL417" s="19"/>
      <c r="BM417" s="19"/>
      <c r="BN417" s="19"/>
      <c r="BO417" s="19"/>
      <c r="BP417" s="19"/>
      <c r="BQ417" s="19"/>
      <c r="BR417" s="19"/>
      <c r="BS417" s="19"/>
      <c r="BT417" s="19"/>
      <c r="BU417" s="19"/>
      <c r="BV417" s="19"/>
      <c r="BW417" s="19"/>
      <c r="BX417" s="19"/>
      <c r="BY417" s="19"/>
      <c r="BZ417" s="19"/>
      <c r="CA417" s="19"/>
      <c r="CB417" s="19"/>
      <c r="CC417" s="19"/>
      <c r="CD417" s="19"/>
      <c r="CE417" s="19"/>
      <c r="CF417" s="19"/>
      <c r="CG417" s="19"/>
      <c r="CH417" s="19"/>
      <c r="CI417" s="19"/>
      <c r="CJ417" s="19"/>
      <c r="CK417" s="19"/>
      <c r="CL417" s="19"/>
      <c r="CM417" s="19"/>
      <c r="CN417" s="19"/>
      <c r="CO417" s="19"/>
      <c r="CP417" s="19"/>
      <c r="CQ417" s="19"/>
      <c r="CR417" s="19"/>
      <c r="CS417" s="19"/>
      <c r="CT417" s="19"/>
      <c r="CU417" s="19"/>
      <c r="CV417" s="19"/>
      <c r="CW417" s="19"/>
      <c r="CX417" s="19"/>
      <c r="CY417" s="19"/>
      <c r="CZ417" s="19"/>
      <c r="DA417" s="19"/>
      <c r="DB417" s="19"/>
      <c r="DC417" s="19"/>
      <c r="DD417" s="19"/>
      <c r="DE417" s="19"/>
      <c r="DF417" s="19"/>
      <c r="DG417" s="19"/>
      <c r="DH417" s="19"/>
      <c r="DI417" s="19"/>
      <c r="DJ417" s="19"/>
      <c r="DK417" s="19"/>
      <c r="DL417" s="19"/>
      <c r="DM417" s="19"/>
      <c r="DN417" s="19"/>
      <c r="DO417" s="19"/>
      <c r="DP417" s="19"/>
      <c r="DQ417" s="19"/>
      <c r="DR417" s="19"/>
      <c r="DS417" s="19"/>
      <c r="DT417" s="19"/>
      <c r="DU417" s="19"/>
      <c r="DV417" s="19"/>
      <c r="DW417" s="19"/>
      <c r="DX417" s="19"/>
      <c r="DY417" s="19"/>
      <c r="DZ417" s="19"/>
      <c r="EA417" s="19"/>
      <c r="EB417" s="19"/>
      <c r="EC417" s="19"/>
      <c r="ED417" s="19"/>
      <c r="EE417" s="19"/>
      <c r="EF417" s="19"/>
      <c r="EG417" s="19"/>
      <c r="EH417" s="19"/>
      <c r="EI417" s="19"/>
      <c r="EJ417" s="19"/>
      <c r="EK417" s="19"/>
      <c r="EL417" s="19"/>
      <c r="EM417" s="19"/>
      <c r="EN417" s="19"/>
      <c r="EO417" s="19"/>
      <c r="EP417" s="19"/>
      <c r="EQ417" s="19"/>
      <c r="ER417" s="19"/>
      <c r="ES417" s="19"/>
      <c r="ET417" s="19"/>
      <c r="EU417" s="19"/>
      <c r="EV417" s="19"/>
      <c r="EW417" s="19"/>
      <c r="EX417" s="19"/>
      <c r="EY417" s="19"/>
      <c r="EZ417" s="19"/>
      <c r="FA417" s="19"/>
      <c r="FB417" s="19"/>
      <c r="FC417" s="19"/>
      <c r="FD417" s="19"/>
      <c r="FE417" s="19"/>
      <c r="FF417" s="19"/>
      <c r="FG417" s="19"/>
      <c r="FH417" s="19"/>
      <c r="FI417" s="19"/>
    </row>
    <row r="418" spans="1:165" x14ac:dyDescent="0.25">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c r="BE418" s="19"/>
      <c r="BF418" s="19"/>
      <c r="BG418" s="19"/>
      <c r="BH418" s="19"/>
      <c r="BI418" s="19"/>
      <c r="BJ418" s="19"/>
      <c r="BK418" s="19"/>
      <c r="BL418" s="19"/>
      <c r="BM418" s="19"/>
      <c r="BN418" s="19"/>
      <c r="BO418" s="19"/>
      <c r="BP418" s="19"/>
      <c r="BQ418" s="19"/>
      <c r="BR418" s="19"/>
      <c r="BS418" s="19"/>
      <c r="BT418" s="19"/>
      <c r="BU418" s="19"/>
      <c r="BV418" s="19"/>
      <c r="BW418" s="19"/>
      <c r="BX418" s="19"/>
      <c r="BY418" s="19"/>
      <c r="BZ418" s="19"/>
      <c r="CA418" s="19"/>
      <c r="CB418" s="19"/>
      <c r="CC418" s="19"/>
      <c r="CD418" s="19"/>
      <c r="CE418" s="19"/>
      <c r="CF418" s="19"/>
      <c r="CG418" s="19"/>
      <c r="CH418" s="19"/>
      <c r="CI418" s="19"/>
      <c r="CJ418" s="19"/>
      <c r="CK418" s="19"/>
      <c r="CL418" s="19"/>
      <c r="CM418" s="19"/>
      <c r="CN418" s="19"/>
      <c r="CO418" s="19"/>
      <c r="CP418" s="19"/>
      <c r="CQ418" s="19"/>
      <c r="CR418" s="19"/>
      <c r="CS418" s="19"/>
      <c r="CT418" s="19"/>
      <c r="CU418" s="19"/>
      <c r="CV418" s="19"/>
      <c r="CW418" s="19"/>
      <c r="CX418" s="19"/>
      <c r="CY418" s="19"/>
      <c r="CZ418" s="19"/>
      <c r="DA418" s="19"/>
      <c r="DB418" s="19"/>
      <c r="DC418" s="19"/>
      <c r="DD418" s="19"/>
      <c r="DE418" s="19"/>
      <c r="DF418" s="19"/>
      <c r="DG418" s="19"/>
      <c r="DH418" s="19"/>
      <c r="DI418" s="19"/>
      <c r="DJ418" s="19"/>
      <c r="DK418" s="19"/>
      <c r="DL418" s="19"/>
      <c r="DM418" s="19"/>
      <c r="DN418" s="19"/>
      <c r="DO418" s="19"/>
      <c r="DP418" s="19"/>
      <c r="DQ418" s="19"/>
      <c r="DR418" s="19"/>
      <c r="DS418" s="19"/>
      <c r="DT418" s="19"/>
      <c r="DU418" s="19"/>
      <c r="DV418" s="19"/>
      <c r="DW418" s="19"/>
      <c r="DX418" s="19"/>
      <c r="DY418" s="19"/>
      <c r="DZ418" s="19"/>
      <c r="EA418" s="19"/>
      <c r="EB418" s="19"/>
      <c r="EC418" s="19"/>
      <c r="ED418" s="19"/>
      <c r="EE418" s="19"/>
      <c r="EF418" s="19"/>
      <c r="EG418" s="19"/>
      <c r="EH418" s="19"/>
      <c r="EI418" s="19"/>
      <c r="EJ418" s="19"/>
      <c r="EK418" s="19"/>
      <c r="EL418" s="19"/>
      <c r="EM418" s="19"/>
      <c r="EN418" s="19"/>
      <c r="EO418" s="19"/>
      <c r="EP418" s="19"/>
      <c r="EQ418" s="19"/>
      <c r="ER418" s="19"/>
      <c r="ES418" s="19"/>
      <c r="ET418" s="19"/>
      <c r="EU418" s="19"/>
      <c r="EV418" s="19"/>
      <c r="EW418" s="19"/>
      <c r="EX418" s="19"/>
      <c r="EY418" s="19"/>
      <c r="EZ418" s="19"/>
      <c r="FA418" s="19"/>
      <c r="FB418" s="19"/>
      <c r="FC418" s="19"/>
      <c r="FD418" s="19"/>
      <c r="FE418" s="19"/>
      <c r="FF418" s="19"/>
      <c r="FG418" s="19"/>
      <c r="FH418" s="19"/>
      <c r="FI418" s="19"/>
    </row>
    <row r="419" spans="1:165" x14ac:dyDescent="0.25">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c r="BE419" s="19"/>
      <c r="BF419" s="19"/>
      <c r="BG419" s="19"/>
      <c r="BH419" s="19"/>
      <c r="BI419" s="19"/>
      <c r="BJ419" s="19"/>
      <c r="BK419" s="19"/>
      <c r="BL419" s="19"/>
      <c r="BM419" s="19"/>
      <c r="BN419" s="19"/>
      <c r="BO419" s="19"/>
      <c r="BP419" s="19"/>
      <c r="BQ419" s="19"/>
      <c r="BR419" s="19"/>
      <c r="BS419" s="19"/>
      <c r="BT419" s="19"/>
      <c r="BU419" s="19"/>
      <c r="BV419" s="19"/>
      <c r="BW419" s="19"/>
      <c r="BX419" s="19"/>
      <c r="BY419" s="19"/>
      <c r="BZ419" s="19"/>
      <c r="CA419" s="19"/>
      <c r="CB419" s="19"/>
      <c r="CC419" s="19"/>
      <c r="CD419" s="19"/>
      <c r="CE419" s="19"/>
      <c r="CF419" s="19"/>
      <c r="CG419" s="19"/>
      <c r="CH419" s="19"/>
      <c r="CI419" s="19"/>
      <c r="CJ419" s="19"/>
      <c r="CK419" s="19"/>
      <c r="CL419" s="19"/>
      <c r="CM419" s="19"/>
      <c r="CN419" s="19"/>
      <c r="CO419" s="19"/>
      <c r="CP419" s="19"/>
      <c r="CQ419" s="19"/>
      <c r="CR419" s="19"/>
      <c r="CS419" s="19"/>
      <c r="CT419" s="19"/>
      <c r="CU419" s="19"/>
      <c r="CV419" s="19"/>
      <c r="CW419" s="19"/>
      <c r="CX419" s="19"/>
      <c r="CY419" s="19"/>
      <c r="CZ419" s="19"/>
      <c r="DA419" s="19"/>
      <c r="DB419" s="19"/>
      <c r="DC419" s="19"/>
      <c r="DD419" s="19"/>
      <c r="DE419" s="19"/>
      <c r="DF419" s="19"/>
      <c r="DG419" s="19"/>
      <c r="DH419" s="19"/>
      <c r="DI419" s="19"/>
      <c r="DJ419" s="19"/>
      <c r="DK419" s="19"/>
      <c r="DL419" s="19"/>
      <c r="DM419" s="19"/>
      <c r="DN419" s="19"/>
      <c r="DO419" s="19"/>
      <c r="DP419" s="19"/>
      <c r="DQ419" s="19"/>
      <c r="DR419" s="19"/>
      <c r="DS419" s="19"/>
      <c r="DT419" s="19"/>
      <c r="DU419" s="19"/>
      <c r="DV419" s="19"/>
      <c r="DW419" s="19"/>
      <c r="DX419" s="19"/>
      <c r="DY419" s="19"/>
      <c r="DZ419" s="19"/>
      <c r="EA419" s="19"/>
      <c r="EB419" s="19"/>
      <c r="EC419" s="19"/>
      <c r="ED419" s="19"/>
      <c r="EE419" s="19"/>
      <c r="EF419" s="19"/>
      <c r="EG419" s="19"/>
      <c r="EH419" s="19"/>
      <c r="EI419" s="19"/>
      <c r="EJ419" s="19"/>
      <c r="EK419" s="19"/>
      <c r="EL419" s="19"/>
      <c r="EM419" s="19"/>
      <c r="EN419" s="19"/>
      <c r="EO419" s="19"/>
      <c r="EP419" s="19"/>
      <c r="EQ419" s="19"/>
      <c r="ER419" s="19"/>
      <c r="ES419" s="19"/>
      <c r="ET419" s="19"/>
      <c r="EU419" s="19"/>
      <c r="EV419" s="19"/>
      <c r="EW419" s="19"/>
      <c r="EX419" s="19"/>
      <c r="EY419" s="19"/>
      <c r="EZ419" s="19"/>
      <c r="FA419" s="19"/>
      <c r="FB419" s="19"/>
      <c r="FC419" s="19"/>
      <c r="FD419" s="19"/>
      <c r="FE419" s="19"/>
      <c r="FF419" s="19"/>
      <c r="FG419" s="19"/>
      <c r="FH419" s="19"/>
      <c r="FI419" s="19"/>
    </row>
    <row r="420" spans="1:165" x14ac:dyDescent="0.25">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c r="BE420" s="19"/>
      <c r="BF420" s="19"/>
      <c r="BG420" s="19"/>
      <c r="BH420" s="19"/>
      <c r="BI420" s="19"/>
      <c r="BJ420" s="19"/>
      <c r="BK420" s="19"/>
      <c r="BL420" s="19"/>
      <c r="BM420" s="19"/>
      <c r="BN420" s="19"/>
      <c r="BO420" s="19"/>
      <c r="BP420" s="19"/>
      <c r="BQ420" s="19"/>
      <c r="BR420" s="19"/>
      <c r="BS420" s="19"/>
      <c r="BT420" s="19"/>
      <c r="BU420" s="19"/>
      <c r="BV420" s="19"/>
      <c r="BW420" s="19"/>
      <c r="BX420" s="19"/>
      <c r="BY420" s="19"/>
      <c r="BZ420" s="19"/>
      <c r="CA420" s="19"/>
      <c r="CB420" s="19"/>
      <c r="CC420" s="19"/>
      <c r="CD420" s="19"/>
      <c r="CE420" s="19"/>
      <c r="CF420" s="19"/>
      <c r="CG420" s="19"/>
      <c r="CH420" s="19"/>
      <c r="CI420" s="19"/>
      <c r="CJ420" s="19"/>
      <c r="CK420" s="19"/>
      <c r="CL420" s="19"/>
      <c r="CM420" s="19"/>
      <c r="CN420" s="19"/>
      <c r="CO420" s="19"/>
      <c r="CP420" s="19"/>
      <c r="CQ420" s="19"/>
      <c r="CR420" s="19"/>
      <c r="CS420" s="19"/>
      <c r="CT420" s="19"/>
      <c r="CU420" s="19"/>
      <c r="CV420" s="19"/>
      <c r="CW420" s="19"/>
      <c r="CX420" s="19"/>
      <c r="CY420" s="19"/>
      <c r="CZ420" s="19"/>
      <c r="DA420" s="19"/>
      <c r="DB420" s="19"/>
      <c r="DC420" s="19"/>
      <c r="DD420" s="19"/>
      <c r="DE420" s="19"/>
      <c r="DF420" s="19"/>
      <c r="DG420" s="19"/>
      <c r="DH420" s="19"/>
      <c r="DI420" s="19"/>
      <c r="DJ420" s="19"/>
      <c r="DK420" s="19"/>
      <c r="DL420" s="19"/>
      <c r="DM420" s="19"/>
      <c r="DN420" s="19"/>
      <c r="DO420" s="19"/>
      <c r="DP420" s="19"/>
      <c r="DQ420" s="19"/>
      <c r="DR420" s="19"/>
      <c r="DS420" s="19"/>
      <c r="DT420" s="19"/>
      <c r="DU420" s="19"/>
      <c r="DV420" s="19"/>
      <c r="DW420" s="19"/>
      <c r="DX420" s="19"/>
      <c r="DY420" s="19"/>
      <c r="DZ420" s="19"/>
      <c r="EA420" s="19"/>
      <c r="EB420" s="19"/>
      <c r="EC420" s="19"/>
      <c r="ED420" s="19"/>
      <c r="EE420" s="19"/>
      <c r="EF420" s="19"/>
      <c r="EG420" s="19"/>
      <c r="EH420" s="19"/>
      <c r="EI420" s="19"/>
      <c r="EJ420" s="19"/>
      <c r="EK420" s="19"/>
      <c r="EL420" s="19"/>
      <c r="EM420" s="19"/>
      <c r="EN420" s="19"/>
      <c r="EO420" s="19"/>
      <c r="EP420" s="19"/>
      <c r="EQ420" s="19"/>
      <c r="ER420" s="19"/>
      <c r="ES420" s="19"/>
      <c r="ET420" s="19"/>
      <c r="EU420" s="19"/>
      <c r="EV420" s="19"/>
      <c r="EW420" s="19"/>
      <c r="EX420" s="19"/>
      <c r="EY420" s="19"/>
      <c r="EZ420" s="19"/>
      <c r="FA420" s="19"/>
      <c r="FB420" s="19"/>
      <c r="FC420" s="19"/>
      <c r="FD420" s="19"/>
      <c r="FE420" s="19"/>
      <c r="FF420" s="19"/>
      <c r="FG420" s="19"/>
      <c r="FH420" s="19"/>
      <c r="FI420" s="19"/>
    </row>
    <row r="421" spans="1:165" x14ac:dyDescent="0.25">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c r="BE421" s="19"/>
      <c r="BF421" s="19"/>
      <c r="BG421" s="19"/>
      <c r="BH421" s="19"/>
      <c r="BI421" s="19"/>
      <c r="BJ421" s="19"/>
      <c r="BK421" s="19"/>
      <c r="BL421" s="19"/>
      <c r="BM421" s="19"/>
      <c r="BN421" s="19"/>
      <c r="BO421" s="19"/>
      <c r="BP421" s="19"/>
      <c r="BQ421" s="19"/>
      <c r="BR421" s="19"/>
      <c r="BS421" s="19"/>
      <c r="BT421" s="19"/>
      <c r="BU421" s="19"/>
      <c r="BV421" s="19"/>
      <c r="BW421" s="19"/>
      <c r="BX421" s="19"/>
      <c r="BY421" s="19"/>
      <c r="BZ421" s="19"/>
      <c r="CA421" s="19"/>
      <c r="CB421" s="19"/>
      <c r="CC421" s="19"/>
      <c r="CD421" s="19"/>
      <c r="CE421" s="19"/>
      <c r="CF421" s="19"/>
      <c r="CG421" s="19"/>
      <c r="CH421" s="19"/>
      <c r="CI421" s="19"/>
      <c r="CJ421" s="19"/>
      <c r="CK421" s="19"/>
      <c r="CL421" s="19"/>
      <c r="CM421" s="19"/>
      <c r="CN421" s="19"/>
      <c r="CO421" s="19"/>
      <c r="CP421" s="19"/>
      <c r="CQ421" s="19"/>
      <c r="CR421" s="19"/>
      <c r="CS421" s="19"/>
      <c r="CT421" s="19"/>
      <c r="CU421" s="19"/>
      <c r="CV421" s="19"/>
      <c r="CW421" s="19"/>
      <c r="CX421" s="19"/>
      <c r="CY421" s="19"/>
      <c r="CZ421" s="19"/>
      <c r="DA421" s="19"/>
      <c r="DB421" s="19"/>
      <c r="DC421" s="19"/>
      <c r="DD421" s="19"/>
      <c r="DE421" s="19"/>
      <c r="DF421" s="19"/>
      <c r="DG421" s="19"/>
      <c r="DH421" s="19"/>
      <c r="DI421" s="19"/>
      <c r="DJ421" s="19"/>
      <c r="DK421" s="19"/>
      <c r="DL421" s="19"/>
      <c r="DM421" s="19"/>
      <c r="DN421" s="19"/>
      <c r="DO421" s="19"/>
      <c r="DP421" s="19"/>
      <c r="DQ421" s="19"/>
      <c r="DR421" s="19"/>
      <c r="DS421" s="19"/>
      <c r="DT421" s="19"/>
      <c r="DU421" s="19"/>
      <c r="DV421" s="19"/>
      <c r="DW421" s="19"/>
      <c r="DX421" s="19"/>
      <c r="DY421" s="19"/>
      <c r="DZ421" s="19"/>
      <c r="EA421" s="19"/>
      <c r="EB421" s="19"/>
      <c r="EC421" s="19"/>
      <c r="ED421" s="19"/>
      <c r="EE421" s="19"/>
      <c r="EF421" s="19"/>
      <c r="EG421" s="19"/>
      <c r="EH421" s="19"/>
      <c r="EI421" s="19"/>
      <c r="EJ421" s="19"/>
      <c r="EK421" s="19"/>
      <c r="EL421" s="19"/>
      <c r="EM421" s="19"/>
      <c r="EN421" s="19"/>
      <c r="EO421" s="19"/>
      <c r="EP421" s="19"/>
      <c r="EQ421" s="19"/>
      <c r="ER421" s="19"/>
      <c r="ES421" s="19"/>
      <c r="ET421" s="19"/>
      <c r="EU421" s="19"/>
      <c r="EV421" s="19"/>
      <c r="EW421" s="19"/>
      <c r="EX421" s="19"/>
      <c r="EY421" s="19"/>
      <c r="EZ421" s="19"/>
      <c r="FA421" s="19"/>
      <c r="FB421" s="19"/>
      <c r="FC421" s="19"/>
      <c r="FD421" s="19"/>
      <c r="FE421" s="19"/>
      <c r="FF421" s="19"/>
      <c r="FG421" s="19"/>
      <c r="FH421" s="19"/>
      <c r="FI421" s="19"/>
    </row>
    <row r="422" spans="1:165" x14ac:dyDescent="0.25">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c r="BE422" s="19"/>
      <c r="BF422" s="19"/>
      <c r="BG422" s="19"/>
      <c r="BH422" s="19"/>
      <c r="BI422" s="19"/>
      <c r="BJ422" s="19"/>
      <c r="BK422" s="19"/>
      <c r="BL422" s="19"/>
      <c r="BM422" s="19"/>
      <c r="BN422" s="19"/>
      <c r="BO422" s="19"/>
      <c r="BP422" s="19"/>
      <c r="BQ422" s="19"/>
      <c r="BR422" s="19"/>
      <c r="BS422" s="19"/>
      <c r="BT422" s="19"/>
      <c r="BU422" s="19"/>
      <c r="BV422" s="19"/>
      <c r="BW422" s="19"/>
      <c r="BX422" s="19"/>
      <c r="BY422" s="19"/>
      <c r="BZ422" s="19"/>
      <c r="CA422" s="19"/>
      <c r="CB422" s="19"/>
      <c r="CC422" s="19"/>
      <c r="CD422" s="19"/>
      <c r="CE422" s="19"/>
      <c r="CF422" s="19"/>
      <c r="CG422" s="19"/>
      <c r="CH422" s="19"/>
      <c r="CI422" s="19"/>
      <c r="CJ422" s="19"/>
      <c r="CK422" s="19"/>
      <c r="CL422" s="19"/>
      <c r="CM422" s="19"/>
      <c r="CN422" s="19"/>
      <c r="CO422" s="19"/>
      <c r="CP422" s="19"/>
      <c r="CQ422" s="19"/>
      <c r="CR422" s="19"/>
      <c r="CS422" s="19"/>
      <c r="CT422" s="19"/>
      <c r="CU422" s="19"/>
      <c r="CV422" s="19"/>
      <c r="CW422" s="19"/>
      <c r="CX422" s="19"/>
      <c r="CY422" s="19"/>
      <c r="CZ422" s="19"/>
      <c r="DA422" s="19"/>
      <c r="DB422" s="19"/>
      <c r="DC422" s="19"/>
      <c r="DD422" s="19"/>
      <c r="DE422" s="19"/>
      <c r="DF422" s="19"/>
      <c r="DG422" s="19"/>
      <c r="DH422" s="19"/>
      <c r="DI422" s="19"/>
      <c r="DJ422" s="19"/>
      <c r="DK422" s="19"/>
      <c r="DL422" s="19"/>
      <c r="DM422" s="19"/>
      <c r="DN422" s="19"/>
      <c r="DO422" s="19"/>
      <c r="DP422" s="19"/>
      <c r="DQ422" s="19"/>
      <c r="DR422" s="19"/>
      <c r="DS422" s="19"/>
      <c r="DT422" s="19"/>
      <c r="DU422" s="19"/>
      <c r="DV422" s="19"/>
      <c r="DW422" s="19"/>
      <c r="DX422" s="19"/>
      <c r="DY422" s="19"/>
      <c r="DZ422" s="19"/>
      <c r="EA422" s="19"/>
      <c r="EB422" s="19"/>
      <c r="EC422" s="19"/>
      <c r="ED422" s="19"/>
      <c r="EE422" s="19"/>
      <c r="EF422" s="19"/>
      <c r="EG422" s="19"/>
      <c r="EH422" s="19"/>
      <c r="EI422" s="19"/>
      <c r="EJ422" s="19"/>
      <c r="EK422" s="19"/>
      <c r="EL422" s="19"/>
      <c r="EM422" s="19"/>
      <c r="EN422" s="19"/>
      <c r="EO422" s="19"/>
      <c r="EP422" s="19"/>
      <c r="EQ422" s="19"/>
      <c r="ER422" s="19"/>
      <c r="ES422" s="19"/>
      <c r="ET422" s="19"/>
      <c r="EU422" s="19"/>
      <c r="EV422" s="19"/>
      <c r="EW422" s="19"/>
      <c r="EX422" s="19"/>
      <c r="EY422" s="19"/>
      <c r="EZ422" s="19"/>
      <c r="FA422" s="19"/>
      <c r="FB422" s="19"/>
      <c r="FC422" s="19"/>
      <c r="FD422" s="19"/>
      <c r="FE422" s="19"/>
      <c r="FF422" s="19"/>
      <c r="FG422" s="19"/>
      <c r="FH422" s="19"/>
      <c r="FI422" s="19"/>
    </row>
    <row r="423" spans="1:165" x14ac:dyDescent="0.25">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c r="BE423" s="19"/>
      <c r="BF423" s="19"/>
      <c r="BG423" s="19"/>
      <c r="BH423" s="19"/>
      <c r="BI423" s="19"/>
      <c r="BJ423" s="19"/>
      <c r="BK423" s="19"/>
      <c r="BL423" s="19"/>
      <c r="BM423" s="19"/>
      <c r="BN423" s="19"/>
      <c r="BO423" s="19"/>
      <c r="BP423" s="19"/>
      <c r="BQ423" s="19"/>
      <c r="BR423" s="19"/>
      <c r="BS423" s="19"/>
      <c r="BT423" s="19"/>
      <c r="BU423" s="19"/>
      <c r="BV423" s="19"/>
      <c r="BW423" s="19"/>
      <c r="BX423" s="19"/>
      <c r="BY423" s="19"/>
      <c r="BZ423" s="19"/>
      <c r="CA423" s="19"/>
      <c r="CB423" s="19"/>
      <c r="CC423" s="19"/>
      <c r="CD423" s="19"/>
      <c r="CE423" s="19"/>
      <c r="CF423" s="19"/>
      <c r="CG423" s="19"/>
      <c r="CH423" s="19"/>
      <c r="CI423" s="19"/>
      <c r="CJ423" s="19"/>
      <c r="CK423" s="19"/>
      <c r="CL423" s="19"/>
      <c r="CM423" s="19"/>
      <c r="CN423" s="19"/>
      <c r="CO423" s="19"/>
      <c r="CP423" s="19"/>
      <c r="CQ423" s="19"/>
      <c r="CR423" s="19"/>
      <c r="CS423" s="19"/>
      <c r="CT423" s="19"/>
      <c r="CU423" s="19"/>
      <c r="CV423" s="19"/>
      <c r="CW423" s="19"/>
      <c r="CX423" s="19"/>
      <c r="CY423" s="19"/>
      <c r="CZ423" s="19"/>
      <c r="DA423" s="19"/>
      <c r="DB423" s="19"/>
      <c r="DC423" s="19"/>
      <c r="DD423" s="19"/>
      <c r="DE423" s="19"/>
      <c r="DF423" s="19"/>
      <c r="DG423" s="19"/>
      <c r="DH423" s="19"/>
      <c r="DI423" s="19"/>
      <c r="DJ423" s="19"/>
      <c r="DK423" s="19"/>
      <c r="DL423" s="19"/>
      <c r="DM423" s="19"/>
      <c r="DN423" s="19"/>
      <c r="DO423" s="19"/>
      <c r="DP423" s="19"/>
      <c r="DQ423" s="19"/>
      <c r="DR423" s="19"/>
      <c r="DS423" s="19"/>
      <c r="DT423" s="19"/>
      <c r="DU423" s="19"/>
      <c r="DV423" s="19"/>
      <c r="DW423" s="19"/>
      <c r="DX423" s="19"/>
      <c r="DY423" s="19"/>
      <c r="DZ423" s="19"/>
      <c r="EA423" s="19"/>
      <c r="EB423" s="19"/>
      <c r="EC423" s="19"/>
      <c r="ED423" s="19"/>
      <c r="EE423" s="19"/>
      <c r="EF423" s="19"/>
      <c r="EG423" s="19"/>
      <c r="EH423" s="19"/>
      <c r="EI423" s="19"/>
      <c r="EJ423" s="19"/>
      <c r="EK423" s="19"/>
      <c r="EL423" s="19"/>
      <c r="EM423" s="19"/>
      <c r="EN423" s="19"/>
      <c r="EO423" s="19"/>
      <c r="EP423" s="19"/>
      <c r="EQ423" s="19"/>
      <c r="ER423" s="19"/>
      <c r="ES423" s="19"/>
      <c r="ET423" s="19"/>
      <c r="EU423" s="19"/>
      <c r="EV423" s="19"/>
      <c r="EW423" s="19"/>
      <c r="EX423" s="19"/>
      <c r="EY423" s="19"/>
      <c r="EZ423" s="19"/>
      <c r="FA423" s="19"/>
      <c r="FB423" s="19"/>
      <c r="FC423" s="19"/>
      <c r="FD423" s="19"/>
      <c r="FE423" s="19"/>
      <c r="FF423" s="19"/>
      <c r="FG423" s="19"/>
      <c r="FH423" s="19"/>
      <c r="FI423" s="19"/>
    </row>
    <row r="424" spans="1:165" x14ac:dyDescent="0.25">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c r="BE424" s="19"/>
      <c r="BF424" s="19"/>
      <c r="BG424" s="19"/>
      <c r="BH424" s="19"/>
      <c r="BI424" s="19"/>
      <c r="BJ424" s="19"/>
      <c r="BK424" s="19"/>
      <c r="BL424" s="19"/>
      <c r="BM424" s="19"/>
      <c r="BN424" s="19"/>
      <c r="BO424" s="19"/>
      <c r="BP424" s="19"/>
      <c r="BQ424" s="19"/>
      <c r="BR424" s="19"/>
      <c r="BS424" s="19"/>
      <c r="BT424" s="19"/>
      <c r="BU424" s="19"/>
      <c r="BV424" s="19"/>
      <c r="BW424" s="19"/>
      <c r="BX424" s="19"/>
      <c r="BY424" s="19"/>
      <c r="BZ424" s="19"/>
      <c r="CA424" s="19"/>
      <c r="CB424" s="19"/>
      <c r="CC424" s="19"/>
      <c r="CD424" s="19"/>
      <c r="CE424" s="19"/>
      <c r="CF424" s="19"/>
      <c r="CG424" s="19"/>
      <c r="CH424" s="19"/>
      <c r="CI424" s="19"/>
      <c r="CJ424" s="19"/>
      <c r="CK424" s="19"/>
      <c r="CL424" s="19"/>
      <c r="CM424" s="19"/>
      <c r="CN424" s="19"/>
      <c r="CO424" s="19"/>
      <c r="CP424" s="19"/>
      <c r="CQ424" s="19"/>
      <c r="CR424" s="19"/>
      <c r="CS424" s="19"/>
      <c r="CT424" s="19"/>
      <c r="CU424" s="19"/>
      <c r="CV424" s="19"/>
      <c r="CW424" s="19"/>
      <c r="CX424" s="19"/>
      <c r="CY424" s="19"/>
      <c r="CZ424" s="19"/>
      <c r="DA424" s="19"/>
      <c r="DB424" s="19"/>
      <c r="DC424" s="19"/>
      <c r="DD424" s="19"/>
      <c r="DE424" s="19"/>
      <c r="DF424" s="19"/>
      <c r="DG424" s="19"/>
      <c r="DH424" s="19"/>
      <c r="DI424" s="19"/>
      <c r="DJ424" s="19"/>
      <c r="DK424" s="19"/>
      <c r="DL424" s="19"/>
      <c r="DM424" s="19"/>
      <c r="DN424" s="19"/>
      <c r="DO424" s="19"/>
      <c r="DP424" s="19"/>
      <c r="DQ424" s="19"/>
      <c r="DR424" s="19"/>
      <c r="DS424" s="19"/>
      <c r="DT424" s="19"/>
      <c r="DU424" s="19"/>
      <c r="DV424" s="19"/>
      <c r="DW424" s="19"/>
      <c r="DX424" s="19"/>
      <c r="DY424" s="19"/>
      <c r="DZ424" s="19"/>
      <c r="EA424" s="19"/>
      <c r="EB424" s="19"/>
      <c r="EC424" s="19"/>
      <c r="ED424" s="19"/>
      <c r="EE424" s="19"/>
      <c r="EF424" s="19"/>
      <c r="EG424" s="19"/>
      <c r="EH424" s="19"/>
      <c r="EI424" s="19"/>
      <c r="EJ424" s="19"/>
      <c r="EK424" s="19"/>
      <c r="EL424" s="19"/>
      <c r="EM424" s="19"/>
      <c r="EN424" s="19"/>
      <c r="EO424" s="19"/>
      <c r="EP424" s="19"/>
      <c r="EQ424" s="19"/>
      <c r="ER424" s="19"/>
      <c r="ES424" s="19"/>
      <c r="ET424" s="19"/>
      <c r="EU424" s="19"/>
      <c r="EV424" s="19"/>
      <c r="EW424" s="19"/>
      <c r="EX424" s="19"/>
      <c r="EY424" s="19"/>
      <c r="EZ424" s="19"/>
      <c r="FA424" s="19"/>
      <c r="FB424" s="19"/>
      <c r="FC424" s="19"/>
      <c r="FD424" s="19"/>
      <c r="FE424" s="19"/>
      <c r="FF424" s="19"/>
      <c r="FG424" s="19"/>
      <c r="FH424" s="19"/>
      <c r="FI424" s="19"/>
    </row>
    <row r="425" spans="1:165" x14ac:dyDescent="0.25">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c r="BE425" s="19"/>
      <c r="BF425" s="19"/>
      <c r="BG425" s="19"/>
      <c r="BH425" s="19"/>
      <c r="BI425" s="19"/>
      <c r="BJ425" s="19"/>
      <c r="BK425" s="19"/>
      <c r="BL425" s="19"/>
      <c r="BM425" s="19"/>
      <c r="BN425" s="19"/>
      <c r="BO425" s="19"/>
      <c r="BP425" s="19"/>
      <c r="BQ425" s="19"/>
      <c r="BR425" s="19"/>
      <c r="BS425" s="19"/>
      <c r="BT425" s="19"/>
      <c r="BU425" s="19"/>
      <c r="BV425" s="19"/>
      <c r="BW425" s="19"/>
      <c r="BX425" s="19"/>
      <c r="BY425" s="19"/>
      <c r="BZ425" s="19"/>
      <c r="CA425" s="19"/>
      <c r="CB425" s="19"/>
      <c r="CC425" s="19"/>
      <c r="CD425" s="19"/>
      <c r="CE425" s="19"/>
      <c r="CF425" s="19"/>
      <c r="CG425" s="19"/>
      <c r="CH425" s="19"/>
      <c r="CI425" s="19"/>
      <c r="CJ425" s="19"/>
      <c r="CK425" s="19"/>
      <c r="CL425" s="19"/>
      <c r="CM425" s="19"/>
      <c r="CN425" s="19"/>
      <c r="CO425" s="19"/>
      <c r="CP425" s="19"/>
      <c r="CQ425" s="19"/>
      <c r="CR425" s="19"/>
      <c r="CS425" s="19"/>
      <c r="CT425" s="19"/>
      <c r="CU425" s="19"/>
      <c r="CV425" s="19"/>
      <c r="CW425" s="19"/>
      <c r="CX425" s="19"/>
      <c r="CY425" s="19"/>
      <c r="CZ425" s="19"/>
      <c r="DA425" s="19"/>
      <c r="DB425" s="19"/>
      <c r="DC425" s="19"/>
      <c r="DD425" s="19"/>
      <c r="DE425" s="19"/>
      <c r="DF425" s="19"/>
      <c r="DG425" s="19"/>
      <c r="DH425" s="19"/>
      <c r="DI425" s="19"/>
      <c r="DJ425" s="19"/>
      <c r="DK425" s="19"/>
      <c r="DL425" s="19"/>
      <c r="DM425" s="19"/>
      <c r="DN425" s="19"/>
      <c r="DO425" s="19"/>
      <c r="DP425" s="19"/>
      <c r="DQ425" s="19"/>
      <c r="DR425" s="19"/>
      <c r="DS425" s="19"/>
      <c r="DT425" s="19"/>
      <c r="DU425" s="19"/>
      <c r="DV425" s="19"/>
      <c r="DW425" s="19"/>
      <c r="DX425" s="19"/>
      <c r="DY425" s="19"/>
      <c r="DZ425" s="19"/>
      <c r="EA425" s="19"/>
      <c r="EB425" s="19"/>
      <c r="EC425" s="19"/>
      <c r="ED425" s="19"/>
      <c r="EE425" s="19"/>
      <c r="EF425" s="19"/>
      <c r="EG425" s="19"/>
      <c r="EH425" s="19"/>
      <c r="EI425" s="19"/>
      <c r="EJ425" s="19"/>
      <c r="EK425" s="19"/>
      <c r="EL425" s="19"/>
      <c r="EM425" s="19"/>
      <c r="EN425" s="19"/>
      <c r="EO425" s="19"/>
      <c r="EP425" s="19"/>
      <c r="EQ425" s="19"/>
      <c r="ER425" s="19"/>
      <c r="ES425" s="19"/>
      <c r="ET425" s="19"/>
      <c r="EU425" s="19"/>
      <c r="EV425" s="19"/>
      <c r="EW425" s="19"/>
      <c r="EX425" s="19"/>
      <c r="EY425" s="19"/>
      <c r="EZ425" s="19"/>
      <c r="FA425" s="19"/>
      <c r="FB425" s="19"/>
      <c r="FC425" s="19"/>
      <c r="FD425" s="19"/>
      <c r="FE425" s="19"/>
      <c r="FF425" s="19"/>
      <c r="FG425" s="19"/>
      <c r="FH425" s="19"/>
      <c r="FI425" s="19"/>
    </row>
    <row r="426" spans="1:165" x14ac:dyDescent="0.25">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c r="BE426" s="19"/>
      <c r="BF426" s="19"/>
      <c r="BG426" s="19"/>
      <c r="BH426" s="19"/>
      <c r="BI426" s="19"/>
      <c r="BJ426" s="19"/>
      <c r="BK426" s="19"/>
      <c r="BL426" s="19"/>
      <c r="BM426" s="19"/>
      <c r="BN426" s="19"/>
      <c r="BO426" s="19"/>
      <c r="BP426" s="19"/>
      <c r="BQ426" s="19"/>
      <c r="BR426" s="19"/>
      <c r="BS426" s="19"/>
      <c r="BT426" s="19"/>
      <c r="BU426" s="19"/>
      <c r="BV426" s="19"/>
      <c r="BW426" s="19"/>
      <c r="BX426" s="19"/>
      <c r="BY426" s="19"/>
      <c r="BZ426" s="19"/>
      <c r="CA426" s="19"/>
      <c r="CB426" s="19"/>
      <c r="CC426" s="19"/>
      <c r="CD426" s="19"/>
      <c r="CE426" s="19"/>
      <c r="CF426" s="19"/>
      <c r="CG426" s="19"/>
      <c r="CH426" s="19"/>
      <c r="CI426" s="19"/>
      <c r="CJ426" s="19"/>
      <c r="CK426" s="19"/>
      <c r="CL426" s="19"/>
      <c r="CM426" s="19"/>
      <c r="CN426" s="19"/>
      <c r="CO426" s="19"/>
      <c r="CP426" s="19"/>
      <c r="CQ426" s="19"/>
      <c r="CR426" s="19"/>
      <c r="CS426" s="19"/>
      <c r="CT426" s="19"/>
      <c r="CU426" s="19"/>
      <c r="CV426" s="19"/>
      <c r="CW426" s="19"/>
      <c r="CX426" s="19"/>
      <c r="CY426" s="19"/>
      <c r="CZ426" s="19"/>
      <c r="DA426" s="19"/>
      <c r="DB426" s="19"/>
      <c r="DC426" s="19"/>
      <c r="DD426" s="19"/>
      <c r="DE426" s="19"/>
      <c r="DF426" s="19"/>
      <c r="DG426" s="19"/>
      <c r="DH426" s="19"/>
      <c r="DI426" s="19"/>
      <c r="DJ426" s="19"/>
      <c r="DK426" s="19"/>
      <c r="DL426" s="19"/>
      <c r="DM426" s="19"/>
      <c r="DN426" s="19"/>
      <c r="DO426" s="19"/>
      <c r="DP426" s="19"/>
      <c r="DQ426" s="19"/>
      <c r="DR426" s="19"/>
      <c r="DS426" s="19"/>
      <c r="DT426" s="19"/>
      <c r="DU426" s="19"/>
      <c r="DV426" s="19"/>
      <c r="DW426" s="19"/>
      <c r="DX426" s="19"/>
      <c r="DY426" s="19"/>
      <c r="DZ426" s="19"/>
      <c r="EA426" s="19"/>
      <c r="EB426" s="19"/>
      <c r="EC426" s="19"/>
      <c r="ED426" s="19"/>
      <c r="EE426" s="19"/>
      <c r="EF426" s="19"/>
      <c r="EG426" s="19"/>
      <c r="EH426" s="19"/>
      <c r="EI426" s="19"/>
      <c r="EJ426" s="19"/>
      <c r="EK426" s="19"/>
      <c r="EL426" s="19"/>
      <c r="EM426" s="19"/>
      <c r="EN426" s="19"/>
      <c r="EO426" s="19"/>
      <c r="EP426" s="19"/>
      <c r="EQ426" s="19"/>
      <c r="ER426" s="19"/>
      <c r="ES426" s="19"/>
      <c r="ET426" s="19"/>
      <c r="EU426" s="19"/>
      <c r="EV426" s="19"/>
      <c r="EW426" s="19"/>
      <c r="EX426" s="19"/>
      <c r="EY426" s="19"/>
      <c r="EZ426" s="19"/>
      <c r="FA426" s="19"/>
      <c r="FB426" s="19"/>
      <c r="FC426" s="19"/>
      <c r="FD426" s="19"/>
      <c r="FE426" s="19"/>
      <c r="FF426" s="19"/>
      <c r="FG426" s="19"/>
      <c r="FH426" s="19"/>
      <c r="FI426" s="19"/>
    </row>
    <row r="427" spans="1:165" x14ac:dyDescent="0.25">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c r="BE427" s="19"/>
      <c r="BF427" s="19"/>
      <c r="BG427" s="19"/>
      <c r="BH427" s="19"/>
      <c r="BI427" s="19"/>
      <c r="BJ427" s="19"/>
      <c r="BK427" s="19"/>
      <c r="BL427" s="19"/>
      <c r="BM427" s="19"/>
      <c r="BN427" s="19"/>
      <c r="BO427" s="19"/>
      <c r="BP427" s="19"/>
      <c r="BQ427" s="19"/>
      <c r="BR427" s="19"/>
      <c r="BS427" s="19"/>
      <c r="BT427" s="19"/>
      <c r="BU427" s="19"/>
      <c r="BV427" s="19"/>
      <c r="BW427" s="19"/>
      <c r="BX427" s="19"/>
      <c r="BY427" s="19"/>
      <c r="BZ427" s="19"/>
      <c r="CA427" s="19"/>
      <c r="CB427" s="19"/>
      <c r="CC427" s="19"/>
      <c r="CD427" s="19"/>
      <c r="CE427" s="19"/>
      <c r="CF427" s="19"/>
      <c r="CG427" s="19"/>
      <c r="CH427" s="19"/>
      <c r="CI427" s="19"/>
      <c r="CJ427" s="19"/>
      <c r="CK427" s="19"/>
      <c r="CL427" s="19"/>
      <c r="CM427" s="19"/>
      <c r="CN427" s="19"/>
      <c r="CO427" s="19"/>
      <c r="CP427" s="19"/>
      <c r="CQ427" s="19"/>
      <c r="CR427" s="19"/>
      <c r="CS427" s="19"/>
      <c r="CT427" s="19"/>
      <c r="CU427" s="19"/>
      <c r="CV427" s="19"/>
      <c r="CW427" s="19"/>
      <c r="CX427" s="19"/>
      <c r="CY427" s="19"/>
      <c r="CZ427" s="19"/>
      <c r="DA427" s="19"/>
      <c r="DB427" s="19"/>
      <c r="DC427" s="19"/>
      <c r="DD427" s="19"/>
      <c r="DE427" s="19"/>
      <c r="DF427" s="19"/>
      <c r="DG427" s="19"/>
      <c r="DH427" s="19"/>
      <c r="DI427" s="19"/>
      <c r="DJ427" s="19"/>
      <c r="DK427" s="19"/>
      <c r="DL427" s="19"/>
      <c r="DM427" s="19"/>
      <c r="DN427" s="19"/>
      <c r="DO427" s="19"/>
      <c r="DP427" s="19"/>
      <c r="DQ427" s="19"/>
      <c r="DR427" s="19"/>
      <c r="DS427" s="19"/>
      <c r="DT427" s="19"/>
      <c r="DU427" s="19"/>
      <c r="DV427" s="19"/>
      <c r="DW427" s="19"/>
      <c r="DX427" s="19"/>
      <c r="DY427" s="19"/>
      <c r="DZ427" s="19"/>
      <c r="EA427" s="19"/>
      <c r="EB427" s="19"/>
      <c r="EC427" s="19"/>
      <c r="ED427" s="19"/>
      <c r="EE427" s="19"/>
      <c r="EF427" s="19"/>
      <c r="EG427" s="19"/>
      <c r="EH427" s="19"/>
      <c r="EI427" s="19"/>
      <c r="EJ427" s="19"/>
      <c r="EK427" s="19"/>
      <c r="EL427" s="19"/>
      <c r="EM427" s="19"/>
      <c r="EN427" s="19"/>
      <c r="EO427" s="19"/>
      <c r="EP427" s="19"/>
      <c r="EQ427" s="19"/>
      <c r="ER427" s="19"/>
      <c r="ES427" s="19"/>
      <c r="ET427" s="19"/>
      <c r="EU427" s="19"/>
      <c r="EV427" s="19"/>
      <c r="EW427" s="19"/>
      <c r="EX427" s="19"/>
      <c r="EY427" s="19"/>
      <c r="EZ427" s="19"/>
      <c r="FA427" s="19"/>
      <c r="FB427" s="19"/>
      <c r="FC427" s="19"/>
      <c r="FD427" s="19"/>
      <c r="FE427" s="19"/>
      <c r="FF427" s="19"/>
      <c r="FG427" s="19"/>
      <c r="FH427" s="19"/>
      <c r="FI427" s="19"/>
    </row>
    <row r="428" spans="1:165" x14ac:dyDescent="0.25">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c r="BE428" s="19"/>
      <c r="BF428" s="19"/>
      <c r="BG428" s="19"/>
      <c r="BH428" s="19"/>
      <c r="BI428" s="19"/>
      <c r="BJ428" s="19"/>
      <c r="BK428" s="19"/>
      <c r="BL428" s="19"/>
      <c r="BM428" s="19"/>
      <c r="BN428" s="19"/>
      <c r="BO428" s="19"/>
      <c r="BP428" s="19"/>
      <c r="BQ428" s="19"/>
      <c r="BR428" s="19"/>
      <c r="BS428" s="19"/>
      <c r="BT428" s="19"/>
      <c r="BU428" s="19"/>
      <c r="BV428" s="19"/>
      <c r="BW428" s="19"/>
      <c r="BX428" s="19"/>
      <c r="BY428" s="19"/>
      <c r="BZ428" s="19"/>
      <c r="CA428" s="19"/>
      <c r="CB428" s="19"/>
      <c r="CC428" s="19"/>
      <c r="CD428" s="19"/>
      <c r="CE428" s="19"/>
      <c r="CF428" s="19"/>
      <c r="CG428" s="19"/>
      <c r="CH428" s="19"/>
      <c r="CI428" s="19"/>
      <c r="CJ428" s="19"/>
      <c r="CK428" s="19"/>
      <c r="CL428" s="19"/>
      <c r="CM428" s="19"/>
      <c r="CN428" s="19"/>
      <c r="CO428" s="19"/>
      <c r="CP428" s="19"/>
      <c r="CQ428" s="19"/>
      <c r="CR428" s="19"/>
      <c r="CS428" s="19"/>
      <c r="CT428" s="19"/>
      <c r="CU428" s="19"/>
      <c r="CV428" s="19"/>
      <c r="CW428" s="19"/>
      <c r="CX428" s="19"/>
      <c r="CY428" s="19"/>
      <c r="CZ428" s="19"/>
      <c r="DA428" s="19"/>
      <c r="DB428" s="19"/>
      <c r="DC428" s="19"/>
      <c r="DD428" s="19"/>
      <c r="DE428" s="19"/>
      <c r="DF428" s="19"/>
      <c r="DG428" s="19"/>
      <c r="DH428" s="19"/>
      <c r="DI428" s="19"/>
      <c r="DJ428" s="19"/>
      <c r="DK428" s="19"/>
      <c r="DL428" s="19"/>
      <c r="DM428" s="19"/>
      <c r="DN428" s="19"/>
      <c r="DO428" s="19"/>
      <c r="DP428" s="19"/>
      <c r="DQ428" s="19"/>
      <c r="DR428" s="19"/>
      <c r="DS428" s="19"/>
      <c r="DT428" s="19"/>
      <c r="DU428" s="19"/>
      <c r="DV428" s="19"/>
      <c r="DW428" s="19"/>
      <c r="DX428" s="19"/>
      <c r="DY428" s="19"/>
      <c r="DZ428" s="19"/>
      <c r="EA428" s="19"/>
      <c r="EB428" s="19"/>
      <c r="EC428" s="19"/>
      <c r="ED428" s="19"/>
      <c r="EE428" s="19"/>
      <c r="EF428" s="19"/>
      <c r="EG428" s="19"/>
      <c r="EH428" s="19"/>
      <c r="EI428" s="19"/>
      <c r="EJ428" s="19"/>
      <c r="EK428" s="19"/>
      <c r="EL428" s="19"/>
      <c r="EM428" s="19"/>
      <c r="EN428" s="19"/>
      <c r="EO428" s="19"/>
      <c r="EP428" s="19"/>
      <c r="EQ428" s="19"/>
      <c r="ER428" s="19"/>
      <c r="ES428" s="19"/>
      <c r="ET428" s="19"/>
      <c r="EU428" s="19"/>
      <c r="EV428" s="19"/>
      <c r="EW428" s="19"/>
      <c r="EX428" s="19"/>
      <c r="EY428" s="19"/>
      <c r="EZ428" s="19"/>
      <c r="FA428" s="19"/>
      <c r="FB428" s="19"/>
      <c r="FC428" s="19"/>
      <c r="FD428" s="19"/>
      <c r="FE428" s="19"/>
      <c r="FF428" s="19"/>
      <c r="FG428" s="19"/>
      <c r="FH428" s="19"/>
      <c r="FI428" s="19"/>
    </row>
    <row r="429" spans="1:165" x14ac:dyDescent="0.25">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c r="BE429" s="19"/>
      <c r="BF429" s="19"/>
      <c r="BG429" s="19"/>
      <c r="BH429" s="19"/>
      <c r="BI429" s="19"/>
      <c r="BJ429" s="19"/>
      <c r="BK429" s="19"/>
      <c r="BL429" s="19"/>
      <c r="BM429" s="19"/>
      <c r="BN429" s="19"/>
      <c r="BO429" s="19"/>
      <c r="BP429" s="19"/>
      <c r="BQ429" s="19"/>
      <c r="BR429" s="19"/>
      <c r="BS429" s="19"/>
      <c r="BT429" s="19"/>
      <c r="BU429" s="19"/>
      <c r="BV429" s="19"/>
      <c r="BW429" s="19"/>
      <c r="BX429" s="19"/>
      <c r="BY429" s="19"/>
      <c r="BZ429" s="19"/>
      <c r="CA429" s="19"/>
      <c r="CB429" s="19"/>
      <c r="CC429" s="19"/>
      <c r="CD429" s="19"/>
      <c r="CE429" s="19"/>
      <c r="CF429" s="19"/>
      <c r="CG429" s="19"/>
      <c r="CH429" s="19"/>
      <c r="CI429" s="19"/>
      <c r="CJ429" s="19"/>
      <c r="CK429" s="19"/>
      <c r="CL429" s="19"/>
      <c r="CM429" s="19"/>
      <c r="CN429" s="19"/>
      <c r="CO429" s="19"/>
      <c r="CP429" s="19"/>
      <c r="CQ429" s="19"/>
      <c r="CR429" s="19"/>
      <c r="CS429" s="19"/>
      <c r="CT429" s="19"/>
      <c r="CU429" s="19"/>
      <c r="CV429" s="19"/>
      <c r="CW429" s="19"/>
      <c r="CX429" s="19"/>
      <c r="CY429" s="19"/>
      <c r="CZ429" s="19"/>
      <c r="DA429" s="19"/>
      <c r="DB429" s="19"/>
      <c r="DC429" s="19"/>
      <c r="DD429" s="19"/>
      <c r="DE429" s="19"/>
      <c r="DF429" s="19"/>
      <c r="DG429" s="19"/>
      <c r="DH429" s="19"/>
      <c r="DI429" s="19"/>
      <c r="DJ429" s="19"/>
      <c r="DK429" s="19"/>
      <c r="DL429" s="19"/>
      <c r="DM429" s="19"/>
      <c r="DN429" s="19"/>
      <c r="DO429" s="19"/>
      <c r="DP429" s="19"/>
      <c r="DQ429" s="19"/>
      <c r="DR429" s="19"/>
      <c r="DS429" s="19"/>
      <c r="DT429" s="19"/>
      <c r="DU429" s="19"/>
      <c r="DV429" s="19"/>
      <c r="DW429" s="19"/>
      <c r="DX429" s="19"/>
      <c r="DY429" s="19"/>
      <c r="DZ429" s="19"/>
      <c r="EA429" s="19"/>
      <c r="EB429" s="19"/>
      <c r="EC429" s="19"/>
      <c r="ED429" s="19"/>
      <c r="EE429" s="19"/>
      <c r="EF429" s="19"/>
      <c r="EG429" s="19"/>
      <c r="EH429" s="19"/>
      <c r="EI429" s="19"/>
      <c r="EJ429" s="19"/>
      <c r="EK429" s="19"/>
      <c r="EL429" s="19"/>
      <c r="EM429" s="19"/>
      <c r="EN429" s="19"/>
      <c r="EO429" s="19"/>
      <c r="EP429" s="19"/>
      <c r="EQ429" s="19"/>
      <c r="ER429" s="19"/>
      <c r="ES429" s="19"/>
      <c r="ET429" s="19"/>
      <c r="EU429" s="19"/>
      <c r="EV429" s="19"/>
      <c r="EW429" s="19"/>
      <c r="EX429" s="19"/>
      <c r="EY429" s="19"/>
      <c r="EZ429" s="19"/>
      <c r="FA429" s="19"/>
      <c r="FB429" s="19"/>
      <c r="FC429" s="19"/>
      <c r="FD429" s="19"/>
      <c r="FE429" s="19"/>
      <c r="FF429" s="19"/>
      <c r="FG429" s="19"/>
      <c r="FH429" s="19"/>
      <c r="FI429" s="19"/>
    </row>
    <row r="430" spans="1:165" x14ac:dyDescent="0.25">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c r="BE430" s="19"/>
      <c r="BF430" s="19"/>
      <c r="BG430" s="19"/>
      <c r="BH430" s="19"/>
      <c r="BI430" s="19"/>
      <c r="BJ430" s="19"/>
      <c r="BK430" s="19"/>
      <c r="BL430" s="19"/>
      <c r="BM430" s="19"/>
      <c r="BN430" s="19"/>
      <c r="BO430" s="19"/>
      <c r="BP430" s="19"/>
      <c r="BQ430" s="19"/>
      <c r="BR430" s="19"/>
      <c r="BS430" s="19"/>
      <c r="BT430" s="19"/>
      <c r="BU430" s="19"/>
      <c r="BV430" s="19"/>
      <c r="BW430" s="19"/>
      <c r="BX430" s="19"/>
      <c r="BY430" s="19"/>
      <c r="BZ430" s="19"/>
      <c r="CA430" s="19"/>
      <c r="CB430" s="19"/>
      <c r="CC430" s="19"/>
      <c r="CD430" s="19"/>
      <c r="CE430" s="19"/>
      <c r="CF430" s="19"/>
      <c r="CG430" s="19"/>
      <c r="CH430" s="19"/>
      <c r="CI430" s="19"/>
      <c r="CJ430" s="19"/>
      <c r="CK430" s="19"/>
      <c r="CL430" s="19"/>
      <c r="CM430" s="19"/>
      <c r="CN430" s="19"/>
      <c r="CO430" s="19"/>
      <c r="CP430" s="19"/>
      <c r="CQ430" s="19"/>
      <c r="CR430" s="19"/>
      <c r="CS430" s="19"/>
      <c r="CT430" s="19"/>
      <c r="CU430" s="19"/>
      <c r="CV430" s="19"/>
      <c r="CW430" s="19"/>
      <c r="CX430" s="19"/>
      <c r="CY430" s="19"/>
      <c r="CZ430" s="19"/>
      <c r="DA430" s="19"/>
      <c r="DB430" s="19"/>
      <c r="DC430" s="19"/>
      <c r="DD430" s="19"/>
      <c r="DE430" s="19"/>
      <c r="DF430" s="19"/>
      <c r="DG430" s="19"/>
      <c r="DH430" s="19"/>
      <c r="DI430" s="19"/>
      <c r="DJ430" s="19"/>
      <c r="DK430" s="19"/>
      <c r="DL430" s="19"/>
      <c r="DM430" s="19"/>
      <c r="DN430" s="19"/>
      <c r="DO430" s="19"/>
      <c r="DP430" s="19"/>
      <c r="DQ430" s="19"/>
      <c r="DR430" s="19"/>
      <c r="DS430" s="19"/>
      <c r="DT430" s="19"/>
      <c r="DU430" s="19"/>
      <c r="DV430" s="19"/>
      <c r="DW430" s="19"/>
      <c r="DX430" s="19"/>
      <c r="DY430" s="19"/>
      <c r="DZ430" s="19"/>
      <c r="EA430" s="19"/>
      <c r="EB430" s="19"/>
      <c r="EC430" s="19"/>
      <c r="ED430" s="19"/>
      <c r="EE430" s="19"/>
      <c r="EF430" s="19"/>
      <c r="EG430" s="19"/>
      <c r="EH430" s="19"/>
      <c r="EI430" s="19"/>
      <c r="EJ430" s="19"/>
      <c r="EK430" s="19"/>
      <c r="EL430" s="19"/>
      <c r="EM430" s="19"/>
      <c r="EN430" s="19"/>
      <c r="EO430" s="19"/>
      <c r="EP430" s="19"/>
      <c r="EQ430" s="19"/>
      <c r="ER430" s="19"/>
      <c r="ES430" s="19"/>
      <c r="ET430" s="19"/>
      <c r="EU430" s="19"/>
      <c r="EV430" s="19"/>
      <c r="EW430" s="19"/>
      <c r="EX430" s="19"/>
      <c r="EY430" s="19"/>
      <c r="EZ430" s="19"/>
      <c r="FA430" s="19"/>
      <c r="FB430" s="19"/>
      <c r="FC430" s="19"/>
      <c r="FD430" s="19"/>
      <c r="FE430" s="19"/>
      <c r="FF430" s="19"/>
      <c r="FG430" s="19"/>
      <c r="FH430" s="19"/>
      <c r="FI430" s="19"/>
    </row>
    <row r="431" spans="1:165" x14ac:dyDescent="0.25">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c r="BE431" s="19"/>
      <c r="BF431" s="19"/>
      <c r="BG431" s="19"/>
      <c r="BH431" s="19"/>
      <c r="BI431" s="19"/>
      <c r="BJ431" s="19"/>
      <c r="BK431" s="19"/>
      <c r="BL431" s="19"/>
      <c r="BM431" s="19"/>
      <c r="BN431" s="19"/>
      <c r="BO431" s="19"/>
      <c r="BP431" s="19"/>
      <c r="BQ431" s="19"/>
      <c r="BR431" s="19"/>
      <c r="BS431" s="19"/>
      <c r="BT431" s="19"/>
      <c r="BU431" s="19"/>
      <c r="BV431" s="19"/>
      <c r="BW431" s="19"/>
      <c r="BX431" s="19"/>
      <c r="BY431" s="19"/>
      <c r="BZ431" s="19"/>
      <c r="CA431" s="19"/>
      <c r="CB431" s="19"/>
      <c r="CC431" s="19"/>
      <c r="CD431" s="19"/>
      <c r="CE431" s="19"/>
      <c r="CF431" s="19"/>
      <c r="CG431" s="19"/>
      <c r="CH431" s="19"/>
      <c r="CI431" s="19"/>
      <c r="CJ431" s="19"/>
      <c r="CK431" s="19"/>
      <c r="CL431" s="19"/>
      <c r="CM431" s="19"/>
      <c r="CN431" s="19"/>
      <c r="CO431" s="19"/>
      <c r="CP431" s="19"/>
      <c r="CQ431" s="19"/>
      <c r="CR431" s="19"/>
      <c r="CS431" s="19"/>
      <c r="CT431" s="19"/>
      <c r="CU431" s="19"/>
      <c r="CV431" s="19"/>
      <c r="CW431" s="19"/>
      <c r="CX431" s="19"/>
      <c r="CY431" s="19"/>
      <c r="CZ431" s="19"/>
      <c r="DA431" s="19"/>
      <c r="DB431" s="19"/>
      <c r="DC431" s="19"/>
      <c r="DD431" s="19"/>
      <c r="DE431" s="19"/>
      <c r="DF431" s="19"/>
      <c r="DG431" s="19"/>
      <c r="DH431" s="19"/>
      <c r="DI431" s="19"/>
      <c r="DJ431" s="19"/>
      <c r="DK431" s="19"/>
      <c r="DL431" s="19"/>
      <c r="DM431" s="19"/>
      <c r="DN431" s="19"/>
      <c r="DO431" s="19"/>
      <c r="DP431" s="19"/>
      <c r="DQ431" s="19"/>
      <c r="DR431" s="19"/>
      <c r="DS431" s="19"/>
      <c r="DT431" s="19"/>
      <c r="DU431" s="19"/>
      <c r="DV431" s="19"/>
      <c r="DW431" s="19"/>
      <c r="DX431" s="19"/>
      <c r="DY431" s="19"/>
      <c r="DZ431" s="19"/>
      <c r="EA431" s="19"/>
      <c r="EB431" s="19"/>
      <c r="EC431" s="19"/>
      <c r="ED431" s="19"/>
      <c r="EE431" s="19"/>
      <c r="EF431" s="19"/>
      <c r="EG431" s="19"/>
      <c r="EH431" s="19"/>
      <c r="EI431" s="19"/>
      <c r="EJ431" s="19"/>
      <c r="EK431" s="19"/>
      <c r="EL431" s="19"/>
      <c r="EM431" s="19"/>
      <c r="EN431" s="19"/>
      <c r="EO431" s="19"/>
      <c r="EP431" s="19"/>
      <c r="EQ431" s="19"/>
      <c r="ER431" s="19"/>
      <c r="ES431" s="19"/>
      <c r="ET431" s="19"/>
      <c r="EU431" s="19"/>
      <c r="EV431" s="19"/>
      <c r="EW431" s="19"/>
      <c r="EX431" s="19"/>
      <c r="EY431" s="19"/>
      <c r="EZ431" s="19"/>
      <c r="FA431" s="19"/>
      <c r="FB431" s="19"/>
      <c r="FC431" s="19"/>
      <c r="FD431" s="19"/>
      <c r="FE431" s="19"/>
      <c r="FF431" s="19"/>
      <c r="FG431" s="19"/>
      <c r="FH431" s="19"/>
      <c r="FI431" s="19"/>
    </row>
    <row r="432" spans="1:165" x14ac:dyDescent="0.25">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c r="BE432" s="19"/>
      <c r="BF432" s="19"/>
      <c r="BG432" s="19"/>
      <c r="BH432" s="19"/>
      <c r="BI432" s="19"/>
      <c r="BJ432" s="19"/>
      <c r="BK432" s="19"/>
      <c r="BL432" s="19"/>
      <c r="BM432" s="19"/>
      <c r="BN432" s="19"/>
      <c r="BO432" s="19"/>
      <c r="BP432" s="19"/>
      <c r="BQ432" s="19"/>
      <c r="BR432" s="19"/>
      <c r="BS432" s="19"/>
      <c r="BT432" s="19"/>
      <c r="BU432" s="19"/>
      <c r="BV432" s="19"/>
      <c r="BW432" s="19"/>
      <c r="BX432" s="19"/>
      <c r="BY432" s="19"/>
      <c r="BZ432" s="19"/>
      <c r="CA432" s="19"/>
      <c r="CB432" s="19"/>
      <c r="CC432" s="19"/>
      <c r="CD432" s="19"/>
      <c r="CE432" s="19"/>
      <c r="CF432" s="19"/>
      <c r="CG432" s="19"/>
      <c r="CH432" s="19"/>
      <c r="CI432" s="19"/>
      <c r="CJ432" s="19"/>
      <c r="CK432" s="19"/>
      <c r="CL432" s="19"/>
      <c r="CM432" s="19"/>
      <c r="CN432" s="19"/>
      <c r="CO432" s="19"/>
      <c r="CP432" s="19"/>
      <c r="CQ432" s="19"/>
      <c r="CR432" s="19"/>
      <c r="CS432" s="19"/>
      <c r="CT432" s="19"/>
      <c r="CU432" s="19"/>
      <c r="CV432" s="19"/>
      <c r="CW432" s="19"/>
      <c r="CX432" s="19"/>
      <c r="CY432" s="19"/>
      <c r="CZ432" s="19"/>
      <c r="DA432" s="19"/>
      <c r="DB432" s="19"/>
      <c r="DC432" s="19"/>
      <c r="DD432" s="19"/>
      <c r="DE432" s="19"/>
      <c r="DF432" s="19"/>
      <c r="DG432" s="19"/>
      <c r="DH432" s="19"/>
      <c r="DI432" s="19"/>
      <c r="DJ432" s="19"/>
      <c r="DK432" s="19"/>
      <c r="DL432" s="19"/>
      <c r="DM432" s="19"/>
      <c r="DN432" s="19"/>
      <c r="DO432" s="19"/>
      <c r="DP432" s="19"/>
      <c r="DQ432" s="19"/>
      <c r="DR432" s="19"/>
      <c r="DS432" s="19"/>
      <c r="DT432" s="19"/>
      <c r="DU432" s="19"/>
      <c r="DV432" s="19"/>
      <c r="DW432" s="19"/>
      <c r="DX432" s="19"/>
      <c r="DY432" s="19"/>
      <c r="DZ432" s="19"/>
      <c r="EA432" s="19"/>
      <c r="EB432" s="19"/>
      <c r="EC432" s="19"/>
      <c r="ED432" s="19"/>
      <c r="EE432" s="19"/>
      <c r="EF432" s="19"/>
      <c r="EG432" s="19"/>
      <c r="EH432" s="19"/>
      <c r="EI432" s="19"/>
      <c r="EJ432" s="19"/>
      <c r="EK432" s="19"/>
      <c r="EL432" s="19"/>
      <c r="EM432" s="19"/>
      <c r="EN432" s="19"/>
      <c r="EO432" s="19"/>
      <c r="EP432" s="19"/>
      <c r="EQ432" s="19"/>
      <c r="ER432" s="19"/>
      <c r="ES432" s="19"/>
      <c r="ET432" s="19"/>
      <c r="EU432" s="19"/>
      <c r="EV432" s="19"/>
      <c r="EW432" s="19"/>
      <c r="EX432" s="19"/>
      <c r="EY432" s="19"/>
      <c r="EZ432" s="19"/>
      <c r="FA432" s="19"/>
      <c r="FB432" s="19"/>
      <c r="FC432" s="19"/>
      <c r="FD432" s="19"/>
      <c r="FE432" s="19"/>
      <c r="FF432" s="19"/>
      <c r="FG432" s="19"/>
      <c r="FH432" s="19"/>
      <c r="FI432" s="19"/>
    </row>
    <row r="433" spans="1:165" x14ac:dyDescent="0.25">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c r="BE433" s="19"/>
      <c r="BF433" s="19"/>
      <c r="BG433" s="19"/>
      <c r="BH433" s="19"/>
      <c r="BI433" s="19"/>
      <c r="BJ433" s="19"/>
      <c r="BK433" s="19"/>
      <c r="BL433" s="19"/>
      <c r="BM433" s="19"/>
      <c r="BN433" s="19"/>
      <c r="BO433" s="19"/>
      <c r="BP433" s="19"/>
      <c r="BQ433" s="19"/>
      <c r="BR433" s="19"/>
      <c r="BS433" s="19"/>
      <c r="BT433" s="19"/>
      <c r="BU433" s="19"/>
      <c r="BV433" s="19"/>
      <c r="BW433" s="19"/>
      <c r="BX433" s="19"/>
      <c r="BY433" s="19"/>
      <c r="BZ433" s="19"/>
      <c r="CA433" s="19"/>
      <c r="CB433" s="19"/>
      <c r="CC433" s="19"/>
      <c r="CD433" s="19"/>
      <c r="CE433" s="19"/>
      <c r="CF433" s="19"/>
      <c r="CG433" s="19"/>
      <c r="CH433" s="19"/>
      <c r="CI433" s="19"/>
      <c r="CJ433" s="19"/>
      <c r="CK433" s="19"/>
      <c r="CL433" s="19"/>
      <c r="CM433" s="19"/>
      <c r="CN433" s="19"/>
      <c r="CO433" s="19"/>
      <c r="CP433" s="19"/>
      <c r="CQ433" s="19"/>
      <c r="CR433" s="19"/>
      <c r="CS433" s="19"/>
      <c r="CT433" s="19"/>
      <c r="CU433" s="19"/>
      <c r="CV433" s="19"/>
      <c r="CW433" s="19"/>
      <c r="CX433" s="19"/>
      <c r="CY433" s="19"/>
      <c r="CZ433" s="19"/>
      <c r="DA433" s="19"/>
      <c r="DB433" s="19"/>
      <c r="DC433" s="19"/>
      <c r="DD433" s="19"/>
      <c r="DE433" s="19"/>
      <c r="DF433" s="19"/>
      <c r="DG433" s="19"/>
      <c r="DH433" s="19"/>
      <c r="DI433" s="19"/>
      <c r="DJ433" s="19"/>
      <c r="DK433" s="19"/>
      <c r="DL433" s="19"/>
      <c r="DM433" s="19"/>
      <c r="DN433" s="19"/>
      <c r="DO433" s="19"/>
      <c r="DP433" s="19"/>
      <c r="DQ433" s="19"/>
      <c r="DR433" s="19"/>
      <c r="DS433" s="19"/>
      <c r="DT433" s="19"/>
      <c r="DU433" s="19"/>
      <c r="DV433" s="19"/>
      <c r="DW433" s="19"/>
      <c r="DX433" s="19"/>
      <c r="DY433" s="19"/>
      <c r="DZ433" s="19"/>
      <c r="EA433" s="19"/>
      <c r="EB433" s="19"/>
      <c r="EC433" s="19"/>
      <c r="ED433" s="19"/>
      <c r="EE433" s="19"/>
      <c r="EF433" s="19"/>
      <c r="EG433" s="19"/>
      <c r="EH433" s="19"/>
      <c r="EI433" s="19"/>
      <c r="EJ433" s="19"/>
      <c r="EK433" s="19"/>
      <c r="EL433" s="19"/>
      <c r="EM433" s="19"/>
      <c r="EN433" s="19"/>
      <c r="EO433" s="19"/>
      <c r="EP433" s="19"/>
      <c r="EQ433" s="19"/>
      <c r="ER433" s="19"/>
      <c r="ES433" s="19"/>
      <c r="ET433" s="19"/>
      <c r="EU433" s="19"/>
      <c r="EV433" s="19"/>
      <c r="EW433" s="19"/>
      <c r="EX433" s="19"/>
      <c r="EY433" s="19"/>
      <c r="EZ433" s="19"/>
      <c r="FA433" s="19"/>
      <c r="FB433" s="19"/>
      <c r="FC433" s="19"/>
      <c r="FD433" s="19"/>
      <c r="FE433" s="19"/>
      <c r="FF433" s="19"/>
      <c r="FG433" s="19"/>
      <c r="FH433" s="19"/>
      <c r="FI433" s="19"/>
    </row>
    <row r="434" spans="1:165" x14ac:dyDescent="0.25">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c r="BE434" s="19"/>
      <c r="BF434" s="19"/>
      <c r="BG434" s="19"/>
      <c r="BH434" s="19"/>
      <c r="BI434" s="19"/>
      <c r="BJ434" s="19"/>
      <c r="BK434" s="19"/>
      <c r="BL434" s="19"/>
      <c r="BM434" s="19"/>
      <c r="BN434" s="19"/>
      <c r="BO434" s="19"/>
      <c r="BP434" s="19"/>
      <c r="BQ434" s="19"/>
      <c r="BR434" s="19"/>
      <c r="BS434" s="19"/>
      <c r="BT434" s="19"/>
      <c r="BU434" s="19"/>
      <c r="BV434" s="19"/>
      <c r="BW434" s="19"/>
      <c r="BX434" s="19"/>
      <c r="BY434" s="19"/>
      <c r="BZ434" s="19"/>
      <c r="CA434" s="19"/>
      <c r="CB434" s="19"/>
      <c r="CC434" s="19"/>
      <c r="CD434" s="19"/>
      <c r="CE434" s="19"/>
      <c r="CF434" s="19"/>
      <c r="CG434" s="19"/>
      <c r="CH434" s="19"/>
      <c r="CI434" s="19"/>
      <c r="CJ434" s="19"/>
      <c r="CK434" s="19"/>
      <c r="CL434" s="19"/>
      <c r="CM434" s="19"/>
      <c r="CN434" s="19"/>
      <c r="CO434" s="19"/>
      <c r="CP434" s="19"/>
      <c r="CQ434" s="19"/>
      <c r="CR434" s="19"/>
      <c r="CS434" s="19"/>
      <c r="CT434" s="19"/>
      <c r="CU434" s="19"/>
      <c r="CV434" s="19"/>
      <c r="CW434" s="19"/>
      <c r="CX434" s="19"/>
      <c r="CY434" s="19"/>
      <c r="CZ434" s="19"/>
      <c r="DA434" s="19"/>
      <c r="DB434" s="19"/>
      <c r="DC434" s="19"/>
      <c r="DD434" s="19"/>
      <c r="DE434" s="19"/>
      <c r="DF434" s="19"/>
      <c r="DG434" s="19"/>
      <c r="DH434" s="19"/>
      <c r="DI434" s="19"/>
      <c r="DJ434" s="19"/>
      <c r="DK434" s="19"/>
      <c r="DL434" s="19"/>
      <c r="DM434" s="19"/>
      <c r="DN434" s="19"/>
      <c r="DO434" s="19"/>
      <c r="DP434" s="19"/>
      <c r="DQ434" s="19"/>
      <c r="DR434" s="19"/>
      <c r="DS434" s="19"/>
      <c r="DT434" s="19"/>
      <c r="DU434" s="19"/>
      <c r="DV434" s="19"/>
      <c r="DW434" s="19"/>
      <c r="DX434" s="19"/>
      <c r="DY434" s="19"/>
      <c r="DZ434" s="19"/>
      <c r="EA434" s="19"/>
      <c r="EB434" s="19"/>
      <c r="EC434" s="19"/>
      <c r="ED434" s="19"/>
      <c r="EE434" s="19"/>
      <c r="EF434" s="19"/>
      <c r="EG434" s="19"/>
      <c r="EH434" s="19"/>
      <c r="EI434" s="19"/>
      <c r="EJ434" s="19"/>
      <c r="EK434" s="19"/>
      <c r="EL434" s="19"/>
      <c r="EM434" s="19"/>
      <c r="EN434" s="19"/>
      <c r="EO434" s="19"/>
      <c r="EP434" s="19"/>
      <c r="EQ434" s="19"/>
      <c r="ER434" s="19"/>
      <c r="ES434" s="19"/>
      <c r="ET434" s="19"/>
      <c r="EU434" s="19"/>
      <c r="EV434" s="19"/>
      <c r="EW434" s="19"/>
      <c r="EX434" s="19"/>
      <c r="EY434" s="19"/>
      <c r="EZ434" s="19"/>
      <c r="FA434" s="19"/>
      <c r="FB434" s="19"/>
      <c r="FC434" s="19"/>
      <c r="FD434" s="19"/>
      <c r="FE434" s="19"/>
      <c r="FF434" s="19"/>
      <c r="FG434" s="19"/>
      <c r="FH434" s="19"/>
      <c r="FI434" s="19"/>
    </row>
    <row r="435" spans="1:165" x14ac:dyDescent="0.25">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c r="BE435" s="19"/>
      <c r="BF435" s="19"/>
      <c r="BG435" s="19"/>
      <c r="BH435" s="19"/>
      <c r="BI435" s="19"/>
      <c r="BJ435" s="19"/>
      <c r="BK435" s="19"/>
      <c r="BL435" s="19"/>
      <c r="BM435" s="19"/>
      <c r="BN435" s="19"/>
      <c r="BO435" s="19"/>
      <c r="BP435" s="19"/>
      <c r="BQ435" s="19"/>
      <c r="BR435" s="19"/>
      <c r="BS435" s="19"/>
      <c r="BT435" s="19"/>
      <c r="BU435" s="19"/>
      <c r="BV435" s="19"/>
      <c r="BW435" s="19"/>
      <c r="BX435" s="19"/>
      <c r="BY435" s="19"/>
      <c r="BZ435" s="19"/>
      <c r="CA435" s="19"/>
      <c r="CB435" s="19"/>
      <c r="CC435" s="19"/>
      <c r="CD435" s="19"/>
      <c r="CE435" s="19"/>
      <c r="CF435" s="19"/>
      <c r="CG435" s="19"/>
      <c r="CH435" s="19"/>
      <c r="CI435" s="19"/>
      <c r="CJ435" s="19"/>
      <c r="CK435" s="19"/>
      <c r="CL435" s="19"/>
      <c r="CM435" s="19"/>
      <c r="CN435" s="19"/>
      <c r="CO435" s="19"/>
      <c r="CP435" s="19"/>
      <c r="CQ435" s="19"/>
      <c r="CR435" s="19"/>
      <c r="CS435" s="19"/>
      <c r="CT435" s="19"/>
      <c r="CU435" s="19"/>
      <c r="CV435" s="19"/>
      <c r="CW435" s="19"/>
      <c r="CX435" s="19"/>
      <c r="CY435" s="19"/>
      <c r="CZ435" s="19"/>
      <c r="DA435" s="19"/>
      <c r="DB435" s="19"/>
      <c r="DC435" s="19"/>
      <c r="DD435" s="19"/>
      <c r="DE435" s="19"/>
      <c r="DF435" s="19"/>
      <c r="DG435" s="19"/>
      <c r="DH435" s="19"/>
      <c r="DI435" s="19"/>
      <c r="DJ435" s="19"/>
      <c r="DK435" s="19"/>
      <c r="DL435" s="19"/>
      <c r="DM435" s="19"/>
      <c r="DN435" s="19"/>
      <c r="DO435" s="19"/>
      <c r="DP435" s="19"/>
      <c r="DQ435" s="19"/>
      <c r="DR435" s="19"/>
      <c r="DS435" s="19"/>
      <c r="DT435" s="19"/>
      <c r="DU435" s="19"/>
      <c r="DV435" s="19"/>
      <c r="DW435" s="19"/>
      <c r="DX435" s="19"/>
      <c r="DY435" s="19"/>
      <c r="DZ435" s="19"/>
      <c r="EA435" s="19"/>
      <c r="EB435" s="19"/>
      <c r="EC435" s="19"/>
      <c r="ED435" s="19"/>
      <c r="EE435" s="19"/>
      <c r="EF435" s="19"/>
      <c r="EG435" s="19"/>
      <c r="EH435" s="19"/>
      <c r="EI435" s="19"/>
      <c r="EJ435" s="19"/>
      <c r="EK435" s="19"/>
      <c r="EL435" s="19"/>
      <c r="EM435" s="19"/>
      <c r="EN435" s="19"/>
      <c r="EO435" s="19"/>
      <c r="EP435" s="19"/>
      <c r="EQ435" s="19"/>
      <c r="ER435" s="19"/>
      <c r="ES435" s="19"/>
      <c r="ET435" s="19"/>
      <c r="EU435" s="19"/>
      <c r="EV435" s="19"/>
      <c r="EW435" s="19"/>
      <c r="EX435" s="19"/>
      <c r="EY435" s="19"/>
      <c r="EZ435" s="19"/>
      <c r="FA435" s="19"/>
      <c r="FB435" s="19"/>
      <c r="FC435" s="19"/>
      <c r="FD435" s="19"/>
      <c r="FE435" s="19"/>
      <c r="FF435" s="19"/>
      <c r="FG435" s="19"/>
      <c r="FH435" s="19"/>
      <c r="FI435" s="19"/>
    </row>
    <row r="436" spans="1:165" x14ac:dyDescent="0.25">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c r="BE436" s="19"/>
      <c r="BF436" s="19"/>
      <c r="BG436" s="19"/>
      <c r="BH436" s="19"/>
      <c r="BI436" s="19"/>
      <c r="BJ436" s="19"/>
      <c r="BK436" s="19"/>
      <c r="BL436" s="19"/>
      <c r="BM436" s="19"/>
      <c r="BN436" s="19"/>
      <c r="BO436" s="19"/>
      <c r="BP436" s="19"/>
      <c r="BQ436" s="19"/>
      <c r="BR436" s="19"/>
      <c r="BS436" s="19"/>
      <c r="BT436" s="19"/>
      <c r="BU436" s="19"/>
      <c r="BV436" s="19"/>
      <c r="BW436" s="19"/>
      <c r="BX436" s="19"/>
      <c r="BY436" s="19"/>
      <c r="BZ436" s="19"/>
      <c r="CA436" s="19"/>
      <c r="CB436" s="19"/>
      <c r="CC436" s="19"/>
      <c r="CD436" s="19"/>
      <c r="CE436" s="19"/>
      <c r="CF436" s="19"/>
      <c r="CG436" s="19"/>
      <c r="CH436" s="19"/>
      <c r="CI436" s="19"/>
      <c r="CJ436" s="19"/>
      <c r="CK436" s="19"/>
      <c r="CL436" s="19"/>
      <c r="CM436" s="19"/>
      <c r="CN436" s="19"/>
      <c r="CO436" s="19"/>
      <c r="CP436" s="19"/>
      <c r="CQ436" s="19"/>
      <c r="CR436" s="19"/>
      <c r="CS436" s="19"/>
      <c r="CT436" s="19"/>
      <c r="CU436" s="19"/>
      <c r="CV436" s="19"/>
      <c r="CW436" s="19"/>
      <c r="CX436" s="19"/>
      <c r="CY436" s="19"/>
      <c r="CZ436" s="19"/>
      <c r="DA436" s="19"/>
      <c r="DB436" s="19"/>
      <c r="DC436" s="19"/>
      <c r="DD436" s="19"/>
      <c r="DE436" s="19"/>
      <c r="DF436" s="19"/>
      <c r="DG436" s="19"/>
      <c r="DH436" s="19"/>
      <c r="DI436" s="19"/>
      <c r="DJ436" s="19"/>
      <c r="DK436" s="19"/>
      <c r="DL436" s="19"/>
      <c r="DM436" s="19"/>
      <c r="DN436" s="19"/>
      <c r="DO436" s="19"/>
      <c r="DP436" s="19"/>
      <c r="DQ436" s="19"/>
      <c r="DR436" s="19"/>
      <c r="DS436" s="19"/>
      <c r="DT436" s="19"/>
      <c r="DU436" s="19"/>
      <c r="DV436" s="19"/>
      <c r="DW436" s="19"/>
      <c r="DX436" s="19"/>
      <c r="DY436" s="19"/>
      <c r="DZ436" s="19"/>
      <c r="EA436" s="19"/>
      <c r="EB436" s="19"/>
      <c r="EC436" s="19"/>
      <c r="ED436" s="19"/>
      <c r="EE436" s="19"/>
      <c r="EF436" s="19"/>
      <c r="EG436" s="19"/>
      <c r="EH436" s="19"/>
      <c r="EI436" s="19"/>
      <c r="EJ436" s="19"/>
      <c r="EK436" s="19"/>
      <c r="EL436" s="19"/>
      <c r="EM436" s="19"/>
      <c r="EN436" s="19"/>
      <c r="EO436" s="19"/>
      <c r="EP436" s="19"/>
      <c r="EQ436" s="19"/>
      <c r="ER436" s="19"/>
      <c r="ES436" s="19"/>
      <c r="ET436" s="19"/>
      <c r="EU436" s="19"/>
      <c r="EV436" s="19"/>
      <c r="EW436" s="19"/>
      <c r="EX436" s="19"/>
      <c r="EY436" s="19"/>
      <c r="EZ436" s="19"/>
      <c r="FA436" s="19"/>
      <c r="FB436" s="19"/>
      <c r="FC436" s="19"/>
      <c r="FD436" s="19"/>
      <c r="FE436" s="19"/>
      <c r="FF436" s="19"/>
      <c r="FG436" s="19"/>
      <c r="FH436" s="19"/>
      <c r="FI436" s="19"/>
    </row>
    <row r="437" spans="1:165" x14ac:dyDescent="0.25">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c r="BE437" s="19"/>
      <c r="BF437" s="19"/>
      <c r="BG437" s="19"/>
      <c r="BH437" s="19"/>
      <c r="BI437" s="19"/>
      <c r="BJ437" s="19"/>
      <c r="BK437" s="19"/>
      <c r="BL437" s="19"/>
      <c r="BM437" s="19"/>
      <c r="BN437" s="19"/>
      <c r="BO437" s="19"/>
      <c r="BP437" s="19"/>
      <c r="BQ437" s="19"/>
      <c r="BR437" s="19"/>
      <c r="BS437" s="19"/>
      <c r="BT437" s="19"/>
      <c r="BU437" s="19"/>
      <c r="BV437" s="19"/>
      <c r="BW437" s="19"/>
      <c r="BX437" s="19"/>
      <c r="BY437" s="19"/>
      <c r="BZ437" s="19"/>
      <c r="CA437" s="19"/>
      <c r="CB437" s="19"/>
      <c r="CC437" s="19"/>
      <c r="CD437" s="19"/>
      <c r="CE437" s="19"/>
      <c r="CF437" s="19"/>
      <c r="CG437" s="19"/>
      <c r="CH437" s="19"/>
      <c r="CI437" s="19"/>
      <c r="CJ437" s="19"/>
      <c r="CK437" s="19"/>
      <c r="CL437" s="19"/>
      <c r="CM437" s="19"/>
      <c r="CN437" s="19"/>
      <c r="CO437" s="19"/>
      <c r="CP437" s="19"/>
      <c r="CQ437" s="19"/>
      <c r="CR437" s="19"/>
      <c r="CS437" s="19"/>
      <c r="CT437" s="19"/>
      <c r="CU437" s="19"/>
      <c r="CV437" s="19"/>
      <c r="CW437" s="19"/>
      <c r="CX437" s="19"/>
      <c r="CY437" s="19"/>
      <c r="CZ437" s="19"/>
      <c r="DA437" s="19"/>
      <c r="DB437" s="19"/>
      <c r="DC437" s="19"/>
      <c r="DD437" s="19"/>
      <c r="DE437" s="19"/>
      <c r="DF437" s="19"/>
      <c r="DG437" s="19"/>
      <c r="DH437" s="19"/>
      <c r="DI437" s="19"/>
      <c r="DJ437" s="19"/>
      <c r="DK437" s="19"/>
      <c r="DL437" s="19"/>
      <c r="DM437" s="19"/>
      <c r="DN437" s="19"/>
      <c r="DO437" s="19"/>
      <c r="DP437" s="19"/>
      <c r="DQ437" s="19"/>
      <c r="DR437" s="19"/>
      <c r="DS437" s="19"/>
      <c r="DT437" s="19"/>
      <c r="DU437" s="19"/>
      <c r="DV437" s="19"/>
      <c r="DW437" s="19"/>
      <c r="DX437" s="19"/>
      <c r="DY437" s="19"/>
      <c r="DZ437" s="19"/>
      <c r="EA437" s="19"/>
      <c r="EB437" s="19"/>
      <c r="EC437" s="19"/>
      <c r="ED437" s="19"/>
      <c r="EE437" s="19"/>
      <c r="EF437" s="19"/>
      <c r="EG437" s="19"/>
      <c r="EH437" s="19"/>
      <c r="EI437" s="19"/>
      <c r="EJ437" s="19"/>
      <c r="EK437" s="19"/>
      <c r="EL437" s="19"/>
      <c r="EM437" s="19"/>
      <c r="EN437" s="19"/>
      <c r="EO437" s="19"/>
      <c r="EP437" s="19"/>
      <c r="EQ437" s="19"/>
      <c r="ER437" s="19"/>
      <c r="ES437" s="19"/>
      <c r="ET437" s="19"/>
      <c r="EU437" s="19"/>
      <c r="EV437" s="19"/>
      <c r="EW437" s="19"/>
      <c r="EX437" s="19"/>
      <c r="EY437" s="19"/>
      <c r="EZ437" s="19"/>
      <c r="FA437" s="19"/>
      <c r="FB437" s="19"/>
      <c r="FC437" s="19"/>
      <c r="FD437" s="19"/>
      <c r="FE437" s="19"/>
      <c r="FF437" s="19"/>
      <c r="FG437" s="19"/>
      <c r="FH437" s="19"/>
      <c r="FI437" s="19"/>
    </row>
    <row r="438" spans="1:165" x14ac:dyDescent="0.25">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c r="BE438" s="19"/>
      <c r="BF438" s="19"/>
      <c r="BG438" s="19"/>
      <c r="BH438" s="19"/>
      <c r="BI438" s="19"/>
      <c r="BJ438" s="19"/>
      <c r="BK438" s="19"/>
      <c r="BL438" s="19"/>
      <c r="BM438" s="19"/>
      <c r="BN438" s="19"/>
      <c r="BO438" s="19"/>
      <c r="BP438" s="19"/>
      <c r="BQ438" s="19"/>
      <c r="BR438" s="19"/>
      <c r="BS438" s="19"/>
      <c r="BT438" s="19"/>
      <c r="BU438" s="19"/>
      <c r="BV438" s="19"/>
      <c r="BW438" s="19"/>
      <c r="BX438" s="19"/>
      <c r="BY438" s="19"/>
      <c r="BZ438" s="19"/>
      <c r="CA438" s="19"/>
      <c r="CB438" s="19"/>
      <c r="CC438" s="19"/>
      <c r="CD438" s="19"/>
      <c r="CE438" s="19"/>
      <c r="CF438" s="19"/>
      <c r="CG438" s="19"/>
      <c r="CH438" s="19"/>
      <c r="CI438" s="19"/>
      <c r="CJ438" s="19"/>
      <c r="CK438" s="19"/>
      <c r="CL438" s="19"/>
      <c r="CM438" s="19"/>
      <c r="CN438" s="19"/>
      <c r="CO438" s="19"/>
      <c r="CP438" s="19"/>
      <c r="CQ438" s="19"/>
      <c r="CR438" s="19"/>
      <c r="CS438" s="19"/>
      <c r="CT438" s="19"/>
      <c r="CU438" s="19"/>
      <c r="CV438" s="19"/>
      <c r="CW438" s="19"/>
      <c r="CX438" s="19"/>
      <c r="CY438" s="19"/>
      <c r="CZ438" s="19"/>
      <c r="DA438" s="19"/>
      <c r="DB438" s="19"/>
      <c r="DC438" s="19"/>
      <c r="DD438" s="19"/>
      <c r="DE438" s="19"/>
      <c r="DF438" s="19"/>
      <c r="DG438" s="19"/>
      <c r="DH438" s="19"/>
      <c r="DI438" s="19"/>
      <c r="DJ438" s="19"/>
      <c r="DK438" s="19"/>
      <c r="DL438" s="19"/>
      <c r="DM438" s="19"/>
      <c r="DN438" s="19"/>
      <c r="DO438" s="19"/>
      <c r="DP438" s="19"/>
      <c r="DQ438" s="19"/>
      <c r="DR438" s="19"/>
      <c r="DS438" s="19"/>
      <c r="DT438" s="19"/>
      <c r="DU438" s="19"/>
      <c r="DV438" s="19"/>
      <c r="DW438" s="19"/>
      <c r="DX438" s="19"/>
      <c r="DY438" s="19"/>
      <c r="DZ438" s="19"/>
      <c r="EA438" s="19"/>
      <c r="EB438" s="19"/>
      <c r="EC438" s="19"/>
      <c r="ED438" s="19"/>
      <c r="EE438" s="19"/>
      <c r="EF438" s="19"/>
      <c r="EG438" s="19"/>
      <c r="EH438" s="19"/>
      <c r="EI438" s="19"/>
      <c r="EJ438" s="19"/>
      <c r="EK438" s="19"/>
      <c r="EL438" s="19"/>
      <c r="EM438" s="19"/>
      <c r="EN438" s="19"/>
      <c r="EO438" s="19"/>
      <c r="EP438" s="19"/>
      <c r="EQ438" s="19"/>
      <c r="ER438" s="19"/>
      <c r="ES438" s="19"/>
      <c r="ET438" s="19"/>
      <c r="EU438" s="19"/>
      <c r="EV438" s="19"/>
      <c r="EW438" s="19"/>
      <c r="EX438" s="19"/>
      <c r="EY438" s="19"/>
      <c r="EZ438" s="19"/>
      <c r="FA438" s="19"/>
      <c r="FB438" s="19"/>
      <c r="FC438" s="19"/>
      <c r="FD438" s="19"/>
      <c r="FE438" s="19"/>
      <c r="FF438" s="19"/>
      <c r="FG438" s="19"/>
      <c r="FH438" s="19"/>
      <c r="FI438" s="19"/>
    </row>
    <row r="439" spans="1:165" x14ac:dyDescent="0.25">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c r="BE439" s="19"/>
      <c r="BF439" s="19"/>
      <c r="BG439" s="19"/>
      <c r="BH439" s="19"/>
      <c r="BI439" s="19"/>
      <c r="BJ439" s="19"/>
      <c r="BK439" s="19"/>
      <c r="BL439" s="19"/>
      <c r="BM439" s="19"/>
      <c r="BN439" s="19"/>
      <c r="BO439" s="19"/>
      <c r="BP439" s="19"/>
      <c r="BQ439" s="19"/>
      <c r="BR439" s="19"/>
      <c r="BS439" s="19"/>
      <c r="BT439" s="19"/>
      <c r="BU439" s="19"/>
      <c r="BV439" s="19"/>
      <c r="BW439" s="19"/>
      <c r="BX439" s="19"/>
      <c r="BY439" s="19"/>
      <c r="BZ439" s="19"/>
      <c r="CA439" s="19"/>
      <c r="CB439" s="19"/>
      <c r="CC439" s="19"/>
      <c r="CD439" s="19"/>
      <c r="CE439" s="19"/>
      <c r="CF439" s="19"/>
      <c r="CG439" s="19"/>
      <c r="CH439" s="19"/>
      <c r="CI439" s="19"/>
      <c r="CJ439" s="19"/>
      <c r="CK439" s="19"/>
      <c r="CL439" s="19"/>
      <c r="CM439" s="19"/>
      <c r="CN439" s="19"/>
      <c r="CO439" s="19"/>
      <c r="CP439" s="19"/>
      <c r="CQ439" s="19"/>
      <c r="CR439" s="19"/>
      <c r="CS439" s="19"/>
      <c r="CT439" s="19"/>
      <c r="CU439" s="19"/>
      <c r="CV439" s="19"/>
      <c r="CW439" s="19"/>
      <c r="CX439" s="19"/>
      <c r="CY439" s="19"/>
      <c r="CZ439" s="19"/>
      <c r="DA439" s="19"/>
      <c r="DB439" s="19"/>
      <c r="DC439" s="19"/>
      <c r="DD439" s="19"/>
      <c r="DE439" s="19"/>
      <c r="DF439" s="19"/>
      <c r="DG439" s="19"/>
      <c r="DH439" s="19"/>
      <c r="DI439" s="19"/>
      <c r="DJ439" s="19"/>
      <c r="DK439" s="19"/>
      <c r="DL439" s="19"/>
      <c r="DM439" s="19"/>
      <c r="DN439" s="19"/>
      <c r="DO439" s="19"/>
      <c r="DP439" s="19"/>
      <c r="DQ439" s="19"/>
      <c r="DR439" s="19"/>
      <c r="DS439" s="19"/>
      <c r="DT439" s="19"/>
      <c r="DU439" s="19"/>
      <c r="DV439" s="19"/>
      <c r="DW439" s="19"/>
      <c r="DX439" s="19"/>
      <c r="DY439" s="19"/>
      <c r="DZ439" s="19"/>
      <c r="EA439" s="19"/>
      <c r="EB439" s="19"/>
      <c r="EC439" s="19"/>
      <c r="ED439" s="19"/>
      <c r="EE439" s="19"/>
      <c r="EF439" s="19"/>
      <c r="EG439" s="19"/>
      <c r="EH439" s="19"/>
      <c r="EI439" s="19"/>
      <c r="EJ439" s="19"/>
      <c r="EK439" s="19"/>
      <c r="EL439" s="19"/>
      <c r="EM439" s="19"/>
      <c r="EN439" s="19"/>
      <c r="EO439" s="19"/>
      <c r="EP439" s="19"/>
      <c r="EQ439" s="19"/>
      <c r="ER439" s="19"/>
      <c r="ES439" s="19"/>
      <c r="ET439" s="19"/>
      <c r="EU439" s="19"/>
      <c r="EV439" s="19"/>
      <c r="EW439" s="19"/>
      <c r="EX439" s="19"/>
      <c r="EY439" s="19"/>
      <c r="EZ439" s="19"/>
      <c r="FA439" s="19"/>
      <c r="FB439" s="19"/>
      <c r="FC439" s="19"/>
      <c r="FD439" s="19"/>
      <c r="FE439" s="19"/>
      <c r="FF439" s="19"/>
      <c r="FG439" s="19"/>
      <c r="FH439" s="19"/>
      <c r="FI439" s="19"/>
    </row>
    <row r="440" spans="1:165" x14ac:dyDescent="0.25">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c r="BE440" s="19"/>
      <c r="BF440" s="19"/>
      <c r="BG440" s="19"/>
      <c r="BH440" s="19"/>
      <c r="BI440" s="19"/>
      <c r="BJ440" s="19"/>
      <c r="BK440" s="19"/>
      <c r="BL440" s="19"/>
      <c r="BM440" s="19"/>
      <c r="BN440" s="19"/>
      <c r="BO440" s="19"/>
      <c r="BP440" s="19"/>
      <c r="BQ440" s="19"/>
      <c r="BR440" s="19"/>
      <c r="BS440" s="19"/>
      <c r="BT440" s="19"/>
      <c r="BU440" s="19"/>
      <c r="BV440" s="19"/>
      <c r="BW440" s="19"/>
      <c r="BX440" s="19"/>
      <c r="BY440" s="19"/>
      <c r="BZ440" s="19"/>
      <c r="CA440" s="19"/>
      <c r="CB440" s="19"/>
      <c r="CC440" s="19"/>
      <c r="CD440" s="19"/>
      <c r="CE440" s="19"/>
      <c r="CF440" s="19"/>
      <c r="CG440" s="19"/>
      <c r="CH440" s="19"/>
      <c r="CI440" s="19"/>
      <c r="CJ440" s="19"/>
      <c r="CK440" s="19"/>
      <c r="CL440" s="19"/>
      <c r="CM440" s="19"/>
      <c r="CN440" s="19"/>
      <c r="CO440" s="19"/>
      <c r="CP440" s="19"/>
      <c r="CQ440" s="19"/>
      <c r="CR440" s="19"/>
      <c r="CS440" s="19"/>
      <c r="CT440" s="19"/>
      <c r="CU440" s="19"/>
      <c r="CV440" s="19"/>
      <c r="CW440" s="19"/>
      <c r="CX440" s="19"/>
      <c r="CY440" s="19"/>
      <c r="CZ440" s="19"/>
      <c r="DA440" s="19"/>
      <c r="DB440" s="19"/>
      <c r="DC440" s="19"/>
      <c r="DD440" s="19"/>
      <c r="DE440" s="19"/>
      <c r="DF440" s="19"/>
      <c r="DG440" s="19"/>
      <c r="DH440" s="19"/>
      <c r="DI440" s="19"/>
      <c r="DJ440" s="19"/>
      <c r="DK440" s="19"/>
      <c r="DL440" s="19"/>
      <c r="DM440" s="19"/>
      <c r="DN440" s="19"/>
      <c r="DO440" s="19"/>
      <c r="DP440" s="19"/>
      <c r="DQ440" s="19"/>
      <c r="DR440" s="19"/>
      <c r="DS440" s="19"/>
      <c r="DT440" s="19"/>
      <c r="DU440" s="19"/>
      <c r="DV440" s="19"/>
      <c r="DW440" s="19"/>
      <c r="DX440" s="19"/>
      <c r="DY440" s="19"/>
      <c r="DZ440" s="19"/>
      <c r="EA440" s="19"/>
      <c r="EB440" s="19"/>
      <c r="EC440" s="19"/>
      <c r="ED440" s="19"/>
      <c r="EE440" s="19"/>
      <c r="EF440" s="19"/>
      <c r="EG440" s="19"/>
      <c r="EH440" s="19"/>
      <c r="EI440" s="19"/>
      <c r="EJ440" s="19"/>
      <c r="EK440" s="19"/>
      <c r="EL440" s="19"/>
      <c r="EM440" s="19"/>
      <c r="EN440" s="19"/>
      <c r="EO440" s="19"/>
      <c r="EP440" s="19"/>
      <c r="EQ440" s="19"/>
      <c r="ER440" s="19"/>
      <c r="ES440" s="19"/>
      <c r="ET440" s="19"/>
      <c r="EU440" s="19"/>
      <c r="EV440" s="19"/>
      <c r="EW440" s="19"/>
      <c r="EX440" s="19"/>
      <c r="EY440" s="19"/>
      <c r="EZ440" s="19"/>
      <c r="FA440" s="19"/>
      <c r="FB440" s="19"/>
      <c r="FC440" s="19"/>
      <c r="FD440" s="19"/>
      <c r="FE440" s="19"/>
      <c r="FF440" s="19"/>
      <c r="FG440" s="19"/>
      <c r="FH440" s="19"/>
      <c r="FI440" s="19"/>
    </row>
    <row r="441" spans="1:165" x14ac:dyDescent="0.25">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c r="BE441" s="19"/>
      <c r="BF441" s="19"/>
      <c r="BG441" s="19"/>
      <c r="BH441" s="19"/>
      <c r="BI441" s="19"/>
      <c r="BJ441" s="19"/>
      <c r="BK441" s="19"/>
      <c r="BL441" s="19"/>
      <c r="BM441" s="19"/>
      <c r="BN441" s="19"/>
      <c r="BO441" s="19"/>
      <c r="BP441" s="19"/>
      <c r="BQ441" s="19"/>
      <c r="BR441" s="19"/>
      <c r="BS441" s="19"/>
      <c r="BT441" s="19"/>
      <c r="BU441" s="19"/>
      <c r="BV441" s="19"/>
      <c r="BW441" s="19"/>
      <c r="BX441" s="19"/>
      <c r="BY441" s="19"/>
      <c r="BZ441" s="19"/>
      <c r="CA441" s="19"/>
      <c r="CB441" s="19"/>
      <c r="CC441" s="19"/>
      <c r="CD441" s="19"/>
      <c r="CE441" s="19"/>
      <c r="CF441" s="19"/>
      <c r="CG441" s="19"/>
      <c r="CH441" s="19"/>
      <c r="CI441" s="19"/>
      <c r="CJ441" s="19"/>
      <c r="CK441" s="19"/>
      <c r="CL441" s="19"/>
      <c r="CM441" s="19"/>
      <c r="CN441" s="19"/>
      <c r="CO441" s="19"/>
      <c r="CP441" s="19"/>
      <c r="CQ441" s="19"/>
      <c r="CR441" s="19"/>
      <c r="CS441" s="19"/>
      <c r="CT441" s="19"/>
      <c r="CU441" s="19"/>
      <c r="CV441" s="19"/>
      <c r="CW441" s="19"/>
      <c r="CX441" s="19"/>
      <c r="CY441" s="19"/>
      <c r="CZ441" s="19"/>
      <c r="DA441" s="19"/>
      <c r="DB441" s="19"/>
      <c r="DC441" s="19"/>
      <c r="DD441" s="19"/>
      <c r="DE441" s="19"/>
      <c r="DF441" s="19"/>
      <c r="DG441" s="19"/>
      <c r="DH441" s="19"/>
      <c r="DI441" s="19"/>
      <c r="DJ441" s="19"/>
      <c r="DK441" s="19"/>
      <c r="DL441" s="19"/>
      <c r="DM441" s="19"/>
      <c r="DN441" s="19"/>
      <c r="DO441" s="19"/>
      <c r="DP441" s="19"/>
      <c r="DQ441" s="19"/>
      <c r="DR441" s="19"/>
      <c r="DS441" s="19"/>
      <c r="DT441" s="19"/>
      <c r="DU441" s="19"/>
      <c r="DV441" s="19"/>
      <c r="DW441" s="19"/>
      <c r="DX441" s="19"/>
      <c r="DY441" s="19"/>
      <c r="DZ441" s="19"/>
      <c r="EA441" s="19"/>
      <c r="EB441" s="19"/>
      <c r="EC441" s="19"/>
      <c r="ED441" s="19"/>
      <c r="EE441" s="19"/>
      <c r="EF441" s="19"/>
      <c r="EG441" s="19"/>
      <c r="EH441" s="19"/>
      <c r="EI441" s="19"/>
      <c r="EJ441" s="19"/>
      <c r="EK441" s="19"/>
      <c r="EL441" s="19"/>
      <c r="EM441" s="19"/>
      <c r="EN441" s="19"/>
      <c r="EO441" s="19"/>
      <c r="EP441" s="19"/>
      <c r="EQ441" s="19"/>
      <c r="ER441" s="19"/>
      <c r="ES441" s="19"/>
      <c r="ET441" s="19"/>
      <c r="EU441" s="19"/>
      <c r="EV441" s="19"/>
      <c r="EW441" s="19"/>
      <c r="EX441" s="19"/>
      <c r="EY441" s="19"/>
      <c r="EZ441" s="19"/>
      <c r="FA441" s="19"/>
      <c r="FB441" s="19"/>
      <c r="FC441" s="19"/>
      <c r="FD441" s="19"/>
      <c r="FE441" s="19"/>
      <c r="FF441" s="19"/>
      <c r="FG441" s="19"/>
      <c r="FH441" s="19"/>
      <c r="FI441" s="19"/>
    </row>
    <row r="442" spans="1:165" x14ac:dyDescent="0.25">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c r="BE442" s="19"/>
      <c r="BF442" s="19"/>
      <c r="BG442" s="19"/>
      <c r="BH442" s="19"/>
      <c r="BI442" s="19"/>
      <c r="BJ442" s="19"/>
      <c r="BK442" s="19"/>
      <c r="BL442" s="19"/>
      <c r="BM442" s="19"/>
      <c r="BN442" s="19"/>
      <c r="BO442" s="19"/>
      <c r="BP442" s="19"/>
      <c r="BQ442" s="19"/>
      <c r="BR442" s="19"/>
      <c r="BS442" s="19"/>
      <c r="BT442" s="19"/>
      <c r="BU442" s="19"/>
      <c r="BV442" s="19"/>
      <c r="BW442" s="19"/>
      <c r="BX442" s="19"/>
      <c r="BY442" s="19"/>
      <c r="BZ442" s="19"/>
      <c r="CA442" s="19"/>
      <c r="CB442" s="19"/>
      <c r="CC442" s="19"/>
      <c r="CD442" s="19"/>
      <c r="CE442" s="19"/>
      <c r="CF442" s="19"/>
      <c r="CG442" s="19"/>
      <c r="CH442" s="19"/>
      <c r="CI442" s="19"/>
      <c r="CJ442" s="19"/>
      <c r="CK442" s="19"/>
      <c r="CL442" s="19"/>
      <c r="CM442" s="19"/>
      <c r="CN442" s="19"/>
      <c r="CO442" s="19"/>
      <c r="CP442" s="19"/>
      <c r="CQ442" s="19"/>
      <c r="CR442" s="19"/>
      <c r="CS442" s="19"/>
      <c r="CT442" s="19"/>
      <c r="CU442" s="19"/>
      <c r="CV442" s="19"/>
      <c r="CW442" s="19"/>
      <c r="CX442" s="19"/>
      <c r="CY442" s="19"/>
      <c r="CZ442" s="19"/>
      <c r="DA442" s="19"/>
      <c r="DB442" s="19"/>
      <c r="DC442" s="19"/>
      <c r="DD442" s="19"/>
      <c r="DE442" s="19"/>
      <c r="DF442" s="19"/>
      <c r="DG442" s="19"/>
      <c r="DH442" s="19"/>
      <c r="DI442" s="19"/>
      <c r="DJ442" s="19"/>
      <c r="DK442" s="19"/>
      <c r="DL442" s="19"/>
      <c r="DM442" s="19"/>
      <c r="DN442" s="19"/>
      <c r="DO442" s="19"/>
      <c r="DP442" s="19"/>
      <c r="DQ442" s="19"/>
      <c r="DR442" s="19"/>
      <c r="DS442" s="19"/>
      <c r="DT442" s="19"/>
      <c r="DU442" s="19"/>
      <c r="DV442" s="19"/>
      <c r="DW442" s="19"/>
      <c r="DX442" s="19"/>
      <c r="DY442" s="19"/>
      <c r="DZ442" s="19"/>
      <c r="EA442" s="19"/>
      <c r="EB442" s="19"/>
      <c r="EC442" s="19"/>
      <c r="ED442" s="19"/>
      <c r="EE442" s="19"/>
      <c r="EF442" s="19"/>
      <c r="EG442" s="19"/>
      <c r="EH442" s="19"/>
      <c r="EI442" s="19"/>
      <c r="EJ442" s="19"/>
      <c r="EK442" s="19"/>
      <c r="EL442" s="19"/>
      <c r="EM442" s="19"/>
      <c r="EN442" s="19"/>
      <c r="EO442" s="19"/>
      <c r="EP442" s="19"/>
      <c r="EQ442" s="19"/>
      <c r="ER442" s="19"/>
      <c r="ES442" s="19"/>
      <c r="ET442" s="19"/>
      <c r="EU442" s="19"/>
      <c r="EV442" s="19"/>
      <c r="EW442" s="19"/>
      <c r="EX442" s="19"/>
      <c r="EY442" s="19"/>
      <c r="EZ442" s="19"/>
      <c r="FA442" s="19"/>
      <c r="FB442" s="19"/>
      <c r="FC442" s="19"/>
      <c r="FD442" s="19"/>
      <c r="FE442" s="19"/>
      <c r="FF442" s="19"/>
      <c r="FG442" s="19"/>
      <c r="FH442" s="19"/>
      <c r="FI442" s="19"/>
    </row>
    <row r="443" spans="1:165" x14ac:dyDescent="0.25">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c r="BE443" s="19"/>
      <c r="BF443" s="19"/>
      <c r="BG443" s="19"/>
      <c r="BH443" s="19"/>
      <c r="BI443" s="19"/>
      <c r="BJ443" s="19"/>
      <c r="BK443" s="19"/>
      <c r="BL443" s="19"/>
      <c r="BM443" s="19"/>
      <c r="BN443" s="19"/>
      <c r="BO443" s="19"/>
      <c r="BP443" s="19"/>
      <c r="BQ443" s="19"/>
      <c r="BR443" s="19"/>
      <c r="BS443" s="19"/>
      <c r="BT443" s="19"/>
      <c r="BU443" s="19"/>
      <c r="BV443" s="19"/>
      <c r="BW443" s="19"/>
      <c r="BX443" s="19"/>
      <c r="BY443" s="19"/>
      <c r="BZ443" s="19"/>
      <c r="CA443" s="19"/>
      <c r="CB443" s="19"/>
      <c r="CC443" s="19"/>
      <c r="CD443" s="19"/>
      <c r="CE443" s="19"/>
      <c r="CF443" s="19"/>
      <c r="CG443" s="19"/>
      <c r="CH443" s="19"/>
      <c r="CI443" s="19"/>
      <c r="CJ443" s="19"/>
      <c r="CK443" s="19"/>
      <c r="CL443" s="19"/>
      <c r="CM443" s="19"/>
      <c r="CN443" s="19"/>
      <c r="CO443" s="19"/>
      <c r="CP443" s="19"/>
      <c r="CQ443" s="19"/>
      <c r="CR443" s="19"/>
      <c r="CS443" s="19"/>
      <c r="CT443" s="19"/>
      <c r="CU443" s="19"/>
      <c r="CV443" s="19"/>
      <c r="CW443" s="19"/>
      <c r="CX443" s="19"/>
      <c r="CY443" s="19"/>
      <c r="CZ443" s="19"/>
      <c r="DA443" s="19"/>
      <c r="DB443" s="19"/>
      <c r="DC443" s="19"/>
      <c r="DD443" s="19"/>
      <c r="DE443" s="19"/>
      <c r="DF443" s="19"/>
      <c r="DG443" s="19"/>
      <c r="DH443" s="19"/>
      <c r="DI443" s="19"/>
      <c r="DJ443" s="19"/>
      <c r="DK443" s="19"/>
      <c r="DL443" s="19"/>
      <c r="DM443" s="19"/>
      <c r="DN443" s="19"/>
      <c r="DO443" s="19"/>
      <c r="DP443" s="19"/>
      <c r="DQ443" s="19"/>
      <c r="DR443" s="19"/>
      <c r="DS443" s="19"/>
      <c r="DT443" s="19"/>
      <c r="DU443" s="19"/>
      <c r="DV443" s="19"/>
      <c r="DW443" s="19"/>
      <c r="DX443" s="19"/>
      <c r="DY443" s="19"/>
      <c r="DZ443" s="19"/>
      <c r="EA443" s="19"/>
      <c r="EB443" s="19"/>
      <c r="EC443" s="19"/>
      <c r="ED443" s="19"/>
      <c r="EE443" s="19"/>
      <c r="EF443" s="19"/>
      <c r="EG443" s="19"/>
      <c r="EH443" s="19"/>
      <c r="EI443" s="19"/>
      <c r="EJ443" s="19"/>
      <c r="EK443" s="19"/>
      <c r="EL443" s="19"/>
      <c r="EM443" s="19"/>
      <c r="EN443" s="19"/>
      <c r="EO443" s="19"/>
      <c r="EP443" s="19"/>
      <c r="EQ443" s="19"/>
      <c r="ER443" s="19"/>
      <c r="ES443" s="19"/>
      <c r="ET443" s="19"/>
      <c r="EU443" s="19"/>
      <c r="EV443" s="19"/>
      <c r="EW443" s="19"/>
      <c r="EX443" s="19"/>
      <c r="EY443" s="19"/>
      <c r="EZ443" s="19"/>
      <c r="FA443" s="19"/>
      <c r="FB443" s="19"/>
      <c r="FC443" s="19"/>
      <c r="FD443" s="19"/>
      <c r="FE443" s="19"/>
      <c r="FF443" s="19"/>
      <c r="FG443" s="19"/>
      <c r="FH443" s="19"/>
      <c r="FI443" s="19"/>
    </row>
    <row r="444" spans="1:165" x14ac:dyDescent="0.25">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c r="BE444" s="19"/>
      <c r="BF444" s="19"/>
      <c r="BG444" s="19"/>
      <c r="BH444" s="19"/>
      <c r="BI444" s="19"/>
      <c r="BJ444" s="19"/>
      <c r="BK444" s="19"/>
      <c r="BL444" s="19"/>
      <c r="BM444" s="19"/>
      <c r="BN444" s="19"/>
      <c r="BO444" s="19"/>
      <c r="BP444" s="19"/>
      <c r="BQ444" s="19"/>
      <c r="BR444" s="19"/>
      <c r="BS444" s="19"/>
      <c r="BT444" s="19"/>
      <c r="BU444" s="19"/>
      <c r="BV444" s="19"/>
      <c r="BW444" s="19"/>
      <c r="BX444" s="19"/>
      <c r="BY444" s="19"/>
      <c r="BZ444" s="19"/>
      <c r="CA444" s="19"/>
      <c r="CB444" s="19"/>
      <c r="CC444" s="19"/>
      <c r="CD444" s="19"/>
      <c r="CE444" s="19"/>
      <c r="CF444" s="19"/>
      <c r="CG444" s="19"/>
      <c r="CH444" s="19"/>
      <c r="CI444" s="19"/>
      <c r="CJ444" s="19"/>
      <c r="CK444" s="19"/>
      <c r="CL444" s="19"/>
      <c r="CM444" s="19"/>
      <c r="CN444" s="19"/>
      <c r="CO444" s="19"/>
      <c r="CP444" s="19"/>
      <c r="CQ444" s="19"/>
      <c r="CR444" s="19"/>
      <c r="CS444" s="19"/>
      <c r="CT444" s="19"/>
      <c r="CU444" s="19"/>
      <c r="CV444" s="19"/>
      <c r="CW444" s="19"/>
      <c r="CX444" s="19"/>
      <c r="CY444" s="19"/>
      <c r="CZ444" s="19"/>
      <c r="DA444" s="19"/>
      <c r="DB444" s="19"/>
      <c r="DC444" s="19"/>
      <c r="DD444" s="19"/>
      <c r="DE444" s="19"/>
      <c r="DF444" s="19"/>
      <c r="DG444" s="19"/>
      <c r="DH444" s="19"/>
      <c r="DI444" s="19"/>
      <c r="DJ444" s="19"/>
      <c r="DK444" s="19"/>
      <c r="DL444" s="19"/>
      <c r="DM444" s="19"/>
      <c r="DN444" s="19"/>
      <c r="DO444" s="19"/>
      <c r="DP444" s="19"/>
      <c r="DQ444" s="19"/>
      <c r="DR444" s="19"/>
      <c r="DS444" s="19"/>
      <c r="DT444" s="19"/>
      <c r="DU444" s="19"/>
      <c r="DV444" s="19"/>
      <c r="DW444" s="19"/>
      <c r="DX444" s="19"/>
      <c r="DY444" s="19"/>
      <c r="DZ444" s="19"/>
      <c r="EA444" s="19"/>
      <c r="EB444" s="19"/>
      <c r="EC444" s="19"/>
      <c r="ED444" s="19"/>
      <c r="EE444" s="19"/>
      <c r="EF444" s="19"/>
      <c r="EG444" s="19"/>
      <c r="EH444" s="19"/>
      <c r="EI444" s="19"/>
      <c r="EJ444" s="19"/>
      <c r="EK444" s="19"/>
      <c r="EL444" s="19"/>
      <c r="EM444" s="19"/>
      <c r="EN444" s="19"/>
      <c r="EO444" s="19"/>
      <c r="EP444" s="19"/>
      <c r="EQ444" s="19"/>
      <c r="ER444" s="19"/>
      <c r="ES444" s="19"/>
      <c r="ET444" s="19"/>
      <c r="EU444" s="19"/>
      <c r="EV444" s="19"/>
      <c r="EW444" s="19"/>
      <c r="EX444" s="19"/>
      <c r="EY444" s="19"/>
      <c r="EZ444" s="19"/>
      <c r="FA444" s="19"/>
      <c r="FB444" s="19"/>
      <c r="FC444" s="19"/>
      <c r="FD444" s="19"/>
      <c r="FE444" s="19"/>
      <c r="FF444" s="19"/>
      <c r="FG444" s="19"/>
      <c r="FH444" s="19"/>
      <c r="FI444" s="19"/>
    </row>
    <row r="445" spans="1:165" x14ac:dyDescent="0.25">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c r="BE445" s="19"/>
      <c r="BF445" s="19"/>
      <c r="BG445" s="19"/>
      <c r="BH445" s="19"/>
      <c r="BI445" s="19"/>
      <c r="BJ445" s="19"/>
      <c r="BK445" s="19"/>
      <c r="BL445" s="19"/>
      <c r="BM445" s="19"/>
      <c r="BN445" s="19"/>
      <c r="BO445" s="19"/>
      <c r="BP445" s="19"/>
      <c r="BQ445" s="19"/>
      <c r="BR445" s="19"/>
      <c r="BS445" s="19"/>
      <c r="BT445" s="19"/>
      <c r="BU445" s="19"/>
      <c r="BV445" s="19"/>
      <c r="BW445" s="19"/>
      <c r="BX445" s="19"/>
      <c r="BY445" s="19"/>
      <c r="BZ445" s="19"/>
      <c r="CA445" s="19"/>
      <c r="CB445" s="19"/>
      <c r="CC445" s="19"/>
      <c r="CD445" s="19"/>
      <c r="CE445" s="19"/>
      <c r="CF445" s="19"/>
      <c r="CG445" s="19"/>
      <c r="CH445" s="19"/>
      <c r="CI445" s="19"/>
      <c r="CJ445" s="19"/>
      <c r="CK445" s="19"/>
      <c r="CL445" s="19"/>
      <c r="CM445" s="19"/>
      <c r="CN445" s="19"/>
      <c r="CO445" s="19"/>
      <c r="CP445" s="19"/>
      <c r="CQ445" s="19"/>
      <c r="CR445" s="19"/>
      <c r="CS445" s="19"/>
      <c r="CT445" s="19"/>
      <c r="CU445" s="19"/>
      <c r="CV445" s="19"/>
      <c r="CW445" s="19"/>
      <c r="CX445" s="19"/>
      <c r="CY445" s="19"/>
      <c r="CZ445" s="19"/>
      <c r="DA445" s="19"/>
      <c r="DB445" s="19"/>
      <c r="DC445" s="19"/>
      <c r="DD445" s="19"/>
      <c r="DE445" s="19"/>
      <c r="DF445" s="19"/>
      <c r="DG445" s="19"/>
      <c r="DH445" s="19"/>
      <c r="DI445" s="19"/>
      <c r="DJ445" s="19"/>
      <c r="DK445" s="19"/>
      <c r="DL445" s="19"/>
      <c r="DM445" s="19"/>
      <c r="DN445" s="19"/>
      <c r="DO445" s="19"/>
      <c r="DP445" s="19"/>
      <c r="DQ445" s="19"/>
      <c r="DR445" s="19"/>
      <c r="DS445" s="19"/>
      <c r="DT445" s="19"/>
      <c r="DU445" s="19"/>
      <c r="DV445" s="19"/>
      <c r="DW445" s="19"/>
      <c r="DX445" s="19"/>
      <c r="DY445" s="19"/>
      <c r="DZ445" s="19"/>
      <c r="EA445" s="19"/>
      <c r="EB445" s="19"/>
      <c r="EC445" s="19"/>
      <c r="ED445" s="19"/>
      <c r="EE445" s="19"/>
      <c r="EF445" s="19"/>
      <c r="EG445" s="19"/>
      <c r="EH445" s="19"/>
      <c r="EI445" s="19"/>
      <c r="EJ445" s="19"/>
      <c r="EK445" s="19"/>
      <c r="EL445" s="19"/>
      <c r="EM445" s="19"/>
      <c r="EN445" s="19"/>
      <c r="EO445" s="19"/>
      <c r="EP445" s="19"/>
      <c r="EQ445" s="19"/>
      <c r="ER445" s="19"/>
      <c r="ES445" s="19"/>
      <c r="ET445" s="19"/>
      <c r="EU445" s="19"/>
      <c r="EV445" s="19"/>
      <c r="EW445" s="19"/>
      <c r="EX445" s="19"/>
      <c r="EY445" s="19"/>
      <c r="EZ445" s="19"/>
      <c r="FA445" s="19"/>
      <c r="FB445" s="19"/>
      <c r="FC445" s="19"/>
      <c r="FD445" s="19"/>
      <c r="FE445" s="19"/>
      <c r="FF445" s="19"/>
      <c r="FG445" s="19"/>
      <c r="FH445" s="19"/>
      <c r="FI445" s="19"/>
    </row>
    <row r="446" spans="1:165" x14ac:dyDescent="0.25">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c r="BE446" s="19"/>
      <c r="BF446" s="19"/>
      <c r="BG446" s="19"/>
      <c r="BH446" s="19"/>
      <c r="BI446" s="19"/>
      <c r="BJ446" s="19"/>
      <c r="BK446" s="19"/>
      <c r="BL446" s="19"/>
      <c r="BM446" s="19"/>
      <c r="BN446" s="19"/>
      <c r="BO446" s="19"/>
      <c r="BP446" s="19"/>
      <c r="BQ446" s="19"/>
      <c r="BR446" s="19"/>
      <c r="BS446" s="19"/>
      <c r="BT446" s="19"/>
      <c r="BU446" s="19"/>
      <c r="BV446" s="19"/>
      <c r="BW446" s="19"/>
      <c r="BX446" s="19"/>
      <c r="BY446" s="19"/>
      <c r="BZ446" s="19"/>
      <c r="CA446" s="19"/>
      <c r="CB446" s="19"/>
      <c r="CC446" s="19"/>
      <c r="CD446" s="19"/>
      <c r="CE446" s="19"/>
      <c r="CF446" s="19"/>
      <c r="CG446" s="19"/>
      <c r="CH446" s="19"/>
      <c r="CI446" s="19"/>
      <c r="CJ446" s="19"/>
      <c r="CK446" s="19"/>
      <c r="CL446" s="19"/>
      <c r="CM446" s="19"/>
      <c r="CN446" s="19"/>
      <c r="CO446" s="19"/>
      <c r="CP446" s="19"/>
      <c r="CQ446" s="19"/>
      <c r="CR446" s="19"/>
      <c r="CS446" s="19"/>
      <c r="CT446" s="19"/>
      <c r="CU446" s="19"/>
      <c r="CV446" s="19"/>
      <c r="CW446" s="19"/>
      <c r="CX446" s="19"/>
      <c r="CY446" s="19"/>
      <c r="CZ446" s="19"/>
      <c r="DA446" s="19"/>
      <c r="DB446" s="19"/>
      <c r="DC446" s="19"/>
      <c r="DD446" s="19"/>
      <c r="DE446" s="19"/>
      <c r="DF446" s="19"/>
      <c r="DG446" s="19"/>
      <c r="DH446" s="19"/>
      <c r="DI446" s="19"/>
      <c r="DJ446" s="19"/>
      <c r="DK446" s="19"/>
      <c r="DL446" s="19"/>
      <c r="DM446" s="19"/>
      <c r="DN446" s="19"/>
      <c r="DO446" s="19"/>
      <c r="DP446" s="19"/>
      <c r="DQ446" s="19"/>
      <c r="DR446" s="19"/>
      <c r="DS446" s="19"/>
      <c r="DT446" s="19"/>
      <c r="DU446" s="19"/>
      <c r="DV446" s="19"/>
      <c r="DW446" s="19"/>
      <c r="DX446" s="19"/>
      <c r="DY446" s="19"/>
      <c r="DZ446" s="19"/>
      <c r="EA446" s="19"/>
      <c r="EB446" s="19"/>
      <c r="EC446" s="19"/>
      <c r="ED446" s="19"/>
      <c r="EE446" s="19"/>
      <c r="EF446" s="19"/>
      <c r="EG446" s="19"/>
      <c r="EH446" s="19"/>
      <c r="EI446" s="19"/>
      <c r="EJ446" s="19"/>
      <c r="EK446" s="19"/>
      <c r="EL446" s="19"/>
      <c r="EM446" s="19"/>
      <c r="EN446" s="19"/>
      <c r="EO446" s="19"/>
      <c r="EP446" s="19"/>
      <c r="EQ446" s="19"/>
      <c r="ER446" s="19"/>
      <c r="ES446" s="19"/>
      <c r="ET446" s="19"/>
      <c r="EU446" s="19"/>
      <c r="EV446" s="19"/>
      <c r="EW446" s="19"/>
      <c r="EX446" s="19"/>
      <c r="EY446" s="19"/>
      <c r="EZ446" s="19"/>
      <c r="FA446" s="19"/>
      <c r="FB446" s="19"/>
      <c r="FC446" s="19"/>
      <c r="FD446" s="19"/>
      <c r="FE446" s="19"/>
      <c r="FF446" s="19"/>
      <c r="FG446" s="19"/>
      <c r="FH446" s="19"/>
      <c r="FI446" s="19"/>
    </row>
    <row r="447" spans="1:165" x14ac:dyDescent="0.25">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c r="BE447" s="19"/>
      <c r="BF447" s="19"/>
      <c r="BG447" s="19"/>
      <c r="BH447" s="19"/>
      <c r="BI447" s="19"/>
      <c r="BJ447" s="19"/>
      <c r="BK447" s="19"/>
      <c r="BL447" s="19"/>
      <c r="BM447" s="19"/>
      <c r="BN447" s="19"/>
      <c r="BO447" s="19"/>
      <c r="BP447" s="19"/>
      <c r="BQ447" s="19"/>
      <c r="BR447" s="19"/>
      <c r="BS447" s="19"/>
      <c r="BT447" s="19"/>
      <c r="BU447" s="19"/>
      <c r="BV447" s="19"/>
      <c r="BW447" s="19"/>
      <c r="BX447" s="19"/>
      <c r="BY447" s="19"/>
      <c r="BZ447" s="19"/>
      <c r="CA447" s="19"/>
      <c r="CB447" s="19"/>
      <c r="CC447" s="19"/>
      <c r="CD447" s="19"/>
      <c r="CE447" s="19"/>
      <c r="CF447" s="19"/>
      <c r="CG447" s="19"/>
      <c r="CH447" s="19"/>
      <c r="CI447" s="19"/>
      <c r="CJ447" s="19"/>
      <c r="CK447" s="19"/>
      <c r="CL447" s="19"/>
      <c r="CM447" s="19"/>
      <c r="CN447" s="19"/>
      <c r="CO447" s="19"/>
      <c r="CP447" s="19"/>
      <c r="CQ447" s="19"/>
      <c r="CR447" s="19"/>
      <c r="CS447" s="19"/>
      <c r="CT447" s="19"/>
      <c r="CU447" s="19"/>
      <c r="CV447" s="19"/>
      <c r="CW447" s="19"/>
      <c r="CX447" s="19"/>
      <c r="CY447" s="19"/>
      <c r="CZ447" s="19"/>
      <c r="DA447" s="19"/>
      <c r="DB447" s="19"/>
      <c r="DC447" s="19"/>
      <c r="DD447" s="19"/>
      <c r="DE447" s="19"/>
      <c r="DF447" s="19"/>
      <c r="DG447" s="19"/>
      <c r="DH447" s="19"/>
      <c r="DI447" s="19"/>
      <c r="DJ447" s="19"/>
      <c r="DK447" s="19"/>
      <c r="DL447" s="19"/>
      <c r="DM447" s="19"/>
      <c r="DN447" s="19"/>
      <c r="DO447" s="19"/>
      <c r="DP447" s="19"/>
      <c r="DQ447" s="19"/>
      <c r="DR447" s="19"/>
      <c r="DS447" s="19"/>
      <c r="DT447" s="19"/>
      <c r="DU447" s="19"/>
      <c r="DV447" s="19"/>
      <c r="DW447" s="19"/>
      <c r="DX447" s="19"/>
      <c r="DY447" s="19"/>
      <c r="DZ447" s="19"/>
      <c r="EA447" s="19"/>
      <c r="EB447" s="19"/>
      <c r="EC447" s="19"/>
      <c r="ED447" s="19"/>
      <c r="EE447" s="19"/>
      <c r="EF447" s="19"/>
      <c r="EG447" s="19"/>
      <c r="EH447" s="19"/>
      <c r="EI447" s="19"/>
      <c r="EJ447" s="19"/>
      <c r="EK447" s="19"/>
      <c r="EL447" s="19"/>
      <c r="EM447" s="19"/>
      <c r="EN447" s="19"/>
      <c r="EO447" s="19"/>
      <c r="EP447" s="19"/>
      <c r="EQ447" s="19"/>
      <c r="ER447" s="19"/>
      <c r="ES447" s="19"/>
      <c r="ET447" s="19"/>
      <c r="EU447" s="19"/>
      <c r="EV447" s="19"/>
      <c r="EW447" s="19"/>
      <c r="EX447" s="19"/>
      <c r="EY447" s="19"/>
      <c r="EZ447" s="19"/>
      <c r="FA447" s="19"/>
      <c r="FB447" s="19"/>
      <c r="FC447" s="19"/>
      <c r="FD447" s="19"/>
      <c r="FE447" s="19"/>
      <c r="FF447" s="19"/>
      <c r="FG447" s="19"/>
      <c r="FH447" s="19"/>
      <c r="FI447" s="19"/>
    </row>
    <row r="448" spans="1:165" x14ac:dyDescent="0.25">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c r="BE448" s="19"/>
      <c r="BF448" s="19"/>
      <c r="BG448" s="19"/>
      <c r="BH448" s="19"/>
      <c r="BI448" s="19"/>
      <c r="BJ448" s="19"/>
      <c r="BK448" s="19"/>
      <c r="BL448" s="19"/>
      <c r="BM448" s="19"/>
      <c r="BN448" s="19"/>
      <c r="BO448" s="19"/>
      <c r="BP448" s="19"/>
      <c r="BQ448" s="19"/>
      <c r="BR448" s="19"/>
      <c r="BS448" s="19"/>
      <c r="BT448" s="19"/>
      <c r="BU448" s="19"/>
      <c r="BV448" s="19"/>
      <c r="BW448" s="19"/>
      <c r="BX448" s="19"/>
      <c r="BY448" s="19"/>
      <c r="BZ448" s="19"/>
      <c r="CA448" s="19"/>
      <c r="CB448" s="19"/>
      <c r="CC448" s="19"/>
      <c r="CD448" s="19"/>
      <c r="CE448" s="19"/>
      <c r="CF448" s="19"/>
      <c r="CG448" s="19"/>
      <c r="CH448" s="19"/>
      <c r="CI448" s="19"/>
      <c r="CJ448" s="19"/>
      <c r="CK448" s="19"/>
      <c r="CL448" s="19"/>
      <c r="CM448" s="19"/>
      <c r="CN448" s="19"/>
      <c r="CO448" s="19"/>
      <c r="CP448" s="19"/>
      <c r="CQ448" s="19"/>
      <c r="CR448" s="19"/>
      <c r="CS448" s="19"/>
      <c r="CT448" s="19"/>
      <c r="CU448" s="19"/>
      <c r="CV448" s="19"/>
      <c r="CW448" s="19"/>
      <c r="CX448" s="19"/>
      <c r="CY448" s="19"/>
      <c r="CZ448" s="19"/>
      <c r="DA448" s="19"/>
      <c r="DB448" s="19"/>
      <c r="DC448" s="19"/>
      <c r="DD448" s="19"/>
      <c r="DE448" s="19"/>
      <c r="DF448" s="19"/>
      <c r="DG448" s="19"/>
      <c r="DH448" s="19"/>
      <c r="DI448" s="19"/>
      <c r="DJ448" s="19"/>
      <c r="DK448" s="19"/>
      <c r="DL448" s="19"/>
      <c r="DM448" s="19"/>
      <c r="DN448" s="19"/>
      <c r="DO448" s="19"/>
      <c r="DP448" s="19"/>
      <c r="DQ448" s="19"/>
      <c r="DR448" s="19"/>
      <c r="DS448" s="19"/>
      <c r="DT448" s="19"/>
      <c r="DU448" s="19"/>
      <c r="DV448" s="19"/>
      <c r="DW448" s="19"/>
      <c r="DX448" s="19"/>
      <c r="DY448" s="19"/>
      <c r="DZ448" s="19"/>
      <c r="EA448" s="19"/>
      <c r="EB448" s="19"/>
      <c r="EC448" s="19"/>
      <c r="ED448" s="19"/>
      <c r="EE448" s="19"/>
      <c r="EF448" s="19"/>
      <c r="EG448" s="19"/>
      <c r="EH448" s="19"/>
      <c r="EI448" s="19"/>
      <c r="EJ448" s="19"/>
      <c r="EK448" s="19"/>
      <c r="EL448" s="19"/>
      <c r="EM448" s="19"/>
      <c r="EN448" s="19"/>
      <c r="EO448" s="19"/>
      <c r="EP448" s="19"/>
      <c r="EQ448" s="19"/>
      <c r="ER448" s="19"/>
      <c r="ES448" s="19"/>
      <c r="ET448" s="19"/>
      <c r="EU448" s="19"/>
      <c r="EV448" s="19"/>
      <c r="EW448" s="19"/>
      <c r="EX448" s="19"/>
      <c r="EY448" s="19"/>
      <c r="EZ448" s="19"/>
      <c r="FA448" s="19"/>
      <c r="FB448" s="19"/>
      <c r="FC448" s="19"/>
      <c r="FD448" s="19"/>
      <c r="FE448" s="19"/>
      <c r="FF448" s="19"/>
      <c r="FG448" s="19"/>
      <c r="FH448" s="19"/>
      <c r="FI448" s="19"/>
    </row>
    <row r="449" spans="1:165" x14ac:dyDescent="0.25">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c r="BE449" s="19"/>
      <c r="BF449" s="19"/>
      <c r="BG449" s="19"/>
      <c r="BH449" s="19"/>
      <c r="BI449" s="19"/>
      <c r="BJ449" s="19"/>
      <c r="BK449" s="19"/>
      <c r="BL449" s="19"/>
      <c r="BM449" s="19"/>
      <c r="BN449" s="19"/>
      <c r="BO449" s="19"/>
      <c r="BP449" s="19"/>
      <c r="BQ449" s="19"/>
      <c r="BR449" s="19"/>
      <c r="BS449" s="19"/>
      <c r="BT449" s="19"/>
      <c r="BU449" s="19"/>
      <c r="BV449" s="19"/>
      <c r="BW449" s="19"/>
      <c r="BX449" s="19"/>
      <c r="BY449" s="19"/>
      <c r="BZ449" s="19"/>
      <c r="CA449" s="19"/>
      <c r="CB449" s="19"/>
      <c r="CC449" s="19"/>
      <c r="CD449" s="19"/>
      <c r="CE449" s="19"/>
      <c r="CF449" s="19"/>
      <c r="CG449" s="19"/>
      <c r="CH449" s="19"/>
      <c r="CI449" s="19"/>
      <c r="CJ449" s="19"/>
      <c r="CK449" s="19"/>
      <c r="CL449" s="19"/>
      <c r="CM449" s="19"/>
      <c r="CN449" s="19"/>
      <c r="CO449" s="19"/>
      <c r="CP449" s="19"/>
      <c r="CQ449" s="19"/>
      <c r="CR449" s="19"/>
      <c r="CS449" s="19"/>
      <c r="CT449" s="19"/>
      <c r="CU449" s="19"/>
      <c r="CV449" s="19"/>
      <c r="CW449" s="19"/>
      <c r="CX449" s="19"/>
      <c r="CY449" s="19"/>
      <c r="CZ449" s="19"/>
      <c r="DA449" s="19"/>
      <c r="DB449" s="19"/>
      <c r="DC449" s="19"/>
      <c r="DD449" s="19"/>
      <c r="DE449" s="19"/>
      <c r="DF449" s="19"/>
      <c r="DG449" s="19"/>
      <c r="DH449" s="19"/>
      <c r="DI449" s="19"/>
      <c r="DJ449" s="19"/>
      <c r="DK449" s="19"/>
      <c r="DL449" s="19"/>
      <c r="DM449" s="19"/>
      <c r="DN449" s="19"/>
      <c r="DO449" s="19"/>
      <c r="DP449" s="19"/>
      <c r="DQ449" s="19"/>
      <c r="DR449" s="19"/>
      <c r="DS449" s="19"/>
      <c r="DT449" s="19"/>
      <c r="DU449" s="19"/>
      <c r="DV449" s="19"/>
      <c r="DW449" s="19"/>
      <c r="DX449" s="19"/>
      <c r="DY449" s="19"/>
      <c r="DZ449" s="19"/>
      <c r="EA449" s="19"/>
      <c r="EB449" s="19"/>
      <c r="EC449" s="19"/>
      <c r="ED449" s="19"/>
      <c r="EE449" s="19"/>
      <c r="EF449" s="19"/>
      <c r="EG449" s="19"/>
      <c r="EH449" s="19"/>
      <c r="EI449" s="19"/>
      <c r="EJ449" s="19"/>
      <c r="EK449" s="19"/>
      <c r="EL449" s="19"/>
      <c r="EM449" s="19"/>
      <c r="EN449" s="19"/>
      <c r="EO449" s="19"/>
      <c r="EP449" s="19"/>
      <c r="EQ449" s="19"/>
      <c r="ER449" s="19"/>
      <c r="ES449" s="19"/>
      <c r="ET449" s="19"/>
      <c r="EU449" s="19"/>
      <c r="EV449" s="19"/>
      <c r="EW449" s="19"/>
      <c r="EX449" s="19"/>
      <c r="EY449" s="19"/>
      <c r="EZ449" s="19"/>
      <c r="FA449" s="19"/>
      <c r="FB449" s="19"/>
      <c r="FC449" s="19"/>
      <c r="FD449" s="19"/>
      <c r="FE449" s="19"/>
      <c r="FF449" s="19"/>
      <c r="FG449" s="19"/>
      <c r="FH449" s="19"/>
      <c r="FI449" s="19"/>
    </row>
    <row r="450" spans="1:165" x14ac:dyDescent="0.25">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c r="BE450" s="19"/>
      <c r="BF450" s="19"/>
      <c r="BG450" s="19"/>
      <c r="BH450" s="19"/>
      <c r="BI450" s="19"/>
      <c r="BJ450" s="19"/>
      <c r="BK450" s="19"/>
      <c r="BL450" s="19"/>
      <c r="BM450" s="19"/>
      <c r="BN450" s="19"/>
      <c r="BO450" s="19"/>
      <c r="BP450" s="19"/>
      <c r="BQ450" s="19"/>
      <c r="BR450" s="19"/>
      <c r="BS450" s="19"/>
      <c r="BT450" s="19"/>
      <c r="BU450" s="19"/>
      <c r="BV450" s="19"/>
      <c r="BW450" s="19"/>
      <c r="BX450" s="19"/>
      <c r="BY450" s="19"/>
      <c r="BZ450" s="19"/>
      <c r="CA450" s="19"/>
      <c r="CB450" s="19"/>
      <c r="CC450" s="19"/>
      <c r="CD450" s="19"/>
      <c r="CE450" s="19"/>
      <c r="CF450" s="19"/>
      <c r="CG450" s="19"/>
      <c r="CH450" s="19"/>
      <c r="CI450" s="19"/>
      <c r="CJ450" s="19"/>
      <c r="CK450" s="19"/>
      <c r="CL450" s="19"/>
      <c r="CM450" s="19"/>
      <c r="CN450" s="19"/>
      <c r="CO450" s="19"/>
      <c r="CP450" s="19"/>
      <c r="CQ450" s="19"/>
      <c r="CR450" s="19"/>
      <c r="CS450" s="19"/>
      <c r="CT450" s="19"/>
      <c r="CU450" s="19"/>
      <c r="CV450" s="19"/>
      <c r="CW450" s="19"/>
      <c r="CX450" s="19"/>
      <c r="CY450" s="19"/>
      <c r="CZ450" s="19"/>
      <c r="DA450" s="19"/>
      <c r="DB450" s="19"/>
      <c r="DC450" s="19"/>
      <c r="DD450" s="19"/>
      <c r="DE450" s="19"/>
      <c r="DF450" s="19"/>
      <c r="DG450" s="19"/>
      <c r="DH450" s="19"/>
      <c r="DI450" s="19"/>
      <c r="DJ450" s="19"/>
      <c r="DK450" s="19"/>
      <c r="DL450" s="19"/>
      <c r="DM450" s="19"/>
      <c r="DN450" s="19"/>
      <c r="DO450" s="19"/>
      <c r="DP450" s="19"/>
      <c r="DQ450" s="19"/>
      <c r="DR450" s="19"/>
      <c r="DS450" s="19"/>
      <c r="DT450" s="19"/>
      <c r="DU450" s="19"/>
      <c r="DV450" s="19"/>
      <c r="DW450" s="19"/>
      <c r="DX450" s="19"/>
      <c r="DY450" s="19"/>
      <c r="DZ450" s="19"/>
      <c r="EA450" s="19"/>
      <c r="EB450" s="19"/>
      <c r="EC450" s="19"/>
      <c r="ED450" s="19"/>
      <c r="EE450" s="19"/>
      <c r="EF450" s="19"/>
      <c r="EG450" s="19"/>
      <c r="EH450" s="19"/>
      <c r="EI450" s="19"/>
      <c r="EJ450" s="19"/>
      <c r="EK450" s="19"/>
      <c r="EL450" s="19"/>
      <c r="EM450" s="19"/>
      <c r="EN450" s="19"/>
      <c r="EO450" s="19"/>
      <c r="EP450" s="19"/>
      <c r="EQ450" s="19"/>
      <c r="ER450" s="19"/>
      <c r="ES450" s="19"/>
      <c r="ET450" s="19"/>
      <c r="EU450" s="19"/>
      <c r="EV450" s="19"/>
      <c r="EW450" s="19"/>
      <c r="EX450" s="19"/>
      <c r="EY450" s="19"/>
      <c r="EZ450" s="19"/>
      <c r="FA450" s="19"/>
      <c r="FB450" s="19"/>
      <c r="FC450" s="19"/>
      <c r="FD450" s="19"/>
      <c r="FE450" s="19"/>
      <c r="FF450" s="19"/>
      <c r="FG450" s="19"/>
      <c r="FH450" s="19"/>
      <c r="FI450" s="19"/>
    </row>
    <row r="451" spans="1:165" x14ac:dyDescent="0.25">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c r="BE451" s="19"/>
      <c r="BF451" s="19"/>
      <c r="BG451" s="19"/>
      <c r="BH451" s="19"/>
      <c r="BI451" s="19"/>
      <c r="BJ451" s="19"/>
      <c r="BK451" s="19"/>
      <c r="BL451" s="19"/>
      <c r="BM451" s="19"/>
      <c r="BN451" s="19"/>
      <c r="BO451" s="19"/>
      <c r="BP451" s="19"/>
      <c r="BQ451" s="19"/>
      <c r="BR451" s="19"/>
      <c r="BS451" s="19"/>
      <c r="BT451" s="19"/>
      <c r="BU451" s="19"/>
      <c r="BV451" s="19"/>
      <c r="BW451" s="19"/>
      <c r="BX451" s="19"/>
      <c r="BY451" s="19"/>
      <c r="BZ451" s="19"/>
      <c r="CA451" s="19"/>
      <c r="CB451" s="19"/>
      <c r="CC451" s="19"/>
      <c r="CD451" s="19"/>
      <c r="CE451" s="19"/>
      <c r="CF451" s="19"/>
      <c r="CG451" s="19"/>
      <c r="CH451" s="19"/>
      <c r="CI451" s="19"/>
      <c r="CJ451" s="19"/>
      <c r="CK451" s="19"/>
      <c r="CL451" s="19"/>
      <c r="CM451" s="19"/>
      <c r="CN451" s="19"/>
      <c r="CO451" s="19"/>
      <c r="CP451" s="19"/>
      <c r="CQ451" s="19"/>
      <c r="CR451" s="19"/>
      <c r="CS451" s="19"/>
      <c r="CT451" s="19"/>
      <c r="CU451" s="19"/>
      <c r="CV451" s="19"/>
      <c r="CW451" s="19"/>
      <c r="CX451" s="19"/>
      <c r="CY451" s="19"/>
      <c r="CZ451" s="19"/>
      <c r="DA451" s="19"/>
      <c r="DB451" s="19"/>
      <c r="DC451" s="19"/>
      <c r="DD451" s="19"/>
      <c r="DE451" s="19"/>
      <c r="DF451" s="19"/>
      <c r="DG451" s="19"/>
      <c r="DH451" s="19"/>
      <c r="DI451" s="19"/>
      <c r="DJ451" s="19"/>
      <c r="DK451" s="19"/>
      <c r="DL451" s="19"/>
      <c r="DM451" s="19"/>
      <c r="DN451" s="19"/>
      <c r="DO451" s="19"/>
      <c r="DP451" s="19"/>
      <c r="DQ451" s="19"/>
      <c r="DR451" s="19"/>
      <c r="DS451" s="19"/>
      <c r="DT451" s="19"/>
      <c r="DU451" s="19"/>
      <c r="DV451" s="19"/>
      <c r="DW451" s="19"/>
      <c r="DX451" s="19"/>
      <c r="DY451" s="19"/>
      <c r="DZ451" s="19"/>
      <c r="EA451" s="19"/>
      <c r="EB451" s="19"/>
      <c r="EC451" s="19"/>
      <c r="ED451" s="19"/>
      <c r="EE451" s="19"/>
      <c r="EF451" s="19"/>
      <c r="EG451" s="19"/>
      <c r="EH451" s="19"/>
      <c r="EI451" s="19"/>
      <c r="EJ451" s="19"/>
      <c r="EK451" s="19"/>
      <c r="EL451" s="19"/>
      <c r="EM451" s="19"/>
      <c r="EN451" s="19"/>
      <c r="EO451" s="19"/>
      <c r="EP451" s="19"/>
      <c r="EQ451" s="19"/>
      <c r="ER451" s="19"/>
      <c r="ES451" s="19"/>
      <c r="ET451" s="19"/>
      <c r="EU451" s="19"/>
      <c r="EV451" s="19"/>
      <c r="EW451" s="19"/>
      <c r="EX451" s="19"/>
      <c r="EY451" s="19"/>
      <c r="EZ451" s="19"/>
      <c r="FA451" s="19"/>
      <c r="FB451" s="19"/>
      <c r="FC451" s="19"/>
      <c r="FD451" s="19"/>
      <c r="FE451" s="19"/>
      <c r="FF451" s="19"/>
      <c r="FG451" s="19"/>
      <c r="FH451" s="19"/>
      <c r="FI451" s="19"/>
    </row>
    <row r="452" spans="1:165" x14ac:dyDescent="0.25">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c r="BE452" s="19"/>
      <c r="BF452" s="19"/>
      <c r="BG452" s="19"/>
      <c r="BH452" s="19"/>
      <c r="BI452" s="19"/>
      <c r="BJ452" s="19"/>
      <c r="BK452" s="19"/>
      <c r="BL452" s="19"/>
      <c r="BM452" s="19"/>
      <c r="BN452" s="19"/>
      <c r="BO452" s="19"/>
      <c r="BP452" s="19"/>
      <c r="BQ452" s="19"/>
      <c r="BR452" s="19"/>
      <c r="BS452" s="19"/>
      <c r="BT452" s="19"/>
      <c r="BU452" s="19"/>
      <c r="BV452" s="19"/>
      <c r="BW452" s="19"/>
      <c r="BX452" s="19"/>
      <c r="BY452" s="19"/>
      <c r="BZ452" s="19"/>
      <c r="CA452" s="19"/>
      <c r="CB452" s="19"/>
      <c r="CC452" s="19"/>
      <c r="CD452" s="19"/>
      <c r="CE452" s="19"/>
      <c r="CF452" s="19"/>
      <c r="CG452" s="19"/>
      <c r="CH452" s="19"/>
      <c r="CI452" s="19"/>
      <c r="CJ452" s="19"/>
      <c r="CK452" s="19"/>
      <c r="CL452" s="19"/>
      <c r="CM452" s="19"/>
      <c r="CN452" s="19"/>
      <c r="CO452" s="19"/>
      <c r="CP452" s="19"/>
      <c r="CQ452" s="19"/>
      <c r="CR452" s="19"/>
      <c r="CS452" s="19"/>
      <c r="CT452" s="19"/>
      <c r="CU452" s="19"/>
      <c r="CV452" s="19"/>
      <c r="CW452" s="19"/>
      <c r="CX452" s="19"/>
      <c r="CY452" s="19"/>
      <c r="CZ452" s="19"/>
      <c r="DA452" s="19"/>
      <c r="DB452" s="19"/>
      <c r="DC452" s="19"/>
      <c r="DD452" s="19"/>
      <c r="DE452" s="19"/>
      <c r="DF452" s="19"/>
      <c r="DG452" s="19"/>
      <c r="DH452" s="19"/>
      <c r="DI452" s="19"/>
      <c r="DJ452" s="19"/>
      <c r="DK452" s="19"/>
      <c r="DL452" s="19"/>
      <c r="DM452" s="19"/>
      <c r="DN452" s="19"/>
      <c r="DO452" s="19"/>
      <c r="DP452" s="19"/>
      <c r="DQ452" s="19"/>
      <c r="DR452" s="19"/>
      <c r="DS452" s="19"/>
      <c r="DT452" s="19"/>
      <c r="DU452" s="19"/>
      <c r="DV452" s="19"/>
      <c r="DW452" s="19"/>
      <c r="DX452" s="19"/>
      <c r="DY452" s="19"/>
      <c r="DZ452" s="19"/>
      <c r="EA452" s="19"/>
      <c r="EB452" s="19"/>
      <c r="EC452" s="19"/>
      <c r="ED452" s="19"/>
      <c r="EE452" s="19"/>
      <c r="EF452" s="19"/>
      <c r="EG452" s="19"/>
      <c r="EH452" s="19"/>
      <c r="EI452" s="19"/>
      <c r="EJ452" s="19"/>
      <c r="EK452" s="19"/>
      <c r="EL452" s="19"/>
      <c r="EM452" s="19"/>
      <c r="EN452" s="19"/>
      <c r="EO452" s="19"/>
      <c r="EP452" s="19"/>
      <c r="EQ452" s="19"/>
      <c r="ER452" s="19"/>
      <c r="ES452" s="19"/>
      <c r="ET452" s="19"/>
      <c r="EU452" s="19"/>
      <c r="EV452" s="19"/>
      <c r="EW452" s="19"/>
      <c r="EX452" s="19"/>
      <c r="EY452" s="19"/>
      <c r="EZ452" s="19"/>
      <c r="FA452" s="19"/>
      <c r="FB452" s="19"/>
      <c r="FC452" s="19"/>
      <c r="FD452" s="19"/>
      <c r="FE452" s="19"/>
      <c r="FF452" s="19"/>
      <c r="FG452" s="19"/>
      <c r="FH452" s="19"/>
      <c r="FI452" s="19"/>
    </row>
    <row r="453" spans="1:165" x14ac:dyDescent="0.25">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c r="BE453" s="19"/>
      <c r="BF453" s="19"/>
      <c r="BG453" s="19"/>
      <c r="BH453" s="19"/>
      <c r="BI453" s="19"/>
      <c r="BJ453" s="19"/>
      <c r="BK453" s="19"/>
      <c r="BL453" s="19"/>
      <c r="BM453" s="19"/>
      <c r="BN453" s="19"/>
      <c r="BO453" s="19"/>
      <c r="BP453" s="19"/>
      <c r="BQ453" s="19"/>
      <c r="BR453" s="19"/>
      <c r="BS453" s="19"/>
      <c r="BT453" s="19"/>
      <c r="BU453" s="19"/>
      <c r="BV453" s="19"/>
      <c r="BW453" s="19"/>
      <c r="BX453" s="19"/>
      <c r="BY453" s="19"/>
      <c r="BZ453" s="19"/>
      <c r="CA453" s="19"/>
      <c r="CB453" s="19"/>
      <c r="CC453" s="19"/>
      <c r="CD453" s="19"/>
      <c r="CE453" s="19"/>
      <c r="CF453" s="19"/>
      <c r="CG453" s="19"/>
      <c r="CH453" s="19"/>
      <c r="CI453" s="19"/>
      <c r="CJ453" s="19"/>
      <c r="CK453" s="19"/>
      <c r="CL453" s="19"/>
      <c r="CM453" s="19"/>
      <c r="CN453" s="19"/>
      <c r="CO453" s="19"/>
      <c r="CP453" s="19"/>
      <c r="CQ453" s="19"/>
      <c r="CR453" s="19"/>
      <c r="CS453" s="19"/>
      <c r="CT453" s="19"/>
      <c r="CU453" s="19"/>
      <c r="CV453" s="19"/>
      <c r="CW453" s="19"/>
      <c r="CX453" s="19"/>
      <c r="CY453" s="19"/>
      <c r="CZ453" s="19"/>
      <c r="DA453" s="19"/>
      <c r="DB453" s="19"/>
      <c r="DC453" s="19"/>
      <c r="DD453" s="19"/>
      <c r="DE453" s="19"/>
      <c r="DF453" s="19"/>
      <c r="DG453" s="19"/>
      <c r="DH453" s="19"/>
      <c r="DI453" s="19"/>
      <c r="DJ453" s="19"/>
      <c r="DK453" s="19"/>
      <c r="DL453" s="19"/>
      <c r="DM453" s="19"/>
      <c r="DN453" s="19"/>
      <c r="DO453" s="19"/>
      <c r="DP453" s="19"/>
      <c r="DQ453" s="19"/>
      <c r="DR453" s="19"/>
      <c r="DS453" s="19"/>
      <c r="DT453" s="19"/>
      <c r="DU453" s="19"/>
      <c r="DV453" s="19"/>
      <c r="DW453" s="19"/>
      <c r="DX453" s="19"/>
      <c r="DY453" s="19"/>
      <c r="DZ453" s="19"/>
      <c r="EA453" s="19"/>
      <c r="EB453" s="19"/>
      <c r="EC453" s="19"/>
      <c r="ED453" s="19"/>
      <c r="EE453" s="19"/>
      <c r="EF453" s="19"/>
      <c r="EG453" s="19"/>
      <c r="EH453" s="19"/>
      <c r="EI453" s="19"/>
      <c r="EJ453" s="19"/>
      <c r="EK453" s="19"/>
      <c r="EL453" s="19"/>
      <c r="EM453" s="19"/>
      <c r="EN453" s="19"/>
      <c r="EO453" s="19"/>
      <c r="EP453" s="19"/>
      <c r="EQ453" s="19"/>
      <c r="ER453" s="19"/>
      <c r="ES453" s="19"/>
      <c r="ET453" s="19"/>
      <c r="EU453" s="19"/>
      <c r="EV453" s="19"/>
      <c r="EW453" s="19"/>
      <c r="EX453" s="19"/>
      <c r="EY453" s="19"/>
      <c r="EZ453" s="19"/>
      <c r="FA453" s="19"/>
      <c r="FB453" s="19"/>
      <c r="FC453" s="19"/>
      <c r="FD453" s="19"/>
      <c r="FE453" s="19"/>
      <c r="FF453" s="19"/>
      <c r="FG453" s="19"/>
      <c r="FH453" s="19"/>
      <c r="FI453" s="19"/>
    </row>
    <row r="454" spans="1:165" x14ac:dyDescent="0.25">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c r="BE454" s="19"/>
      <c r="BF454" s="19"/>
      <c r="BG454" s="19"/>
      <c r="BH454" s="19"/>
      <c r="BI454" s="19"/>
      <c r="BJ454" s="19"/>
      <c r="BK454" s="19"/>
      <c r="BL454" s="19"/>
      <c r="BM454" s="19"/>
      <c r="BN454" s="19"/>
      <c r="BO454" s="19"/>
      <c r="BP454" s="19"/>
      <c r="BQ454" s="19"/>
      <c r="BR454" s="19"/>
      <c r="BS454" s="19"/>
      <c r="BT454" s="19"/>
      <c r="BU454" s="19"/>
      <c r="BV454" s="19"/>
      <c r="BW454" s="19"/>
      <c r="BX454" s="19"/>
      <c r="BY454" s="19"/>
      <c r="BZ454" s="19"/>
      <c r="CA454" s="19"/>
      <c r="CB454" s="19"/>
      <c r="CC454" s="19"/>
      <c r="CD454" s="19"/>
      <c r="CE454" s="19"/>
      <c r="CF454" s="19"/>
      <c r="CG454" s="19"/>
      <c r="CH454" s="19"/>
      <c r="CI454" s="19"/>
      <c r="CJ454" s="19"/>
      <c r="CK454" s="19"/>
      <c r="CL454" s="19"/>
      <c r="CM454" s="19"/>
      <c r="CN454" s="19"/>
      <c r="CO454" s="19"/>
      <c r="CP454" s="19"/>
      <c r="CQ454" s="19"/>
      <c r="CR454" s="19"/>
      <c r="CS454" s="19"/>
      <c r="CT454" s="19"/>
      <c r="CU454" s="19"/>
      <c r="CV454" s="19"/>
      <c r="CW454" s="19"/>
      <c r="CX454" s="19"/>
      <c r="CY454" s="19"/>
      <c r="CZ454" s="19"/>
      <c r="DA454" s="19"/>
      <c r="DB454" s="19"/>
      <c r="DC454" s="19"/>
      <c r="DD454" s="19"/>
      <c r="DE454" s="19"/>
      <c r="DF454" s="19"/>
      <c r="DG454" s="19"/>
      <c r="DH454" s="19"/>
      <c r="DI454" s="19"/>
      <c r="DJ454" s="19"/>
      <c r="DK454" s="19"/>
      <c r="DL454" s="19"/>
      <c r="DM454" s="19"/>
      <c r="DN454" s="19"/>
      <c r="DO454" s="19"/>
      <c r="DP454" s="19"/>
      <c r="DQ454" s="19"/>
      <c r="DR454" s="19"/>
      <c r="DS454" s="19"/>
      <c r="DT454" s="19"/>
      <c r="DU454" s="19"/>
      <c r="DV454" s="19"/>
      <c r="DW454" s="19"/>
      <c r="DX454" s="19"/>
      <c r="DY454" s="19"/>
      <c r="DZ454" s="19"/>
      <c r="EA454" s="19"/>
      <c r="EB454" s="19"/>
      <c r="EC454" s="19"/>
      <c r="ED454" s="19"/>
      <c r="EE454" s="19"/>
      <c r="EF454" s="19"/>
      <c r="EG454" s="19"/>
      <c r="EH454" s="19"/>
      <c r="EI454" s="19"/>
      <c r="EJ454" s="19"/>
      <c r="EK454" s="19"/>
      <c r="EL454" s="19"/>
      <c r="EM454" s="19"/>
      <c r="EN454" s="19"/>
      <c r="EO454" s="19"/>
      <c r="EP454" s="19"/>
      <c r="EQ454" s="19"/>
      <c r="ER454" s="19"/>
      <c r="ES454" s="19"/>
      <c r="ET454" s="19"/>
      <c r="EU454" s="19"/>
      <c r="EV454" s="19"/>
      <c r="EW454" s="19"/>
      <c r="EX454" s="19"/>
      <c r="EY454" s="19"/>
      <c r="EZ454" s="19"/>
      <c r="FA454" s="19"/>
      <c r="FB454" s="19"/>
      <c r="FC454" s="19"/>
      <c r="FD454" s="19"/>
      <c r="FE454" s="19"/>
      <c r="FF454" s="19"/>
      <c r="FG454" s="19"/>
      <c r="FH454" s="19"/>
      <c r="FI454" s="19"/>
    </row>
    <row r="455" spans="1:165" x14ac:dyDescent="0.25">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c r="BE455" s="19"/>
      <c r="BF455" s="19"/>
      <c r="BG455" s="19"/>
      <c r="BH455" s="19"/>
      <c r="BI455" s="19"/>
      <c r="BJ455" s="19"/>
      <c r="BK455" s="19"/>
      <c r="BL455" s="19"/>
      <c r="BM455" s="19"/>
      <c r="BN455" s="19"/>
      <c r="BO455" s="19"/>
      <c r="BP455" s="19"/>
      <c r="BQ455" s="19"/>
      <c r="BR455" s="19"/>
      <c r="BS455" s="19"/>
      <c r="BT455" s="19"/>
      <c r="BU455" s="19"/>
      <c r="BV455" s="19"/>
      <c r="BW455" s="19"/>
      <c r="BX455" s="19"/>
      <c r="BY455" s="19"/>
      <c r="BZ455" s="19"/>
      <c r="CA455" s="19"/>
      <c r="CB455" s="19"/>
      <c r="CC455" s="19"/>
      <c r="CD455" s="19"/>
      <c r="CE455" s="19"/>
      <c r="CF455" s="19"/>
      <c r="CG455" s="19"/>
      <c r="CH455" s="19"/>
      <c r="CI455" s="19"/>
      <c r="CJ455" s="19"/>
      <c r="CK455" s="19"/>
      <c r="CL455" s="19"/>
      <c r="CM455" s="19"/>
      <c r="CN455" s="19"/>
      <c r="CO455" s="19"/>
      <c r="CP455" s="19"/>
      <c r="CQ455" s="19"/>
      <c r="CR455" s="19"/>
      <c r="CS455" s="19"/>
      <c r="CT455" s="19"/>
      <c r="CU455" s="19"/>
      <c r="CV455" s="19"/>
      <c r="CW455" s="19"/>
      <c r="CX455" s="19"/>
      <c r="CY455" s="19"/>
      <c r="CZ455" s="19"/>
      <c r="DA455" s="19"/>
      <c r="DB455" s="19"/>
      <c r="DC455" s="19"/>
      <c r="DD455" s="19"/>
      <c r="DE455" s="19"/>
      <c r="DF455" s="19"/>
      <c r="DG455" s="19"/>
      <c r="DH455" s="19"/>
      <c r="DI455" s="19"/>
      <c r="DJ455" s="19"/>
      <c r="DK455" s="19"/>
      <c r="DL455" s="19"/>
      <c r="DM455" s="19"/>
      <c r="DN455" s="19"/>
      <c r="DO455" s="19"/>
      <c r="DP455" s="19"/>
      <c r="DQ455" s="19"/>
      <c r="DR455" s="19"/>
      <c r="DS455" s="19"/>
      <c r="DT455" s="19"/>
      <c r="DU455" s="19"/>
      <c r="DV455" s="19"/>
      <c r="DW455" s="19"/>
      <c r="DX455" s="19"/>
      <c r="DY455" s="19"/>
      <c r="DZ455" s="19"/>
      <c r="EA455" s="19"/>
      <c r="EB455" s="19"/>
      <c r="EC455" s="19"/>
      <c r="ED455" s="19"/>
      <c r="EE455" s="19"/>
      <c r="EF455" s="19"/>
      <c r="EG455" s="19"/>
      <c r="EH455" s="19"/>
      <c r="EI455" s="19"/>
      <c r="EJ455" s="19"/>
      <c r="EK455" s="19"/>
      <c r="EL455" s="19"/>
      <c r="EM455" s="19"/>
      <c r="EN455" s="19"/>
      <c r="EO455" s="19"/>
      <c r="EP455" s="19"/>
      <c r="EQ455" s="19"/>
      <c r="ER455" s="19"/>
      <c r="ES455" s="19"/>
      <c r="ET455" s="19"/>
      <c r="EU455" s="19"/>
      <c r="EV455" s="19"/>
      <c r="EW455" s="19"/>
      <c r="EX455" s="19"/>
      <c r="EY455" s="19"/>
      <c r="EZ455" s="19"/>
      <c r="FA455" s="19"/>
      <c r="FB455" s="19"/>
      <c r="FC455" s="19"/>
      <c r="FD455" s="19"/>
      <c r="FE455" s="19"/>
      <c r="FF455" s="19"/>
      <c r="FG455" s="19"/>
      <c r="FH455" s="19"/>
      <c r="FI455" s="19"/>
    </row>
    <row r="456" spans="1:165" x14ac:dyDescent="0.25">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c r="BE456" s="19"/>
      <c r="BF456" s="19"/>
      <c r="BG456" s="19"/>
      <c r="BH456" s="19"/>
      <c r="BI456" s="19"/>
      <c r="BJ456" s="19"/>
      <c r="BK456" s="19"/>
      <c r="BL456" s="19"/>
      <c r="BM456" s="19"/>
      <c r="BN456" s="19"/>
      <c r="BO456" s="19"/>
      <c r="BP456" s="19"/>
      <c r="BQ456" s="19"/>
      <c r="BR456" s="19"/>
      <c r="BS456" s="19"/>
      <c r="BT456" s="19"/>
      <c r="BU456" s="19"/>
      <c r="BV456" s="19"/>
      <c r="BW456" s="19"/>
      <c r="BX456" s="19"/>
      <c r="BY456" s="19"/>
      <c r="BZ456" s="19"/>
      <c r="CA456" s="19"/>
      <c r="CB456" s="19"/>
      <c r="CC456" s="19"/>
      <c r="CD456" s="19"/>
      <c r="CE456" s="19"/>
      <c r="CF456" s="19"/>
      <c r="CG456" s="19"/>
      <c r="CH456" s="19"/>
      <c r="CI456" s="19"/>
      <c r="CJ456" s="19"/>
      <c r="CK456" s="19"/>
      <c r="CL456" s="19"/>
      <c r="CM456" s="19"/>
      <c r="CN456" s="19"/>
      <c r="CO456" s="19"/>
      <c r="CP456" s="19"/>
      <c r="CQ456" s="19"/>
      <c r="CR456" s="19"/>
      <c r="CS456" s="19"/>
      <c r="CT456" s="19"/>
      <c r="CU456" s="19"/>
      <c r="CV456" s="19"/>
      <c r="CW456" s="19"/>
      <c r="CX456" s="19"/>
      <c r="CY456" s="19"/>
      <c r="CZ456" s="19"/>
      <c r="DA456" s="19"/>
      <c r="DB456" s="19"/>
      <c r="DC456" s="19"/>
      <c r="DD456" s="19"/>
      <c r="DE456" s="19"/>
      <c r="DF456" s="19"/>
      <c r="DG456" s="19"/>
      <c r="DH456" s="19"/>
      <c r="DI456" s="19"/>
      <c r="DJ456" s="19"/>
      <c r="DK456" s="19"/>
      <c r="DL456" s="19"/>
      <c r="DM456" s="19"/>
      <c r="DN456" s="19"/>
      <c r="DO456" s="19"/>
      <c r="DP456" s="19"/>
      <c r="DQ456" s="19"/>
      <c r="DR456" s="19"/>
      <c r="DS456" s="19"/>
      <c r="DT456" s="19"/>
      <c r="DU456" s="19"/>
      <c r="DV456" s="19"/>
      <c r="DW456" s="19"/>
      <c r="DX456" s="19"/>
      <c r="DY456" s="19"/>
      <c r="DZ456" s="19"/>
      <c r="EA456" s="19"/>
      <c r="EB456" s="19"/>
      <c r="EC456" s="19"/>
      <c r="ED456" s="19"/>
      <c r="EE456" s="19"/>
      <c r="EF456" s="19"/>
      <c r="EG456" s="19"/>
      <c r="EH456" s="19"/>
      <c r="EI456" s="19"/>
      <c r="EJ456" s="19"/>
      <c r="EK456" s="19"/>
      <c r="EL456" s="19"/>
      <c r="EM456" s="19"/>
      <c r="EN456" s="19"/>
      <c r="EO456" s="19"/>
      <c r="EP456" s="19"/>
      <c r="EQ456" s="19"/>
      <c r="ER456" s="19"/>
      <c r="ES456" s="19"/>
      <c r="ET456" s="19"/>
      <c r="EU456" s="19"/>
      <c r="EV456" s="19"/>
      <c r="EW456" s="19"/>
      <c r="EX456" s="19"/>
      <c r="EY456" s="19"/>
      <c r="EZ456" s="19"/>
      <c r="FA456" s="19"/>
      <c r="FB456" s="19"/>
      <c r="FC456" s="19"/>
      <c r="FD456" s="19"/>
      <c r="FE456" s="19"/>
      <c r="FF456" s="19"/>
      <c r="FG456" s="19"/>
      <c r="FH456" s="19"/>
      <c r="FI456" s="19"/>
    </row>
    <row r="457" spans="1:165" x14ac:dyDescent="0.25">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c r="BE457" s="19"/>
      <c r="BF457" s="19"/>
      <c r="BG457" s="19"/>
      <c r="BH457" s="19"/>
      <c r="BI457" s="19"/>
      <c r="BJ457" s="19"/>
      <c r="BK457" s="19"/>
      <c r="BL457" s="19"/>
      <c r="BM457" s="19"/>
      <c r="BN457" s="19"/>
      <c r="BO457" s="19"/>
      <c r="BP457" s="19"/>
      <c r="BQ457" s="19"/>
      <c r="BR457" s="19"/>
      <c r="BS457" s="19"/>
      <c r="BT457" s="19"/>
      <c r="BU457" s="19"/>
      <c r="BV457" s="19"/>
      <c r="BW457" s="19"/>
      <c r="BX457" s="19"/>
      <c r="BY457" s="19"/>
      <c r="BZ457" s="19"/>
      <c r="CA457" s="19"/>
      <c r="CB457" s="19"/>
      <c r="CC457" s="19"/>
      <c r="CD457" s="19"/>
      <c r="CE457" s="19"/>
      <c r="CF457" s="19"/>
      <c r="CG457" s="19"/>
      <c r="CH457" s="19"/>
      <c r="CI457" s="19"/>
      <c r="CJ457" s="19"/>
      <c r="CK457" s="19"/>
      <c r="CL457" s="19"/>
      <c r="CM457" s="19"/>
      <c r="CN457" s="19"/>
      <c r="CO457" s="19"/>
      <c r="CP457" s="19"/>
      <c r="CQ457" s="19"/>
      <c r="CR457" s="19"/>
      <c r="CS457" s="19"/>
      <c r="CT457" s="19"/>
      <c r="CU457" s="19"/>
      <c r="CV457" s="19"/>
      <c r="CW457" s="19"/>
      <c r="CX457" s="19"/>
      <c r="CY457" s="19"/>
      <c r="CZ457" s="19"/>
      <c r="DA457" s="19"/>
      <c r="DB457" s="19"/>
      <c r="DC457" s="19"/>
      <c r="DD457" s="19"/>
      <c r="DE457" s="19"/>
      <c r="DF457" s="19"/>
      <c r="DG457" s="19"/>
      <c r="DH457" s="19"/>
      <c r="DI457" s="19"/>
      <c r="DJ457" s="19"/>
      <c r="DK457" s="19"/>
      <c r="DL457" s="19"/>
      <c r="DM457" s="19"/>
      <c r="DN457" s="19"/>
      <c r="DO457" s="19"/>
      <c r="DP457" s="19"/>
      <c r="DQ457" s="19"/>
      <c r="DR457" s="19"/>
      <c r="DS457" s="19"/>
      <c r="DT457" s="19"/>
      <c r="DU457" s="19"/>
      <c r="DV457" s="19"/>
      <c r="DW457" s="19"/>
      <c r="DX457" s="19"/>
      <c r="DY457" s="19"/>
      <c r="DZ457" s="19"/>
      <c r="EA457" s="19"/>
      <c r="EB457" s="19"/>
      <c r="EC457" s="19"/>
      <c r="ED457" s="19"/>
      <c r="EE457" s="19"/>
      <c r="EF457" s="19"/>
      <c r="EG457" s="19"/>
      <c r="EH457" s="19"/>
      <c r="EI457" s="19"/>
      <c r="EJ457" s="19"/>
      <c r="EK457" s="19"/>
      <c r="EL457" s="19"/>
      <c r="EM457" s="19"/>
      <c r="EN457" s="19"/>
      <c r="EO457" s="19"/>
      <c r="EP457" s="19"/>
      <c r="EQ457" s="19"/>
      <c r="ER457" s="19"/>
      <c r="ES457" s="19"/>
      <c r="ET457" s="19"/>
      <c r="EU457" s="19"/>
      <c r="EV457" s="19"/>
      <c r="EW457" s="19"/>
      <c r="EX457" s="19"/>
      <c r="EY457" s="19"/>
      <c r="EZ457" s="19"/>
      <c r="FA457" s="19"/>
      <c r="FB457" s="19"/>
      <c r="FC457" s="19"/>
      <c r="FD457" s="19"/>
      <c r="FE457" s="19"/>
      <c r="FF457" s="19"/>
      <c r="FG457" s="19"/>
      <c r="FH457" s="19"/>
      <c r="FI457" s="19"/>
    </row>
    <row r="458" spans="1:165" x14ac:dyDescent="0.25">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c r="BE458" s="19"/>
      <c r="BF458" s="19"/>
      <c r="BG458" s="19"/>
      <c r="BH458" s="19"/>
      <c r="BI458" s="19"/>
      <c r="BJ458" s="19"/>
      <c r="BK458" s="19"/>
      <c r="BL458" s="19"/>
      <c r="BM458" s="19"/>
      <c r="BN458" s="19"/>
      <c r="BO458" s="19"/>
      <c r="BP458" s="19"/>
      <c r="BQ458" s="19"/>
      <c r="BR458" s="19"/>
      <c r="BS458" s="19"/>
      <c r="BT458" s="19"/>
      <c r="BU458" s="19"/>
      <c r="BV458" s="19"/>
      <c r="BW458" s="19"/>
      <c r="BX458" s="19"/>
      <c r="BY458" s="19"/>
      <c r="BZ458" s="19"/>
      <c r="CA458" s="19"/>
      <c r="CB458" s="19"/>
      <c r="CC458" s="19"/>
      <c r="CD458" s="19"/>
      <c r="CE458" s="19"/>
      <c r="CF458" s="19"/>
      <c r="CG458" s="19"/>
      <c r="CH458" s="19"/>
      <c r="CI458" s="19"/>
      <c r="CJ458" s="19"/>
      <c r="CK458" s="19"/>
      <c r="CL458" s="19"/>
      <c r="CM458" s="19"/>
      <c r="CN458" s="19"/>
      <c r="CO458" s="19"/>
      <c r="CP458" s="19"/>
      <c r="CQ458" s="19"/>
      <c r="CR458" s="19"/>
      <c r="CS458" s="19"/>
      <c r="CT458" s="19"/>
      <c r="CU458" s="19"/>
      <c r="CV458" s="19"/>
      <c r="CW458" s="19"/>
      <c r="CX458" s="19"/>
      <c r="CY458" s="19"/>
      <c r="CZ458" s="19"/>
      <c r="DA458" s="19"/>
      <c r="DB458" s="19"/>
      <c r="DC458" s="19"/>
      <c r="DD458" s="19"/>
      <c r="DE458" s="19"/>
      <c r="DF458" s="19"/>
      <c r="DG458" s="19"/>
      <c r="DH458" s="19"/>
      <c r="DI458" s="19"/>
      <c r="DJ458" s="19"/>
      <c r="DK458" s="19"/>
      <c r="DL458" s="19"/>
      <c r="DM458" s="19"/>
      <c r="DN458" s="19"/>
      <c r="DO458" s="19"/>
      <c r="DP458" s="19"/>
      <c r="DQ458" s="19"/>
      <c r="DR458" s="19"/>
      <c r="DS458" s="19"/>
      <c r="DT458" s="19"/>
      <c r="DU458" s="19"/>
      <c r="DV458" s="19"/>
      <c r="DW458" s="19"/>
      <c r="DX458" s="19"/>
      <c r="DY458" s="19"/>
      <c r="DZ458" s="19"/>
      <c r="EA458" s="19"/>
      <c r="EB458" s="19"/>
      <c r="EC458" s="19"/>
      <c r="ED458" s="19"/>
      <c r="EE458" s="19"/>
      <c r="EF458" s="19"/>
      <c r="EG458" s="19"/>
      <c r="EH458" s="19"/>
      <c r="EI458" s="19"/>
      <c r="EJ458" s="19"/>
      <c r="EK458" s="19"/>
      <c r="EL458" s="19"/>
      <c r="EM458" s="19"/>
      <c r="EN458" s="19"/>
      <c r="EO458" s="19"/>
      <c r="EP458" s="19"/>
      <c r="EQ458" s="19"/>
      <c r="ER458" s="19"/>
      <c r="ES458" s="19"/>
      <c r="ET458" s="19"/>
      <c r="EU458" s="19"/>
      <c r="EV458" s="19"/>
      <c r="EW458" s="19"/>
      <c r="EX458" s="19"/>
      <c r="EY458" s="19"/>
      <c r="EZ458" s="19"/>
      <c r="FA458" s="19"/>
      <c r="FB458" s="19"/>
      <c r="FC458" s="19"/>
      <c r="FD458" s="19"/>
      <c r="FE458" s="19"/>
      <c r="FF458" s="19"/>
      <c r="FG458" s="19"/>
      <c r="FH458" s="19"/>
      <c r="FI458" s="19"/>
    </row>
    <row r="459" spans="1:165" x14ac:dyDescent="0.25">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c r="BE459" s="19"/>
      <c r="BF459" s="19"/>
      <c r="BG459" s="19"/>
      <c r="BH459" s="19"/>
      <c r="BI459" s="19"/>
      <c r="BJ459" s="19"/>
      <c r="BK459" s="19"/>
      <c r="BL459" s="19"/>
      <c r="BM459" s="19"/>
      <c r="BN459" s="19"/>
      <c r="BO459" s="19"/>
      <c r="BP459" s="19"/>
      <c r="BQ459" s="19"/>
      <c r="BR459" s="19"/>
      <c r="BS459" s="19"/>
      <c r="BT459" s="19"/>
      <c r="BU459" s="19"/>
      <c r="BV459" s="19"/>
      <c r="BW459" s="19"/>
      <c r="BX459" s="19"/>
      <c r="BY459" s="19"/>
      <c r="BZ459" s="19"/>
      <c r="CA459" s="19"/>
      <c r="CB459" s="19"/>
      <c r="CC459" s="19"/>
      <c r="CD459" s="19"/>
      <c r="CE459" s="19"/>
      <c r="CF459" s="19"/>
      <c r="CG459" s="19"/>
      <c r="CH459" s="19"/>
      <c r="CI459" s="19"/>
      <c r="CJ459" s="19"/>
      <c r="CK459" s="19"/>
      <c r="CL459" s="19"/>
      <c r="CM459" s="19"/>
      <c r="CN459" s="19"/>
      <c r="CO459" s="19"/>
      <c r="CP459" s="19"/>
      <c r="CQ459" s="19"/>
      <c r="CR459" s="19"/>
      <c r="CS459" s="19"/>
      <c r="CT459" s="19"/>
      <c r="CU459" s="19"/>
      <c r="CV459" s="19"/>
      <c r="CW459" s="19"/>
      <c r="CX459" s="19"/>
      <c r="CY459" s="19"/>
      <c r="CZ459" s="19"/>
      <c r="DA459" s="19"/>
      <c r="DB459" s="19"/>
      <c r="DC459" s="19"/>
      <c r="DD459" s="19"/>
      <c r="DE459" s="19"/>
      <c r="DF459" s="19"/>
      <c r="DG459" s="19"/>
      <c r="DH459" s="19"/>
      <c r="DI459" s="19"/>
      <c r="DJ459" s="19"/>
      <c r="DK459" s="19"/>
      <c r="DL459" s="19"/>
      <c r="DM459" s="19"/>
      <c r="DN459" s="19"/>
      <c r="DO459" s="19"/>
      <c r="DP459" s="19"/>
      <c r="DQ459" s="19"/>
      <c r="DR459" s="19"/>
      <c r="DS459" s="19"/>
      <c r="DT459" s="19"/>
      <c r="DU459" s="19"/>
      <c r="DV459" s="19"/>
      <c r="DW459" s="19"/>
      <c r="DX459" s="19"/>
      <c r="DY459" s="19"/>
      <c r="DZ459" s="19"/>
      <c r="EA459" s="19"/>
      <c r="EB459" s="19"/>
      <c r="EC459" s="19"/>
      <c r="ED459" s="19"/>
      <c r="EE459" s="19"/>
      <c r="EF459" s="19"/>
      <c r="EG459" s="19"/>
      <c r="EH459" s="19"/>
      <c r="EI459" s="19"/>
      <c r="EJ459" s="19"/>
      <c r="EK459" s="19"/>
      <c r="EL459" s="19"/>
      <c r="EM459" s="19"/>
      <c r="EN459" s="19"/>
      <c r="EO459" s="19"/>
      <c r="EP459" s="19"/>
      <c r="EQ459" s="19"/>
      <c r="ER459" s="19"/>
      <c r="ES459" s="19"/>
      <c r="ET459" s="19"/>
      <c r="EU459" s="19"/>
      <c r="EV459" s="19"/>
      <c r="EW459" s="19"/>
      <c r="EX459" s="19"/>
      <c r="EY459" s="19"/>
      <c r="EZ459" s="19"/>
      <c r="FA459" s="19"/>
      <c r="FB459" s="19"/>
      <c r="FC459" s="19"/>
      <c r="FD459" s="19"/>
      <c r="FE459" s="19"/>
      <c r="FF459" s="19"/>
      <c r="FG459" s="19"/>
      <c r="FH459" s="19"/>
      <c r="FI459" s="19"/>
    </row>
    <row r="460" spans="1:165" x14ac:dyDescent="0.25">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c r="BE460" s="19"/>
      <c r="BF460" s="19"/>
      <c r="BG460" s="19"/>
      <c r="BH460" s="19"/>
      <c r="BI460" s="19"/>
      <c r="BJ460" s="19"/>
      <c r="BK460" s="19"/>
      <c r="BL460" s="19"/>
      <c r="BM460" s="19"/>
      <c r="BN460" s="19"/>
      <c r="BO460" s="19"/>
      <c r="BP460" s="19"/>
      <c r="BQ460" s="19"/>
      <c r="BR460" s="19"/>
      <c r="BS460" s="19"/>
      <c r="BT460" s="19"/>
      <c r="BU460" s="19"/>
      <c r="BV460" s="19"/>
      <c r="BW460" s="19"/>
      <c r="BX460" s="19"/>
      <c r="BY460" s="19"/>
      <c r="BZ460" s="19"/>
      <c r="CA460" s="19"/>
      <c r="CB460" s="19"/>
      <c r="CC460" s="19"/>
      <c r="CD460" s="19"/>
      <c r="CE460" s="19"/>
      <c r="CF460" s="19"/>
      <c r="CG460" s="19"/>
      <c r="CH460" s="19"/>
      <c r="CI460" s="19"/>
      <c r="CJ460" s="19"/>
      <c r="CK460" s="19"/>
      <c r="CL460" s="19"/>
      <c r="CM460" s="19"/>
      <c r="CN460" s="19"/>
      <c r="CO460" s="19"/>
      <c r="CP460" s="19"/>
      <c r="CQ460" s="19"/>
      <c r="CR460" s="19"/>
      <c r="CS460" s="19"/>
      <c r="CT460" s="19"/>
      <c r="CU460" s="19"/>
      <c r="CV460" s="19"/>
      <c r="CW460" s="19"/>
      <c r="CX460" s="19"/>
      <c r="CY460" s="19"/>
      <c r="CZ460" s="19"/>
      <c r="DA460" s="19"/>
      <c r="DB460" s="19"/>
      <c r="DC460" s="19"/>
      <c r="DD460" s="19"/>
      <c r="DE460" s="19"/>
      <c r="DF460" s="19"/>
      <c r="DG460" s="19"/>
      <c r="DH460" s="19"/>
      <c r="DI460" s="19"/>
      <c r="DJ460" s="19"/>
      <c r="DK460" s="19"/>
      <c r="DL460" s="19"/>
      <c r="DM460" s="19"/>
      <c r="DN460" s="19"/>
      <c r="DO460" s="19"/>
      <c r="DP460" s="19"/>
      <c r="DQ460" s="19"/>
      <c r="DR460" s="19"/>
      <c r="DS460" s="19"/>
      <c r="DT460" s="19"/>
      <c r="DU460" s="19"/>
      <c r="DV460" s="19"/>
      <c r="DW460" s="19"/>
      <c r="DX460" s="19"/>
      <c r="DY460" s="19"/>
      <c r="DZ460" s="19"/>
      <c r="EA460" s="19"/>
      <c r="EB460" s="19"/>
      <c r="EC460" s="19"/>
      <c r="ED460" s="19"/>
      <c r="EE460" s="19"/>
      <c r="EF460" s="19"/>
      <c r="EG460" s="19"/>
      <c r="EH460" s="19"/>
      <c r="EI460" s="19"/>
      <c r="EJ460" s="19"/>
      <c r="EK460" s="19"/>
      <c r="EL460" s="19"/>
      <c r="EM460" s="19"/>
      <c r="EN460" s="19"/>
      <c r="EO460" s="19"/>
      <c r="EP460" s="19"/>
      <c r="EQ460" s="19"/>
      <c r="ER460" s="19"/>
      <c r="ES460" s="19"/>
      <c r="ET460" s="19"/>
      <c r="EU460" s="19"/>
      <c r="EV460" s="19"/>
      <c r="EW460" s="19"/>
      <c r="EX460" s="19"/>
      <c r="EY460" s="19"/>
      <c r="EZ460" s="19"/>
      <c r="FA460" s="19"/>
      <c r="FB460" s="19"/>
      <c r="FC460" s="19"/>
      <c r="FD460" s="19"/>
      <c r="FE460" s="19"/>
      <c r="FF460" s="19"/>
      <c r="FG460" s="19"/>
      <c r="FH460" s="19"/>
      <c r="FI460" s="19"/>
    </row>
    <row r="461" spans="1:165" x14ac:dyDescent="0.25">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c r="BE461" s="19"/>
      <c r="BF461" s="19"/>
      <c r="BG461" s="19"/>
      <c r="BH461" s="19"/>
      <c r="BI461" s="19"/>
      <c r="BJ461" s="19"/>
      <c r="BK461" s="19"/>
      <c r="BL461" s="19"/>
      <c r="BM461" s="19"/>
      <c r="BN461" s="19"/>
      <c r="BO461" s="19"/>
      <c r="BP461" s="19"/>
      <c r="BQ461" s="19"/>
      <c r="BR461" s="19"/>
      <c r="BS461" s="19"/>
      <c r="BT461" s="19"/>
      <c r="BU461" s="19"/>
      <c r="BV461" s="19"/>
      <c r="BW461" s="19"/>
      <c r="BX461" s="19"/>
      <c r="BY461" s="19"/>
      <c r="BZ461" s="19"/>
      <c r="CA461" s="19"/>
      <c r="CB461" s="19"/>
      <c r="CC461" s="19"/>
      <c r="CD461" s="19"/>
      <c r="CE461" s="19"/>
      <c r="CF461" s="19"/>
      <c r="CG461" s="19"/>
      <c r="CH461" s="19"/>
      <c r="CI461" s="19"/>
      <c r="CJ461" s="19"/>
      <c r="CK461" s="19"/>
      <c r="CL461" s="19"/>
      <c r="CM461" s="19"/>
      <c r="CN461" s="19"/>
      <c r="CO461" s="19"/>
      <c r="CP461" s="19"/>
      <c r="CQ461" s="19"/>
      <c r="CR461" s="19"/>
      <c r="CS461" s="19"/>
      <c r="CT461" s="19"/>
      <c r="CU461" s="19"/>
      <c r="CV461" s="19"/>
      <c r="CW461" s="19"/>
      <c r="CX461" s="19"/>
      <c r="CY461" s="19"/>
      <c r="CZ461" s="19"/>
      <c r="DA461" s="19"/>
      <c r="DB461" s="19"/>
      <c r="DC461" s="19"/>
      <c r="DD461" s="19"/>
      <c r="DE461" s="19"/>
      <c r="DF461" s="19"/>
      <c r="DG461" s="19"/>
      <c r="DH461" s="19"/>
      <c r="DI461" s="19"/>
      <c r="DJ461" s="19"/>
      <c r="DK461" s="19"/>
      <c r="DL461" s="19"/>
      <c r="DM461" s="19"/>
      <c r="DN461" s="19"/>
      <c r="DO461" s="19"/>
      <c r="DP461" s="19"/>
      <c r="DQ461" s="19"/>
      <c r="DR461" s="19"/>
      <c r="DS461" s="19"/>
      <c r="DT461" s="19"/>
      <c r="DU461" s="19"/>
      <c r="DV461" s="19"/>
      <c r="DW461" s="19"/>
      <c r="DX461" s="19"/>
      <c r="DY461" s="19"/>
      <c r="DZ461" s="19"/>
      <c r="EA461" s="19"/>
      <c r="EB461" s="19"/>
      <c r="EC461" s="19"/>
      <c r="ED461" s="19"/>
      <c r="EE461" s="19"/>
      <c r="EF461" s="19"/>
      <c r="EG461" s="19"/>
      <c r="EH461" s="19"/>
      <c r="EI461" s="19"/>
      <c r="EJ461" s="19"/>
      <c r="EK461" s="19"/>
      <c r="EL461" s="19"/>
      <c r="EM461" s="19"/>
      <c r="EN461" s="19"/>
      <c r="EO461" s="19"/>
      <c r="EP461" s="19"/>
      <c r="EQ461" s="19"/>
      <c r="ER461" s="19"/>
      <c r="ES461" s="19"/>
      <c r="ET461" s="19"/>
      <c r="EU461" s="19"/>
      <c r="EV461" s="19"/>
      <c r="EW461" s="19"/>
      <c r="EX461" s="19"/>
      <c r="EY461" s="19"/>
      <c r="EZ461" s="19"/>
      <c r="FA461" s="19"/>
      <c r="FB461" s="19"/>
      <c r="FC461" s="19"/>
      <c r="FD461" s="19"/>
      <c r="FE461" s="19"/>
      <c r="FF461" s="19"/>
      <c r="FG461" s="19"/>
      <c r="FH461" s="19"/>
      <c r="FI461" s="19"/>
    </row>
    <row r="462" spans="1:165" x14ac:dyDescent="0.25">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c r="BE462" s="19"/>
      <c r="BF462" s="19"/>
      <c r="BG462" s="19"/>
      <c r="BH462" s="19"/>
      <c r="BI462" s="19"/>
      <c r="BJ462" s="19"/>
      <c r="BK462" s="19"/>
      <c r="BL462" s="19"/>
      <c r="BM462" s="19"/>
      <c r="BN462" s="19"/>
      <c r="BO462" s="19"/>
      <c r="BP462" s="19"/>
      <c r="BQ462" s="19"/>
      <c r="BR462" s="19"/>
      <c r="BS462" s="19"/>
      <c r="BT462" s="19"/>
      <c r="BU462" s="19"/>
      <c r="BV462" s="19"/>
      <c r="BW462" s="19"/>
      <c r="BX462" s="19"/>
      <c r="BY462" s="19"/>
      <c r="BZ462" s="19"/>
      <c r="CA462" s="19"/>
      <c r="CB462" s="19"/>
      <c r="CC462" s="19"/>
      <c r="CD462" s="19"/>
      <c r="CE462" s="19"/>
      <c r="CF462" s="19"/>
      <c r="CG462" s="19"/>
      <c r="CH462" s="19"/>
      <c r="CI462" s="19"/>
      <c r="CJ462" s="19"/>
      <c r="CK462" s="19"/>
      <c r="CL462" s="19"/>
      <c r="CM462" s="19"/>
      <c r="CN462" s="19"/>
      <c r="CO462" s="19"/>
      <c r="CP462" s="19"/>
      <c r="CQ462" s="19"/>
      <c r="CR462" s="19"/>
      <c r="CS462" s="19"/>
      <c r="CT462" s="19"/>
      <c r="CU462" s="19"/>
      <c r="CV462" s="19"/>
      <c r="CW462" s="19"/>
      <c r="CX462" s="19"/>
      <c r="CY462" s="19"/>
      <c r="CZ462" s="19"/>
      <c r="DA462" s="19"/>
      <c r="DB462" s="19"/>
      <c r="DC462" s="19"/>
      <c r="DD462" s="19"/>
      <c r="DE462" s="19"/>
      <c r="DF462" s="19"/>
      <c r="DG462" s="19"/>
      <c r="DH462" s="19"/>
      <c r="DI462" s="19"/>
      <c r="DJ462" s="19"/>
      <c r="DK462" s="19"/>
      <c r="DL462" s="19"/>
      <c r="DM462" s="19"/>
      <c r="DN462" s="19"/>
      <c r="DO462" s="19"/>
      <c r="DP462" s="19"/>
      <c r="DQ462" s="19"/>
      <c r="DR462" s="19"/>
      <c r="DS462" s="19"/>
      <c r="DT462" s="19"/>
      <c r="DU462" s="19"/>
      <c r="DV462" s="19"/>
      <c r="DW462" s="19"/>
      <c r="DX462" s="19"/>
      <c r="DY462" s="19"/>
      <c r="DZ462" s="19"/>
      <c r="EA462" s="19"/>
      <c r="EB462" s="19"/>
      <c r="EC462" s="19"/>
      <c r="ED462" s="19"/>
      <c r="EE462" s="19"/>
      <c r="EF462" s="19"/>
      <c r="EG462" s="19"/>
      <c r="EH462" s="19"/>
      <c r="EI462" s="19"/>
      <c r="EJ462" s="19"/>
      <c r="EK462" s="19"/>
      <c r="EL462" s="19"/>
      <c r="EM462" s="19"/>
      <c r="EN462" s="19"/>
      <c r="EO462" s="19"/>
      <c r="EP462" s="19"/>
      <c r="EQ462" s="19"/>
      <c r="ER462" s="19"/>
      <c r="ES462" s="19"/>
      <c r="ET462" s="19"/>
      <c r="EU462" s="19"/>
      <c r="EV462" s="19"/>
      <c r="EW462" s="19"/>
      <c r="EX462" s="19"/>
      <c r="EY462" s="19"/>
      <c r="EZ462" s="19"/>
      <c r="FA462" s="19"/>
      <c r="FB462" s="19"/>
      <c r="FC462" s="19"/>
      <c r="FD462" s="19"/>
      <c r="FE462" s="19"/>
      <c r="FF462" s="19"/>
      <c r="FG462" s="19"/>
      <c r="FH462" s="19"/>
      <c r="FI462" s="19"/>
    </row>
    <row r="463" spans="1:165" x14ac:dyDescent="0.25">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c r="BE463" s="19"/>
      <c r="BF463" s="19"/>
      <c r="BG463" s="19"/>
      <c r="BH463" s="19"/>
      <c r="BI463" s="19"/>
      <c r="BJ463" s="19"/>
      <c r="BK463" s="19"/>
      <c r="BL463" s="19"/>
      <c r="BM463" s="19"/>
      <c r="BN463" s="19"/>
      <c r="BO463" s="19"/>
      <c r="BP463" s="19"/>
      <c r="BQ463" s="19"/>
      <c r="BR463" s="19"/>
      <c r="BS463" s="19"/>
      <c r="BT463" s="19"/>
      <c r="BU463" s="19"/>
      <c r="BV463" s="19"/>
      <c r="BW463" s="19"/>
      <c r="BX463" s="19"/>
      <c r="BY463" s="19"/>
      <c r="BZ463" s="19"/>
      <c r="CA463" s="19"/>
      <c r="CB463" s="19"/>
      <c r="CC463" s="19"/>
      <c r="CD463" s="19"/>
      <c r="CE463" s="19"/>
      <c r="CF463" s="19"/>
      <c r="CG463" s="19"/>
      <c r="CH463" s="19"/>
      <c r="CI463" s="19"/>
      <c r="CJ463" s="19"/>
      <c r="CK463" s="19"/>
      <c r="CL463" s="19"/>
      <c r="CM463" s="19"/>
      <c r="CN463" s="19"/>
      <c r="CO463" s="19"/>
      <c r="CP463" s="19"/>
      <c r="CQ463" s="19"/>
      <c r="CR463" s="19"/>
      <c r="CS463" s="19"/>
      <c r="CT463" s="19"/>
      <c r="CU463" s="19"/>
      <c r="CV463" s="19"/>
      <c r="CW463" s="19"/>
      <c r="CX463" s="19"/>
      <c r="CY463" s="19"/>
      <c r="CZ463" s="19"/>
      <c r="DA463" s="19"/>
      <c r="DB463" s="19"/>
      <c r="DC463" s="19"/>
      <c r="DD463" s="19"/>
      <c r="DE463" s="19"/>
      <c r="DF463" s="19"/>
      <c r="DG463" s="19"/>
      <c r="DH463" s="19"/>
      <c r="DI463" s="19"/>
      <c r="DJ463" s="19"/>
      <c r="DK463" s="19"/>
      <c r="DL463" s="19"/>
      <c r="DM463" s="19"/>
      <c r="DN463" s="19"/>
      <c r="DO463" s="19"/>
      <c r="DP463" s="19"/>
      <c r="DQ463" s="19"/>
      <c r="DR463" s="19"/>
      <c r="DS463" s="19"/>
      <c r="DT463" s="19"/>
      <c r="DU463" s="19"/>
      <c r="DV463" s="19"/>
      <c r="DW463" s="19"/>
      <c r="DX463" s="19"/>
      <c r="DY463" s="19"/>
      <c r="DZ463" s="19"/>
      <c r="EA463" s="19"/>
      <c r="EB463" s="19"/>
      <c r="EC463" s="19"/>
      <c r="ED463" s="19"/>
      <c r="EE463" s="19"/>
      <c r="EF463" s="19"/>
      <c r="EG463" s="19"/>
      <c r="EH463" s="19"/>
      <c r="EI463" s="19"/>
      <c r="EJ463" s="19"/>
      <c r="EK463" s="19"/>
      <c r="EL463" s="19"/>
      <c r="EM463" s="19"/>
      <c r="EN463" s="19"/>
      <c r="EO463" s="19"/>
      <c r="EP463" s="19"/>
      <c r="EQ463" s="19"/>
      <c r="ER463" s="19"/>
      <c r="ES463" s="19"/>
      <c r="ET463" s="19"/>
      <c r="EU463" s="19"/>
      <c r="EV463" s="19"/>
      <c r="EW463" s="19"/>
      <c r="EX463" s="19"/>
      <c r="EY463" s="19"/>
      <c r="EZ463" s="19"/>
      <c r="FA463" s="19"/>
      <c r="FB463" s="19"/>
      <c r="FC463" s="19"/>
      <c r="FD463" s="19"/>
      <c r="FE463" s="19"/>
      <c r="FF463" s="19"/>
      <c r="FG463" s="19"/>
      <c r="FH463" s="19"/>
      <c r="FI463" s="19"/>
    </row>
    <row r="464" spans="1:165" x14ac:dyDescent="0.25">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c r="BE464" s="19"/>
      <c r="BF464" s="19"/>
      <c r="BG464" s="19"/>
      <c r="BH464" s="19"/>
      <c r="BI464" s="19"/>
      <c r="BJ464" s="19"/>
      <c r="BK464" s="19"/>
      <c r="BL464" s="19"/>
      <c r="BM464" s="19"/>
      <c r="BN464" s="19"/>
      <c r="BO464" s="19"/>
      <c r="BP464" s="19"/>
      <c r="BQ464" s="19"/>
      <c r="BR464" s="19"/>
      <c r="BS464" s="19"/>
      <c r="BT464" s="19"/>
      <c r="BU464" s="19"/>
      <c r="BV464" s="19"/>
      <c r="BW464" s="19"/>
      <c r="BX464" s="19"/>
      <c r="BY464" s="19"/>
      <c r="BZ464" s="19"/>
      <c r="CA464" s="19"/>
      <c r="CB464" s="19"/>
      <c r="CC464" s="19"/>
      <c r="CD464" s="19"/>
      <c r="CE464" s="19"/>
      <c r="CF464" s="19"/>
      <c r="CG464" s="19"/>
      <c r="CH464" s="19"/>
      <c r="CI464" s="19"/>
      <c r="CJ464" s="19"/>
      <c r="CK464" s="19"/>
      <c r="CL464" s="19"/>
      <c r="CM464" s="19"/>
      <c r="CN464" s="19"/>
      <c r="CO464" s="19"/>
      <c r="CP464" s="19"/>
      <c r="CQ464" s="19"/>
      <c r="CR464" s="19"/>
      <c r="CS464" s="19"/>
      <c r="CT464" s="19"/>
      <c r="CU464" s="19"/>
      <c r="CV464" s="19"/>
      <c r="CW464" s="19"/>
      <c r="CX464" s="19"/>
      <c r="CY464" s="19"/>
      <c r="CZ464" s="19"/>
      <c r="DA464" s="19"/>
      <c r="DB464" s="19"/>
      <c r="DC464" s="19"/>
      <c r="DD464" s="19"/>
      <c r="DE464" s="19"/>
      <c r="DF464" s="19"/>
      <c r="DG464" s="19"/>
      <c r="DH464" s="19"/>
      <c r="DI464" s="19"/>
      <c r="DJ464" s="19"/>
      <c r="DK464" s="19"/>
      <c r="DL464" s="19"/>
      <c r="DM464" s="19"/>
      <c r="DN464" s="19"/>
      <c r="DO464" s="19"/>
      <c r="DP464" s="19"/>
      <c r="DQ464" s="19"/>
      <c r="DR464" s="19"/>
      <c r="DS464" s="19"/>
      <c r="DT464" s="19"/>
      <c r="DU464" s="19"/>
      <c r="DV464" s="19"/>
      <c r="DW464" s="19"/>
      <c r="DX464" s="19"/>
      <c r="DY464" s="19"/>
      <c r="DZ464" s="19"/>
      <c r="EA464" s="19"/>
      <c r="EB464" s="19"/>
      <c r="EC464" s="19"/>
      <c r="ED464" s="19"/>
      <c r="EE464" s="19"/>
      <c r="EF464" s="19"/>
      <c r="EG464" s="19"/>
      <c r="EH464" s="19"/>
      <c r="EI464" s="19"/>
      <c r="EJ464" s="19"/>
      <c r="EK464" s="19"/>
      <c r="EL464" s="19"/>
      <c r="EM464" s="19"/>
      <c r="EN464" s="19"/>
      <c r="EO464" s="19"/>
      <c r="EP464" s="19"/>
      <c r="EQ464" s="19"/>
      <c r="ER464" s="19"/>
      <c r="ES464" s="19"/>
      <c r="ET464" s="19"/>
      <c r="EU464" s="19"/>
      <c r="EV464" s="19"/>
      <c r="EW464" s="19"/>
      <c r="EX464" s="19"/>
      <c r="EY464" s="19"/>
      <c r="EZ464" s="19"/>
      <c r="FA464" s="19"/>
      <c r="FB464" s="19"/>
      <c r="FC464" s="19"/>
      <c r="FD464" s="19"/>
      <c r="FE464" s="19"/>
      <c r="FF464" s="19"/>
      <c r="FG464" s="19"/>
      <c r="FH464" s="19"/>
      <c r="FI464" s="19"/>
    </row>
    <row r="465" spans="1:165" x14ac:dyDescent="0.25">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c r="BE465" s="19"/>
      <c r="BF465" s="19"/>
      <c r="BG465" s="19"/>
      <c r="BH465" s="19"/>
      <c r="BI465" s="19"/>
      <c r="BJ465" s="19"/>
      <c r="BK465" s="19"/>
      <c r="BL465" s="19"/>
      <c r="BM465" s="19"/>
      <c r="BN465" s="19"/>
      <c r="BO465" s="19"/>
      <c r="BP465" s="19"/>
      <c r="BQ465" s="19"/>
      <c r="BR465" s="19"/>
      <c r="BS465" s="19"/>
      <c r="BT465" s="19"/>
      <c r="BU465" s="19"/>
      <c r="BV465" s="19"/>
      <c r="BW465" s="19"/>
      <c r="BX465" s="19"/>
      <c r="BY465" s="19"/>
      <c r="BZ465" s="19"/>
      <c r="CA465" s="19"/>
      <c r="CB465" s="19"/>
      <c r="CC465" s="19"/>
      <c r="CD465" s="19"/>
      <c r="CE465" s="19"/>
      <c r="CF465" s="19"/>
      <c r="CG465" s="19"/>
      <c r="CH465" s="19"/>
      <c r="CI465" s="19"/>
      <c r="CJ465" s="19"/>
      <c r="CK465" s="19"/>
      <c r="CL465" s="19"/>
      <c r="CM465" s="19"/>
      <c r="CN465" s="19"/>
      <c r="CO465" s="19"/>
      <c r="CP465" s="19"/>
      <c r="CQ465" s="19"/>
      <c r="CR465" s="19"/>
      <c r="CS465" s="19"/>
      <c r="CT465" s="19"/>
      <c r="CU465" s="19"/>
      <c r="CV465" s="19"/>
      <c r="CW465" s="19"/>
      <c r="CX465" s="19"/>
      <c r="CY465" s="19"/>
      <c r="CZ465" s="19"/>
      <c r="DA465" s="19"/>
      <c r="DB465" s="19"/>
      <c r="DC465" s="19"/>
      <c r="DD465" s="19"/>
      <c r="DE465" s="19"/>
      <c r="DF465" s="19"/>
      <c r="DG465" s="19"/>
      <c r="DH465" s="19"/>
      <c r="DI465" s="19"/>
      <c r="DJ465" s="19"/>
      <c r="DK465" s="19"/>
      <c r="DL465" s="19"/>
      <c r="DM465" s="19"/>
      <c r="DN465" s="19"/>
      <c r="DO465" s="19"/>
      <c r="DP465" s="19"/>
      <c r="DQ465" s="19"/>
      <c r="DR465" s="19"/>
      <c r="DS465" s="19"/>
      <c r="DT465" s="19"/>
      <c r="DU465" s="19"/>
      <c r="DV465" s="19"/>
      <c r="DW465" s="19"/>
      <c r="DX465" s="19"/>
      <c r="DY465" s="19"/>
      <c r="DZ465" s="19"/>
      <c r="EA465" s="19"/>
      <c r="EB465" s="19"/>
      <c r="EC465" s="19"/>
      <c r="ED465" s="19"/>
      <c r="EE465" s="19"/>
      <c r="EF465" s="19"/>
      <c r="EG465" s="19"/>
      <c r="EH465" s="19"/>
      <c r="EI465" s="19"/>
      <c r="EJ465" s="19"/>
      <c r="EK465" s="19"/>
      <c r="EL465" s="19"/>
      <c r="EM465" s="19"/>
      <c r="EN465" s="19"/>
      <c r="EO465" s="19"/>
      <c r="EP465" s="19"/>
      <c r="EQ465" s="19"/>
      <c r="ER465" s="19"/>
      <c r="ES465" s="19"/>
      <c r="ET465" s="19"/>
      <c r="EU465" s="19"/>
      <c r="EV465" s="19"/>
      <c r="EW465" s="19"/>
      <c r="EX465" s="19"/>
      <c r="EY465" s="19"/>
      <c r="EZ465" s="19"/>
      <c r="FA465" s="19"/>
      <c r="FB465" s="19"/>
      <c r="FC465" s="19"/>
      <c r="FD465" s="19"/>
      <c r="FE465" s="19"/>
      <c r="FF465" s="19"/>
      <c r="FG465" s="19"/>
      <c r="FH465" s="19"/>
      <c r="FI465" s="19"/>
    </row>
    <row r="466" spans="1:165" x14ac:dyDescent="0.25">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c r="BE466" s="19"/>
      <c r="BF466" s="19"/>
      <c r="BG466" s="19"/>
      <c r="BH466" s="19"/>
      <c r="BI466" s="19"/>
      <c r="BJ466" s="19"/>
      <c r="BK466" s="19"/>
      <c r="BL466" s="19"/>
      <c r="BM466" s="19"/>
      <c r="BN466" s="19"/>
      <c r="BO466" s="19"/>
      <c r="BP466" s="19"/>
      <c r="BQ466" s="19"/>
      <c r="BR466" s="19"/>
      <c r="BS466" s="19"/>
      <c r="BT466" s="19"/>
      <c r="BU466" s="19"/>
      <c r="BV466" s="19"/>
      <c r="BW466" s="19"/>
      <c r="BX466" s="19"/>
      <c r="BY466" s="19"/>
      <c r="BZ466" s="19"/>
      <c r="CA466" s="19"/>
      <c r="CB466" s="19"/>
      <c r="CC466" s="19"/>
      <c r="CD466" s="19"/>
      <c r="CE466" s="19"/>
      <c r="CF466" s="19"/>
      <c r="CG466" s="19"/>
      <c r="CH466" s="19"/>
      <c r="CI466" s="19"/>
      <c r="CJ466" s="19"/>
      <c r="CK466" s="19"/>
      <c r="CL466" s="19"/>
      <c r="CM466" s="19"/>
      <c r="CN466" s="19"/>
      <c r="CO466" s="19"/>
      <c r="CP466" s="19"/>
      <c r="CQ466" s="19"/>
      <c r="CR466" s="19"/>
      <c r="CS466" s="19"/>
      <c r="CT466" s="19"/>
      <c r="CU466" s="19"/>
      <c r="CV466" s="19"/>
      <c r="CW466" s="19"/>
      <c r="CX466" s="19"/>
      <c r="CY466" s="19"/>
      <c r="CZ466" s="19"/>
      <c r="DA466" s="19"/>
      <c r="DB466" s="19"/>
      <c r="DC466" s="19"/>
      <c r="DD466" s="19"/>
      <c r="DE466" s="19"/>
      <c r="DF466" s="19"/>
      <c r="DG466" s="19"/>
      <c r="DH466" s="19"/>
      <c r="DI466" s="19"/>
      <c r="DJ466" s="19"/>
      <c r="DK466" s="19"/>
      <c r="DL466" s="19"/>
      <c r="DM466" s="19"/>
      <c r="DN466" s="19"/>
      <c r="DO466" s="19"/>
      <c r="DP466" s="19"/>
      <c r="DQ466" s="19"/>
      <c r="DR466" s="19"/>
      <c r="DS466" s="19"/>
      <c r="DT466" s="19"/>
      <c r="DU466" s="19"/>
      <c r="DV466" s="19"/>
      <c r="DW466" s="19"/>
      <c r="DX466" s="19"/>
      <c r="DY466" s="19"/>
      <c r="DZ466" s="19"/>
      <c r="EA466" s="19"/>
      <c r="EB466" s="19"/>
      <c r="EC466" s="19"/>
      <c r="ED466" s="19"/>
      <c r="EE466" s="19"/>
      <c r="EF466" s="19"/>
      <c r="EG466" s="19"/>
      <c r="EH466" s="19"/>
      <c r="EI466" s="19"/>
      <c r="EJ466" s="19"/>
      <c r="EK466" s="19"/>
      <c r="EL466" s="19"/>
      <c r="EM466" s="19"/>
      <c r="EN466" s="19"/>
      <c r="EO466" s="19"/>
      <c r="EP466" s="19"/>
      <c r="EQ466" s="19"/>
      <c r="ER466" s="19"/>
      <c r="ES466" s="19"/>
      <c r="ET466" s="19"/>
      <c r="EU466" s="19"/>
      <c r="EV466" s="19"/>
      <c r="EW466" s="19"/>
      <c r="EX466" s="19"/>
      <c r="EY466" s="19"/>
      <c r="EZ466" s="19"/>
      <c r="FA466" s="19"/>
      <c r="FB466" s="19"/>
      <c r="FC466" s="19"/>
      <c r="FD466" s="19"/>
      <c r="FE466" s="19"/>
      <c r="FF466" s="19"/>
      <c r="FG466" s="19"/>
      <c r="FH466" s="19"/>
      <c r="FI466" s="19"/>
    </row>
    <row r="467" spans="1:165" x14ac:dyDescent="0.25">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c r="BE467" s="19"/>
      <c r="BF467" s="19"/>
      <c r="BG467" s="19"/>
      <c r="BH467" s="19"/>
      <c r="BI467" s="19"/>
      <c r="BJ467" s="19"/>
      <c r="BK467" s="19"/>
      <c r="BL467" s="19"/>
      <c r="BM467" s="19"/>
      <c r="BN467" s="19"/>
      <c r="BO467" s="19"/>
      <c r="BP467" s="19"/>
      <c r="BQ467" s="19"/>
      <c r="BR467" s="19"/>
      <c r="BS467" s="19"/>
      <c r="BT467" s="19"/>
      <c r="BU467" s="19"/>
      <c r="BV467" s="19"/>
      <c r="BW467" s="19"/>
      <c r="BX467" s="19"/>
      <c r="BY467" s="19"/>
      <c r="BZ467" s="19"/>
      <c r="CA467" s="19"/>
      <c r="CB467" s="19"/>
      <c r="CC467" s="19"/>
      <c r="CD467" s="19"/>
      <c r="CE467" s="19"/>
      <c r="CF467" s="19"/>
      <c r="CG467" s="19"/>
      <c r="CH467" s="19"/>
      <c r="CI467" s="19"/>
      <c r="CJ467" s="19"/>
      <c r="CK467" s="19"/>
      <c r="CL467" s="19"/>
      <c r="CM467" s="19"/>
      <c r="CN467" s="19"/>
      <c r="CO467" s="19"/>
      <c r="CP467" s="19"/>
      <c r="CQ467" s="19"/>
      <c r="CR467" s="19"/>
      <c r="CS467" s="19"/>
      <c r="CT467" s="19"/>
      <c r="CU467" s="19"/>
      <c r="CV467" s="19"/>
      <c r="CW467" s="19"/>
      <c r="CX467" s="19"/>
      <c r="CY467" s="19"/>
      <c r="CZ467" s="19"/>
      <c r="DA467" s="19"/>
      <c r="DB467" s="19"/>
      <c r="DC467" s="19"/>
      <c r="DD467" s="19"/>
      <c r="DE467" s="19"/>
      <c r="DF467" s="19"/>
      <c r="DG467" s="19"/>
      <c r="DH467" s="19"/>
      <c r="DI467" s="19"/>
      <c r="DJ467" s="19"/>
      <c r="DK467" s="19"/>
      <c r="DL467" s="19"/>
      <c r="DM467" s="19"/>
      <c r="DN467" s="19"/>
      <c r="DO467" s="19"/>
      <c r="DP467" s="19"/>
      <c r="DQ467" s="19"/>
      <c r="DR467" s="19"/>
      <c r="DS467" s="19"/>
      <c r="DT467" s="19"/>
      <c r="DU467" s="19"/>
      <c r="DV467" s="19"/>
      <c r="DW467" s="19"/>
      <c r="DX467" s="19"/>
      <c r="DY467" s="19"/>
      <c r="DZ467" s="19"/>
      <c r="EA467" s="19"/>
      <c r="EB467" s="19"/>
      <c r="EC467" s="19"/>
      <c r="ED467" s="19"/>
      <c r="EE467" s="19"/>
      <c r="EF467" s="19"/>
      <c r="EG467" s="19"/>
      <c r="EH467" s="19"/>
      <c r="EI467" s="19"/>
      <c r="EJ467" s="19"/>
      <c r="EK467" s="19"/>
      <c r="EL467" s="19"/>
      <c r="EM467" s="19"/>
      <c r="EN467" s="19"/>
      <c r="EO467" s="19"/>
      <c r="EP467" s="19"/>
      <c r="EQ467" s="19"/>
      <c r="ER467" s="19"/>
      <c r="ES467" s="19"/>
      <c r="ET467" s="19"/>
      <c r="EU467" s="19"/>
      <c r="EV467" s="19"/>
      <c r="EW467" s="19"/>
      <c r="EX467" s="19"/>
      <c r="EY467" s="19"/>
      <c r="EZ467" s="19"/>
      <c r="FA467" s="19"/>
      <c r="FB467" s="19"/>
      <c r="FC467" s="19"/>
      <c r="FD467" s="19"/>
      <c r="FE467" s="19"/>
      <c r="FF467" s="19"/>
      <c r="FG467" s="19"/>
      <c r="FH467" s="19"/>
      <c r="FI467" s="19"/>
    </row>
    <row r="468" spans="1:165" x14ac:dyDescent="0.25">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c r="BE468" s="19"/>
      <c r="BF468" s="19"/>
      <c r="BG468" s="19"/>
      <c r="BH468" s="19"/>
      <c r="BI468" s="19"/>
      <c r="BJ468" s="19"/>
      <c r="BK468" s="19"/>
      <c r="BL468" s="19"/>
      <c r="BM468" s="19"/>
      <c r="BN468" s="19"/>
      <c r="BO468" s="19"/>
      <c r="BP468" s="19"/>
      <c r="BQ468" s="19"/>
      <c r="BR468" s="19"/>
      <c r="BS468" s="19"/>
      <c r="BT468" s="19"/>
      <c r="BU468" s="19"/>
      <c r="BV468" s="19"/>
      <c r="BW468" s="19"/>
      <c r="BX468" s="19"/>
      <c r="BY468" s="19"/>
      <c r="BZ468" s="19"/>
      <c r="CA468" s="19"/>
      <c r="CB468" s="19"/>
      <c r="CC468" s="19"/>
      <c r="CD468" s="19"/>
      <c r="CE468" s="19"/>
      <c r="CF468" s="19"/>
      <c r="CG468" s="19"/>
      <c r="CH468" s="19"/>
      <c r="CI468" s="19"/>
      <c r="CJ468" s="19"/>
      <c r="CK468" s="19"/>
      <c r="CL468" s="19"/>
      <c r="CM468" s="19"/>
      <c r="CN468" s="19"/>
      <c r="CO468" s="19"/>
      <c r="CP468" s="19"/>
      <c r="CQ468" s="19"/>
      <c r="CR468" s="19"/>
      <c r="CS468" s="19"/>
      <c r="CT468" s="19"/>
      <c r="CU468" s="19"/>
      <c r="CV468" s="19"/>
      <c r="CW468" s="19"/>
      <c r="CX468" s="19"/>
      <c r="CY468" s="19"/>
      <c r="CZ468" s="19"/>
      <c r="DA468" s="19"/>
      <c r="DB468" s="19"/>
      <c r="DC468" s="19"/>
      <c r="DD468" s="19"/>
      <c r="DE468" s="19"/>
      <c r="DF468" s="19"/>
      <c r="DG468" s="19"/>
      <c r="DH468" s="19"/>
      <c r="DI468" s="19"/>
      <c r="DJ468" s="19"/>
      <c r="DK468" s="19"/>
      <c r="DL468" s="19"/>
      <c r="DM468" s="19"/>
      <c r="DN468" s="19"/>
      <c r="DO468" s="19"/>
      <c r="DP468" s="19"/>
      <c r="DQ468" s="19"/>
      <c r="DR468" s="19"/>
      <c r="DS468" s="19"/>
      <c r="DT468" s="19"/>
      <c r="DU468" s="19"/>
      <c r="DV468" s="19"/>
      <c r="DW468" s="19"/>
      <c r="DX468" s="19"/>
      <c r="DY468" s="19"/>
      <c r="DZ468" s="19"/>
      <c r="EA468" s="19"/>
      <c r="EB468" s="19"/>
      <c r="EC468" s="19"/>
      <c r="ED468" s="19"/>
      <c r="EE468" s="19"/>
      <c r="EF468" s="19"/>
      <c r="EG468" s="19"/>
      <c r="EH468" s="19"/>
      <c r="EI468" s="19"/>
      <c r="EJ468" s="19"/>
      <c r="EK468" s="19"/>
      <c r="EL468" s="19"/>
      <c r="EM468" s="19"/>
      <c r="EN468" s="19"/>
      <c r="EO468" s="19"/>
      <c r="EP468" s="19"/>
      <c r="EQ468" s="19"/>
      <c r="ER468" s="19"/>
      <c r="ES468" s="19"/>
      <c r="ET468" s="19"/>
      <c r="EU468" s="19"/>
      <c r="EV468" s="19"/>
      <c r="EW468" s="19"/>
      <c r="EX468" s="19"/>
      <c r="EY468" s="19"/>
      <c r="EZ468" s="19"/>
      <c r="FA468" s="19"/>
      <c r="FB468" s="19"/>
      <c r="FC468" s="19"/>
      <c r="FD468" s="19"/>
      <c r="FE468" s="19"/>
      <c r="FF468" s="19"/>
      <c r="FG468" s="19"/>
      <c r="FH468" s="19"/>
      <c r="FI468" s="19"/>
    </row>
    <row r="469" spans="1:165" x14ac:dyDescent="0.25">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c r="BE469" s="19"/>
      <c r="BF469" s="19"/>
      <c r="BG469" s="19"/>
      <c r="BH469" s="19"/>
      <c r="BI469" s="19"/>
      <c r="BJ469" s="19"/>
      <c r="BK469" s="19"/>
      <c r="BL469" s="19"/>
      <c r="BM469" s="19"/>
      <c r="BN469" s="19"/>
      <c r="BO469" s="19"/>
      <c r="BP469" s="19"/>
      <c r="BQ469" s="19"/>
      <c r="BR469" s="19"/>
      <c r="BS469" s="19"/>
      <c r="BT469" s="19"/>
      <c r="BU469" s="19"/>
      <c r="BV469" s="19"/>
      <c r="BW469" s="19"/>
      <c r="BX469" s="19"/>
      <c r="BY469" s="19"/>
      <c r="BZ469" s="19"/>
      <c r="CA469" s="19"/>
      <c r="CB469" s="19"/>
      <c r="CC469" s="19"/>
      <c r="CD469" s="19"/>
      <c r="CE469" s="19"/>
      <c r="CF469" s="19"/>
      <c r="CG469" s="19"/>
      <c r="CH469" s="19"/>
      <c r="CI469" s="19"/>
      <c r="CJ469" s="19"/>
      <c r="CK469" s="19"/>
      <c r="CL469" s="19"/>
      <c r="CM469" s="19"/>
      <c r="CN469" s="19"/>
      <c r="CO469" s="19"/>
      <c r="CP469" s="19"/>
      <c r="CQ469" s="19"/>
      <c r="CR469" s="19"/>
      <c r="CS469" s="19"/>
      <c r="CT469" s="19"/>
      <c r="CU469" s="19"/>
      <c r="CV469" s="19"/>
      <c r="CW469" s="19"/>
      <c r="CX469" s="19"/>
      <c r="CY469" s="19"/>
      <c r="CZ469" s="19"/>
      <c r="DA469" s="19"/>
      <c r="DB469" s="19"/>
      <c r="DC469" s="19"/>
      <c r="DD469" s="19"/>
      <c r="DE469" s="19"/>
      <c r="DF469" s="19"/>
      <c r="DG469" s="19"/>
      <c r="DH469" s="19"/>
      <c r="DI469" s="19"/>
      <c r="DJ469" s="19"/>
      <c r="DK469" s="19"/>
      <c r="DL469" s="19"/>
      <c r="DM469" s="19"/>
      <c r="DN469" s="19"/>
      <c r="DO469" s="19"/>
      <c r="DP469" s="19"/>
      <c r="DQ469" s="19"/>
      <c r="DR469" s="19"/>
      <c r="DS469" s="19"/>
      <c r="DT469" s="19"/>
      <c r="DU469" s="19"/>
      <c r="DV469" s="19"/>
      <c r="DW469" s="19"/>
      <c r="DX469" s="19"/>
      <c r="DY469" s="19"/>
      <c r="DZ469" s="19"/>
      <c r="EA469" s="19"/>
      <c r="EB469" s="19"/>
      <c r="EC469" s="19"/>
      <c r="ED469" s="19"/>
      <c r="EE469" s="19"/>
      <c r="EF469" s="19"/>
      <c r="EG469" s="19"/>
      <c r="EH469" s="19"/>
      <c r="EI469" s="19"/>
      <c r="EJ469" s="19"/>
      <c r="EK469" s="19"/>
      <c r="EL469" s="19"/>
      <c r="EM469" s="19"/>
      <c r="EN469" s="19"/>
      <c r="EO469" s="19"/>
      <c r="EP469" s="19"/>
      <c r="EQ469" s="19"/>
      <c r="ER469" s="19"/>
      <c r="ES469" s="19"/>
      <c r="ET469" s="19"/>
      <c r="EU469" s="19"/>
      <c r="EV469" s="19"/>
      <c r="EW469" s="19"/>
      <c r="EX469" s="19"/>
      <c r="EY469" s="19"/>
      <c r="EZ469" s="19"/>
      <c r="FA469" s="19"/>
      <c r="FB469" s="19"/>
      <c r="FC469" s="19"/>
      <c r="FD469" s="19"/>
      <c r="FE469" s="19"/>
      <c r="FF469" s="19"/>
      <c r="FG469" s="19"/>
      <c r="FH469" s="19"/>
      <c r="FI469" s="19"/>
    </row>
    <row r="470" spans="1:165" x14ac:dyDescent="0.25">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c r="BE470" s="19"/>
      <c r="BF470" s="19"/>
      <c r="BG470" s="19"/>
      <c r="BH470" s="19"/>
      <c r="BI470" s="19"/>
      <c r="BJ470" s="19"/>
      <c r="BK470" s="19"/>
      <c r="BL470" s="19"/>
      <c r="BM470" s="19"/>
      <c r="BN470" s="19"/>
      <c r="BO470" s="19"/>
      <c r="BP470" s="19"/>
      <c r="BQ470" s="19"/>
      <c r="BR470" s="19"/>
      <c r="BS470" s="19"/>
      <c r="BT470" s="19"/>
      <c r="BU470" s="19"/>
      <c r="BV470" s="19"/>
      <c r="BW470" s="19"/>
      <c r="BX470" s="19"/>
      <c r="BY470" s="19"/>
      <c r="BZ470" s="19"/>
      <c r="CA470" s="19"/>
      <c r="CB470" s="19"/>
      <c r="CC470" s="19"/>
      <c r="CD470" s="19"/>
      <c r="CE470" s="19"/>
      <c r="CF470" s="19"/>
      <c r="CG470" s="19"/>
      <c r="CH470" s="19"/>
      <c r="CI470" s="19"/>
      <c r="CJ470" s="19"/>
      <c r="CK470" s="19"/>
      <c r="CL470" s="19"/>
      <c r="CM470" s="19"/>
      <c r="CN470" s="19"/>
      <c r="CO470" s="19"/>
      <c r="CP470" s="19"/>
      <c r="CQ470" s="19"/>
      <c r="CR470" s="19"/>
      <c r="CS470" s="19"/>
      <c r="CT470" s="19"/>
      <c r="CU470" s="19"/>
      <c r="CV470" s="19"/>
      <c r="CW470" s="19"/>
      <c r="CX470" s="19"/>
      <c r="CY470" s="19"/>
      <c r="CZ470" s="19"/>
      <c r="DA470" s="19"/>
      <c r="DB470" s="19"/>
      <c r="DC470" s="19"/>
      <c r="DD470" s="19"/>
      <c r="DE470" s="19"/>
      <c r="DF470" s="19"/>
      <c r="DG470" s="19"/>
      <c r="DH470" s="19"/>
      <c r="DI470" s="19"/>
      <c r="DJ470" s="19"/>
      <c r="DK470" s="19"/>
      <c r="DL470" s="19"/>
      <c r="DM470" s="19"/>
      <c r="DN470" s="19"/>
      <c r="DO470" s="19"/>
      <c r="DP470" s="19"/>
      <c r="DQ470" s="19"/>
      <c r="DR470" s="19"/>
      <c r="DS470" s="19"/>
      <c r="DT470" s="19"/>
      <c r="DU470" s="19"/>
      <c r="DV470" s="19"/>
      <c r="DW470" s="19"/>
      <c r="DX470" s="19"/>
      <c r="DY470" s="19"/>
      <c r="DZ470" s="19"/>
      <c r="EA470" s="19"/>
      <c r="EB470" s="19"/>
      <c r="EC470" s="19"/>
      <c r="ED470" s="19"/>
      <c r="EE470" s="19"/>
      <c r="EF470" s="19"/>
      <c r="EG470" s="19"/>
      <c r="EH470" s="19"/>
      <c r="EI470" s="19"/>
      <c r="EJ470" s="19"/>
      <c r="EK470" s="19"/>
      <c r="EL470" s="19"/>
      <c r="EM470" s="19"/>
      <c r="EN470" s="19"/>
      <c r="EO470" s="19"/>
      <c r="EP470" s="19"/>
      <c r="EQ470" s="19"/>
      <c r="ER470" s="19"/>
      <c r="ES470" s="19"/>
      <c r="ET470" s="19"/>
      <c r="EU470" s="19"/>
      <c r="EV470" s="19"/>
      <c r="EW470" s="19"/>
      <c r="EX470" s="19"/>
      <c r="EY470" s="19"/>
      <c r="EZ470" s="19"/>
      <c r="FA470" s="19"/>
      <c r="FB470" s="19"/>
      <c r="FC470" s="19"/>
      <c r="FD470" s="19"/>
      <c r="FE470" s="19"/>
      <c r="FF470" s="19"/>
      <c r="FG470" s="19"/>
      <c r="FH470" s="19"/>
      <c r="FI470" s="19"/>
    </row>
    <row r="471" spans="1:165" x14ac:dyDescent="0.25">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c r="BE471" s="19"/>
      <c r="BF471" s="19"/>
      <c r="BG471" s="19"/>
      <c r="BH471" s="19"/>
      <c r="BI471" s="19"/>
      <c r="BJ471" s="19"/>
      <c r="BK471" s="19"/>
      <c r="BL471" s="19"/>
      <c r="BM471" s="19"/>
      <c r="BN471" s="19"/>
      <c r="BO471" s="19"/>
      <c r="BP471" s="19"/>
      <c r="BQ471" s="19"/>
      <c r="BR471" s="19"/>
      <c r="BS471" s="19"/>
      <c r="BT471" s="19"/>
      <c r="BU471" s="19"/>
      <c r="BV471" s="19"/>
      <c r="BW471" s="19"/>
      <c r="BX471" s="19"/>
      <c r="BY471" s="19"/>
      <c r="BZ471" s="19"/>
      <c r="CA471" s="19"/>
      <c r="CB471" s="19"/>
      <c r="CC471" s="19"/>
      <c r="CD471" s="19"/>
      <c r="CE471" s="19"/>
      <c r="CF471" s="19"/>
      <c r="CG471" s="19"/>
      <c r="CH471" s="19"/>
      <c r="CI471" s="19"/>
      <c r="CJ471" s="19"/>
      <c r="CK471" s="19"/>
      <c r="CL471" s="19"/>
      <c r="CM471" s="19"/>
      <c r="CN471" s="19"/>
      <c r="CO471" s="19"/>
      <c r="CP471" s="19"/>
      <c r="CQ471" s="19"/>
      <c r="CR471" s="19"/>
      <c r="CS471" s="19"/>
      <c r="CT471" s="19"/>
      <c r="CU471" s="19"/>
      <c r="CV471" s="19"/>
      <c r="CW471" s="19"/>
      <c r="CX471" s="19"/>
      <c r="CY471" s="19"/>
      <c r="CZ471" s="19"/>
      <c r="DA471" s="19"/>
      <c r="DB471" s="19"/>
      <c r="DC471" s="19"/>
      <c r="DD471" s="19"/>
      <c r="DE471" s="19"/>
      <c r="DF471" s="19"/>
      <c r="DG471" s="19"/>
      <c r="DH471" s="19"/>
      <c r="DI471" s="19"/>
      <c r="DJ471" s="19"/>
      <c r="DK471" s="19"/>
      <c r="DL471" s="19"/>
      <c r="DM471" s="19"/>
      <c r="DN471" s="19"/>
      <c r="DO471" s="19"/>
      <c r="DP471" s="19"/>
      <c r="DQ471" s="19"/>
      <c r="DR471" s="19"/>
      <c r="DS471" s="19"/>
      <c r="DT471" s="19"/>
      <c r="DU471" s="19"/>
      <c r="DV471" s="19"/>
      <c r="DW471" s="19"/>
      <c r="DX471" s="19"/>
      <c r="DY471" s="19"/>
      <c r="DZ471" s="19"/>
      <c r="EA471" s="19"/>
      <c r="EB471" s="19"/>
      <c r="EC471" s="19"/>
      <c r="ED471" s="19"/>
      <c r="EE471" s="19"/>
      <c r="EF471" s="19"/>
      <c r="EG471" s="19"/>
      <c r="EH471" s="19"/>
      <c r="EI471" s="19"/>
      <c r="EJ471" s="19"/>
      <c r="EK471" s="19"/>
      <c r="EL471" s="19"/>
      <c r="EM471" s="19"/>
      <c r="EN471" s="19"/>
      <c r="EO471" s="19"/>
      <c r="EP471" s="19"/>
      <c r="EQ471" s="19"/>
      <c r="ER471" s="19"/>
      <c r="ES471" s="19"/>
      <c r="ET471" s="19"/>
      <c r="EU471" s="19"/>
      <c r="EV471" s="19"/>
      <c r="EW471" s="19"/>
      <c r="EX471" s="19"/>
      <c r="EY471" s="19"/>
      <c r="EZ471" s="19"/>
      <c r="FA471" s="19"/>
      <c r="FB471" s="19"/>
      <c r="FC471" s="19"/>
      <c r="FD471" s="19"/>
      <c r="FE471" s="19"/>
      <c r="FF471" s="19"/>
      <c r="FG471" s="19"/>
      <c r="FH471" s="19"/>
      <c r="FI471" s="19"/>
    </row>
    <row r="472" spans="1:165" x14ac:dyDescent="0.25">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c r="BE472" s="19"/>
      <c r="BF472" s="19"/>
      <c r="BG472" s="19"/>
      <c r="BH472" s="19"/>
      <c r="BI472" s="19"/>
      <c r="BJ472" s="19"/>
      <c r="BK472" s="19"/>
      <c r="BL472" s="19"/>
      <c r="BM472" s="19"/>
      <c r="BN472" s="19"/>
      <c r="BO472" s="19"/>
      <c r="BP472" s="19"/>
      <c r="BQ472" s="19"/>
      <c r="BR472" s="19"/>
      <c r="BS472" s="19"/>
      <c r="BT472" s="19"/>
      <c r="BU472" s="19"/>
      <c r="BV472" s="19"/>
      <c r="BW472" s="19"/>
      <c r="BX472" s="19"/>
      <c r="BY472" s="19"/>
      <c r="BZ472" s="19"/>
      <c r="CA472" s="19"/>
      <c r="CB472" s="19"/>
      <c r="CC472" s="19"/>
      <c r="CD472" s="19"/>
      <c r="CE472" s="19"/>
      <c r="CF472" s="19"/>
      <c r="CG472" s="19"/>
      <c r="CH472" s="19"/>
      <c r="CI472" s="19"/>
      <c r="CJ472" s="19"/>
      <c r="CK472" s="19"/>
      <c r="CL472" s="19"/>
      <c r="CM472" s="19"/>
      <c r="CN472" s="19"/>
      <c r="CO472" s="19"/>
      <c r="CP472" s="19"/>
      <c r="CQ472" s="19"/>
      <c r="CR472" s="19"/>
      <c r="CS472" s="19"/>
      <c r="CT472" s="19"/>
      <c r="CU472" s="19"/>
      <c r="CV472" s="19"/>
      <c r="CW472" s="19"/>
      <c r="CX472" s="19"/>
      <c r="CY472" s="19"/>
      <c r="CZ472" s="19"/>
      <c r="DA472" s="19"/>
      <c r="DB472" s="19"/>
      <c r="DC472" s="19"/>
      <c r="DD472" s="19"/>
      <c r="DE472" s="19"/>
      <c r="DF472" s="19"/>
      <c r="DG472" s="19"/>
      <c r="DH472" s="19"/>
      <c r="DI472" s="19"/>
      <c r="DJ472" s="19"/>
      <c r="DK472" s="19"/>
      <c r="DL472" s="19"/>
      <c r="DM472" s="19"/>
      <c r="DN472" s="19"/>
      <c r="DO472" s="19"/>
      <c r="DP472" s="19"/>
      <c r="DQ472" s="19"/>
      <c r="DR472" s="19"/>
      <c r="DS472" s="19"/>
      <c r="DT472" s="19"/>
      <c r="DU472" s="19"/>
      <c r="DV472" s="19"/>
      <c r="DW472" s="19"/>
      <c r="DX472" s="19"/>
      <c r="DY472" s="19"/>
      <c r="DZ472" s="19"/>
      <c r="EA472" s="19"/>
      <c r="EB472" s="19"/>
      <c r="EC472" s="19"/>
      <c r="ED472" s="19"/>
      <c r="EE472" s="19"/>
      <c r="EF472" s="19"/>
      <c r="EG472" s="19"/>
      <c r="EH472" s="19"/>
      <c r="EI472" s="19"/>
      <c r="EJ472" s="19"/>
      <c r="EK472" s="19"/>
      <c r="EL472" s="19"/>
      <c r="EM472" s="19"/>
      <c r="EN472" s="19"/>
      <c r="EO472" s="19"/>
      <c r="EP472" s="19"/>
      <c r="EQ472" s="19"/>
      <c r="ER472" s="19"/>
      <c r="ES472" s="19"/>
      <c r="ET472" s="19"/>
      <c r="EU472" s="19"/>
      <c r="EV472" s="19"/>
      <c r="EW472" s="19"/>
      <c r="EX472" s="19"/>
      <c r="EY472" s="19"/>
      <c r="EZ472" s="19"/>
      <c r="FA472" s="19"/>
      <c r="FB472" s="19"/>
      <c r="FC472" s="19"/>
      <c r="FD472" s="19"/>
      <c r="FE472" s="19"/>
      <c r="FF472" s="19"/>
      <c r="FG472" s="19"/>
      <c r="FH472" s="19"/>
      <c r="FI472" s="19"/>
    </row>
    <row r="473" spans="1:165" x14ac:dyDescent="0.25">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c r="BE473" s="19"/>
      <c r="BF473" s="19"/>
      <c r="BG473" s="19"/>
      <c r="BH473" s="19"/>
      <c r="BI473" s="19"/>
      <c r="BJ473" s="19"/>
      <c r="BK473" s="19"/>
      <c r="BL473" s="19"/>
      <c r="BM473" s="19"/>
      <c r="BN473" s="19"/>
      <c r="BO473" s="19"/>
      <c r="BP473" s="19"/>
      <c r="BQ473" s="19"/>
      <c r="BR473" s="19"/>
      <c r="BS473" s="19"/>
      <c r="BT473" s="19"/>
      <c r="BU473" s="19"/>
      <c r="BV473" s="19"/>
      <c r="BW473" s="19"/>
      <c r="BX473" s="19"/>
      <c r="BY473" s="19"/>
      <c r="BZ473" s="19"/>
      <c r="CA473" s="19"/>
      <c r="CB473" s="19"/>
      <c r="CC473" s="19"/>
      <c r="CD473" s="19"/>
      <c r="CE473" s="19"/>
      <c r="CF473" s="19"/>
      <c r="CG473" s="19"/>
      <c r="CH473" s="19"/>
      <c r="CI473" s="19"/>
      <c r="CJ473" s="19"/>
      <c r="CK473" s="19"/>
      <c r="CL473" s="19"/>
      <c r="CM473" s="19"/>
      <c r="CN473" s="19"/>
      <c r="CO473" s="19"/>
      <c r="CP473" s="19"/>
      <c r="CQ473" s="19"/>
      <c r="CR473" s="19"/>
      <c r="CS473" s="19"/>
      <c r="CT473" s="19"/>
      <c r="CU473" s="19"/>
      <c r="CV473" s="19"/>
      <c r="CW473" s="19"/>
      <c r="CX473" s="19"/>
      <c r="CY473" s="19"/>
      <c r="CZ473" s="19"/>
      <c r="DA473" s="19"/>
      <c r="DB473" s="19"/>
      <c r="DC473" s="19"/>
      <c r="DD473" s="19"/>
      <c r="DE473" s="19"/>
      <c r="DF473" s="19"/>
      <c r="DG473" s="19"/>
      <c r="DH473" s="19"/>
      <c r="DI473" s="19"/>
      <c r="DJ473" s="19"/>
      <c r="DK473" s="19"/>
      <c r="DL473" s="19"/>
      <c r="DM473" s="19"/>
      <c r="DN473" s="19"/>
      <c r="DO473" s="19"/>
      <c r="DP473" s="19"/>
      <c r="DQ473" s="19"/>
      <c r="DR473" s="19"/>
      <c r="DS473" s="19"/>
      <c r="DT473" s="19"/>
      <c r="DU473" s="19"/>
      <c r="DV473" s="19"/>
      <c r="DW473" s="19"/>
      <c r="DX473" s="19"/>
      <c r="DY473" s="19"/>
      <c r="DZ473" s="19"/>
      <c r="EA473" s="19"/>
      <c r="EB473" s="19"/>
      <c r="EC473" s="19"/>
      <c r="ED473" s="19"/>
      <c r="EE473" s="19"/>
      <c r="EF473" s="19"/>
      <c r="EG473" s="19"/>
      <c r="EH473" s="19"/>
      <c r="EI473" s="19"/>
      <c r="EJ473" s="19"/>
      <c r="EK473" s="19"/>
      <c r="EL473" s="19"/>
      <c r="EM473" s="19"/>
      <c r="EN473" s="19"/>
      <c r="EO473" s="19"/>
      <c r="EP473" s="19"/>
      <c r="EQ473" s="19"/>
      <c r="ER473" s="19"/>
      <c r="ES473" s="19"/>
      <c r="ET473" s="19"/>
      <c r="EU473" s="19"/>
      <c r="EV473" s="19"/>
      <c r="EW473" s="19"/>
      <c r="EX473" s="19"/>
      <c r="EY473" s="19"/>
      <c r="EZ473" s="19"/>
      <c r="FA473" s="19"/>
      <c r="FB473" s="19"/>
      <c r="FC473" s="19"/>
      <c r="FD473" s="19"/>
      <c r="FE473" s="19"/>
      <c r="FF473" s="19"/>
      <c r="FG473" s="19"/>
      <c r="FH473" s="19"/>
      <c r="FI473" s="19"/>
    </row>
    <row r="474" spans="1:165" x14ac:dyDescent="0.25">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c r="BE474" s="19"/>
      <c r="BF474" s="19"/>
      <c r="BG474" s="19"/>
      <c r="BH474" s="19"/>
      <c r="BI474" s="19"/>
      <c r="BJ474" s="19"/>
      <c r="BK474" s="19"/>
      <c r="BL474" s="19"/>
      <c r="BM474" s="19"/>
      <c r="BN474" s="19"/>
      <c r="BO474" s="19"/>
      <c r="BP474" s="19"/>
      <c r="BQ474" s="19"/>
      <c r="BR474" s="19"/>
      <c r="BS474" s="19"/>
      <c r="BT474" s="19"/>
      <c r="BU474" s="19"/>
      <c r="BV474" s="19"/>
      <c r="BW474" s="19"/>
      <c r="BX474" s="19"/>
      <c r="BY474" s="19"/>
      <c r="BZ474" s="19"/>
      <c r="CA474" s="19"/>
      <c r="CB474" s="19"/>
      <c r="CC474" s="19"/>
      <c r="CD474" s="19"/>
      <c r="CE474" s="19"/>
      <c r="CF474" s="19"/>
      <c r="CG474" s="19"/>
      <c r="CH474" s="19"/>
      <c r="CI474" s="19"/>
      <c r="CJ474" s="19"/>
      <c r="CK474" s="19"/>
      <c r="CL474" s="19"/>
      <c r="CM474" s="19"/>
      <c r="CN474" s="19"/>
      <c r="CO474" s="19"/>
      <c r="CP474" s="19"/>
      <c r="CQ474" s="19"/>
      <c r="CR474" s="19"/>
      <c r="CS474" s="19"/>
      <c r="CT474" s="19"/>
      <c r="CU474" s="19"/>
      <c r="CV474" s="19"/>
      <c r="CW474" s="19"/>
      <c r="CX474" s="19"/>
      <c r="CY474" s="19"/>
      <c r="CZ474" s="19"/>
      <c r="DA474" s="19"/>
      <c r="DB474" s="19"/>
      <c r="DC474" s="19"/>
      <c r="DD474" s="19"/>
      <c r="DE474" s="19"/>
      <c r="DF474" s="19"/>
      <c r="DG474" s="19"/>
      <c r="DH474" s="19"/>
      <c r="DI474" s="19"/>
      <c r="DJ474" s="19"/>
      <c r="DK474" s="19"/>
      <c r="DL474" s="19"/>
      <c r="DM474" s="19"/>
      <c r="DN474" s="19"/>
      <c r="DO474" s="19"/>
      <c r="DP474" s="19"/>
      <c r="DQ474" s="19"/>
      <c r="DR474" s="19"/>
      <c r="DS474" s="19"/>
      <c r="DT474" s="19"/>
      <c r="DU474" s="19"/>
      <c r="DV474" s="19"/>
      <c r="DW474" s="19"/>
      <c r="DX474" s="19"/>
      <c r="DY474" s="19"/>
      <c r="DZ474" s="19"/>
      <c r="EA474" s="19"/>
      <c r="EB474" s="19"/>
      <c r="EC474" s="19"/>
      <c r="ED474" s="19"/>
      <c r="EE474" s="19"/>
      <c r="EF474" s="19"/>
      <c r="EG474" s="19"/>
      <c r="EH474" s="19"/>
      <c r="EI474" s="19"/>
      <c r="EJ474" s="19"/>
      <c r="EK474" s="19"/>
      <c r="EL474" s="19"/>
      <c r="EM474" s="19"/>
      <c r="EN474" s="19"/>
      <c r="EO474" s="19"/>
      <c r="EP474" s="19"/>
      <c r="EQ474" s="19"/>
      <c r="ER474" s="19"/>
      <c r="ES474" s="19"/>
      <c r="ET474" s="19"/>
      <c r="EU474" s="19"/>
      <c r="EV474" s="19"/>
      <c r="EW474" s="19"/>
      <c r="EX474" s="19"/>
      <c r="EY474" s="19"/>
      <c r="EZ474" s="19"/>
      <c r="FA474" s="19"/>
      <c r="FB474" s="19"/>
      <c r="FC474" s="19"/>
      <c r="FD474" s="19"/>
      <c r="FE474" s="19"/>
      <c r="FF474" s="19"/>
      <c r="FG474" s="19"/>
      <c r="FH474" s="19"/>
      <c r="FI474" s="19"/>
    </row>
    <row r="475" spans="1:165" x14ac:dyDescent="0.25">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c r="BE475" s="19"/>
      <c r="BF475" s="19"/>
      <c r="BG475" s="19"/>
      <c r="BH475" s="19"/>
      <c r="BI475" s="19"/>
      <c r="BJ475" s="19"/>
      <c r="BK475" s="19"/>
      <c r="BL475" s="19"/>
      <c r="BM475" s="19"/>
      <c r="BN475" s="19"/>
      <c r="BO475" s="19"/>
      <c r="BP475" s="19"/>
      <c r="BQ475" s="19"/>
      <c r="BR475" s="19"/>
      <c r="BS475" s="19"/>
      <c r="BT475" s="19"/>
      <c r="BU475" s="19"/>
      <c r="BV475" s="19"/>
      <c r="BW475" s="19"/>
      <c r="BX475" s="19"/>
      <c r="BY475" s="19"/>
      <c r="BZ475" s="19"/>
      <c r="CA475" s="19"/>
      <c r="CB475" s="19"/>
      <c r="CC475" s="19"/>
      <c r="CD475" s="19"/>
      <c r="CE475" s="19"/>
      <c r="CF475" s="19"/>
      <c r="CG475" s="19"/>
      <c r="CH475" s="19"/>
      <c r="CI475" s="19"/>
      <c r="CJ475" s="19"/>
      <c r="CK475" s="19"/>
      <c r="CL475" s="19"/>
      <c r="CM475" s="19"/>
      <c r="CN475" s="19"/>
      <c r="CO475" s="19"/>
      <c r="CP475" s="19"/>
      <c r="CQ475" s="19"/>
      <c r="CR475" s="19"/>
      <c r="CS475" s="19"/>
      <c r="CT475" s="19"/>
      <c r="CU475" s="19"/>
      <c r="CV475" s="19"/>
      <c r="CW475" s="19"/>
      <c r="CX475" s="19"/>
      <c r="CY475" s="19"/>
      <c r="CZ475" s="19"/>
      <c r="DA475" s="19"/>
      <c r="DB475" s="19"/>
      <c r="DC475" s="19"/>
      <c r="DD475" s="19"/>
      <c r="DE475" s="19"/>
      <c r="DF475" s="19"/>
      <c r="DG475" s="19"/>
      <c r="DH475" s="19"/>
      <c r="DI475" s="19"/>
      <c r="DJ475" s="19"/>
      <c r="DK475" s="19"/>
      <c r="DL475" s="19"/>
      <c r="DM475" s="19"/>
      <c r="DN475" s="19"/>
      <c r="DO475" s="19"/>
      <c r="DP475" s="19"/>
      <c r="DQ475" s="19"/>
      <c r="DR475" s="19"/>
      <c r="DS475" s="19"/>
      <c r="DT475" s="19"/>
      <c r="DU475" s="19"/>
      <c r="DV475" s="19"/>
      <c r="DW475" s="19"/>
      <c r="DX475" s="19"/>
      <c r="DY475" s="19"/>
      <c r="DZ475" s="19"/>
      <c r="EA475" s="19"/>
      <c r="EB475" s="19"/>
      <c r="EC475" s="19"/>
      <c r="ED475" s="19"/>
      <c r="EE475" s="19"/>
      <c r="EF475" s="19"/>
      <c r="EG475" s="19"/>
      <c r="EH475" s="19"/>
      <c r="EI475" s="19"/>
      <c r="EJ475" s="19"/>
      <c r="EK475" s="19"/>
      <c r="EL475" s="19"/>
      <c r="EM475" s="19"/>
      <c r="EN475" s="19"/>
      <c r="EO475" s="19"/>
      <c r="EP475" s="19"/>
      <c r="EQ475" s="19"/>
      <c r="ER475" s="19"/>
      <c r="ES475" s="19"/>
      <c r="ET475" s="19"/>
      <c r="EU475" s="19"/>
      <c r="EV475" s="19"/>
      <c r="EW475" s="19"/>
      <c r="EX475" s="19"/>
      <c r="EY475" s="19"/>
      <c r="EZ475" s="19"/>
      <c r="FA475" s="19"/>
      <c r="FB475" s="19"/>
      <c r="FC475" s="19"/>
      <c r="FD475" s="19"/>
      <c r="FE475" s="19"/>
      <c r="FF475" s="19"/>
      <c r="FG475" s="19"/>
      <c r="FH475" s="19"/>
      <c r="FI475" s="19"/>
    </row>
    <row r="476" spans="1:165" x14ac:dyDescent="0.25">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c r="BE476" s="19"/>
      <c r="BF476" s="19"/>
      <c r="BG476" s="19"/>
      <c r="BH476" s="19"/>
      <c r="BI476" s="19"/>
      <c r="BJ476" s="19"/>
      <c r="BK476" s="19"/>
      <c r="BL476" s="19"/>
      <c r="BM476" s="19"/>
      <c r="BN476" s="19"/>
      <c r="BO476" s="19"/>
      <c r="BP476" s="19"/>
      <c r="BQ476" s="19"/>
      <c r="BR476" s="19"/>
      <c r="BS476" s="19"/>
      <c r="BT476" s="19"/>
      <c r="BU476" s="19"/>
      <c r="BV476" s="19"/>
      <c r="BW476" s="19"/>
      <c r="BX476" s="19"/>
      <c r="BY476" s="19"/>
      <c r="BZ476" s="19"/>
      <c r="CA476" s="19"/>
      <c r="CB476" s="19"/>
      <c r="CC476" s="19"/>
      <c r="CD476" s="19"/>
      <c r="CE476" s="19"/>
      <c r="CF476" s="19"/>
      <c r="CG476" s="19"/>
      <c r="CH476" s="19"/>
      <c r="CI476" s="19"/>
      <c r="CJ476" s="19"/>
      <c r="CK476" s="19"/>
      <c r="CL476" s="19"/>
      <c r="CM476" s="19"/>
      <c r="CN476" s="19"/>
      <c r="CO476" s="19"/>
      <c r="CP476" s="19"/>
      <c r="CQ476" s="19"/>
      <c r="CR476" s="19"/>
      <c r="CS476" s="19"/>
      <c r="CT476" s="19"/>
      <c r="CU476" s="19"/>
      <c r="CV476" s="19"/>
      <c r="CW476" s="19"/>
      <c r="CX476" s="19"/>
      <c r="CY476" s="19"/>
      <c r="CZ476" s="19"/>
      <c r="DA476" s="19"/>
      <c r="DB476" s="19"/>
      <c r="DC476" s="19"/>
      <c r="DD476" s="19"/>
      <c r="DE476" s="19"/>
      <c r="DF476" s="19"/>
      <c r="DG476" s="19"/>
      <c r="DH476" s="19"/>
      <c r="DI476" s="19"/>
      <c r="DJ476" s="19"/>
      <c r="DK476" s="19"/>
      <c r="DL476" s="19"/>
      <c r="DM476" s="19"/>
      <c r="DN476" s="19"/>
      <c r="DO476" s="19"/>
      <c r="DP476" s="19"/>
      <c r="DQ476" s="19"/>
      <c r="DR476" s="19"/>
      <c r="DS476" s="19"/>
      <c r="DT476" s="19"/>
      <c r="DU476" s="19"/>
      <c r="DV476" s="19"/>
      <c r="DW476" s="19"/>
      <c r="DX476" s="19"/>
      <c r="DY476" s="19"/>
      <c r="DZ476" s="19"/>
      <c r="EA476" s="19"/>
      <c r="EB476" s="19"/>
      <c r="EC476" s="19"/>
      <c r="ED476" s="19"/>
      <c r="EE476" s="19"/>
      <c r="EF476" s="19"/>
      <c r="EG476" s="19"/>
      <c r="EH476" s="19"/>
      <c r="EI476" s="19"/>
      <c r="EJ476" s="19"/>
      <c r="EK476" s="19"/>
      <c r="EL476" s="19"/>
      <c r="EM476" s="19"/>
      <c r="EN476" s="19"/>
      <c r="EO476" s="19"/>
      <c r="EP476" s="19"/>
      <c r="EQ476" s="19"/>
      <c r="ER476" s="19"/>
      <c r="ES476" s="19"/>
      <c r="ET476" s="19"/>
      <c r="EU476" s="19"/>
      <c r="EV476" s="19"/>
      <c r="EW476" s="19"/>
      <c r="EX476" s="19"/>
      <c r="EY476" s="19"/>
      <c r="EZ476" s="19"/>
      <c r="FA476" s="19"/>
      <c r="FB476" s="19"/>
      <c r="FC476" s="19"/>
      <c r="FD476" s="19"/>
      <c r="FE476" s="19"/>
      <c r="FF476" s="19"/>
      <c r="FG476" s="19"/>
      <c r="FH476" s="19"/>
      <c r="FI476" s="19"/>
    </row>
    <row r="477" spans="1:165" x14ac:dyDescent="0.25">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c r="BE477" s="19"/>
      <c r="BF477" s="19"/>
      <c r="BG477" s="19"/>
      <c r="BH477" s="19"/>
      <c r="BI477" s="19"/>
      <c r="BJ477" s="19"/>
      <c r="BK477" s="19"/>
      <c r="BL477" s="19"/>
      <c r="BM477" s="19"/>
      <c r="BN477" s="19"/>
      <c r="BO477" s="19"/>
      <c r="BP477" s="19"/>
      <c r="BQ477" s="19"/>
      <c r="BR477" s="19"/>
      <c r="BS477" s="19"/>
      <c r="BT477" s="19"/>
      <c r="BU477" s="19"/>
      <c r="BV477" s="19"/>
      <c r="BW477" s="19"/>
      <c r="BX477" s="19"/>
      <c r="BY477" s="19"/>
      <c r="BZ477" s="19"/>
      <c r="CA477" s="19"/>
      <c r="CB477" s="19"/>
      <c r="CC477" s="19"/>
      <c r="CD477" s="19"/>
      <c r="CE477" s="19"/>
      <c r="CF477" s="19"/>
      <c r="CG477" s="19"/>
      <c r="CH477" s="19"/>
      <c r="CI477" s="19"/>
      <c r="CJ477" s="19"/>
      <c r="CK477" s="19"/>
      <c r="CL477" s="19"/>
      <c r="CM477" s="19"/>
      <c r="CN477" s="19"/>
      <c r="CO477" s="19"/>
      <c r="CP477" s="19"/>
      <c r="CQ477" s="19"/>
      <c r="CR477" s="19"/>
      <c r="CS477" s="19"/>
      <c r="CT477" s="19"/>
      <c r="CU477" s="19"/>
      <c r="CV477" s="19"/>
      <c r="CW477" s="19"/>
      <c r="CX477" s="19"/>
      <c r="CY477" s="19"/>
      <c r="CZ477" s="19"/>
      <c r="DA477" s="19"/>
      <c r="DB477" s="19"/>
      <c r="DC477" s="19"/>
      <c r="DD477" s="19"/>
      <c r="DE477" s="19"/>
      <c r="DF477" s="19"/>
      <c r="DG477" s="19"/>
      <c r="DH477" s="19"/>
      <c r="DI477" s="19"/>
      <c r="DJ477" s="19"/>
      <c r="DK477" s="19"/>
      <c r="DL477" s="19"/>
      <c r="DM477" s="19"/>
      <c r="DN477" s="19"/>
      <c r="DO477" s="19"/>
      <c r="DP477" s="19"/>
      <c r="DQ477" s="19"/>
      <c r="DR477" s="19"/>
      <c r="DS477" s="19"/>
      <c r="DT477" s="19"/>
      <c r="DU477" s="19"/>
      <c r="DV477" s="19"/>
      <c r="DW477" s="19"/>
      <c r="DX477" s="19"/>
      <c r="DY477" s="19"/>
      <c r="DZ477" s="19"/>
      <c r="EA477" s="19"/>
      <c r="EB477" s="19"/>
      <c r="EC477" s="19"/>
      <c r="ED477" s="19"/>
      <c r="EE477" s="19"/>
      <c r="EF477" s="19"/>
      <c r="EG477" s="19"/>
      <c r="EH477" s="19"/>
      <c r="EI477" s="19"/>
      <c r="EJ477" s="19"/>
      <c r="EK477" s="19"/>
      <c r="EL477" s="19"/>
      <c r="EM477" s="19"/>
      <c r="EN477" s="19"/>
      <c r="EO477" s="19"/>
      <c r="EP477" s="19"/>
      <c r="EQ477" s="19"/>
      <c r="ER477" s="19"/>
      <c r="ES477" s="19"/>
      <c r="ET477" s="19"/>
      <c r="EU477" s="19"/>
      <c r="EV477" s="19"/>
      <c r="EW477" s="19"/>
      <c r="EX477" s="19"/>
      <c r="EY477" s="19"/>
      <c r="EZ477" s="19"/>
      <c r="FA477" s="19"/>
      <c r="FB477" s="19"/>
      <c r="FC477" s="19"/>
      <c r="FD477" s="19"/>
      <c r="FE477" s="19"/>
      <c r="FF477" s="19"/>
      <c r="FG477" s="19"/>
      <c r="FH477" s="19"/>
      <c r="FI477" s="19"/>
    </row>
    <row r="478" spans="1:165" x14ac:dyDescent="0.25">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c r="BE478" s="19"/>
      <c r="BF478" s="19"/>
      <c r="BG478" s="19"/>
      <c r="BH478" s="19"/>
      <c r="BI478" s="19"/>
      <c r="BJ478" s="19"/>
      <c r="BK478" s="19"/>
      <c r="BL478" s="19"/>
      <c r="BM478" s="19"/>
      <c r="BN478" s="19"/>
      <c r="BO478" s="19"/>
      <c r="BP478" s="19"/>
      <c r="BQ478" s="19"/>
      <c r="BR478" s="19"/>
      <c r="BS478" s="19"/>
      <c r="BT478" s="19"/>
      <c r="BU478" s="19"/>
      <c r="BV478" s="19"/>
      <c r="BW478" s="19"/>
      <c r="BX478" s="19"/>
      <c r="BY478" s="19"/>
      <c r="BZ478" s="19"/>
      <c r="CA478" s="19"/>
      <c r="CB478" s="19"/>
      <c r="CC478" s="19"/>
      <c r="CD478" s="19"/>
      <c r="CE478" s="19"/>
      <c r="CF478" s="19"/>
      <c r="CG478" s="19"/>
      <c r="CH478" s="19"/>
      <c r="CI478" s="19"/>
      <c r="CJ478" s="19"/>
      <c r="CK478" s="19"/>
      <c r="CL478" s="19"/>
      <c r="CM478" s="19"/>
      <c r="CN478" s="19"/>
      <c r="CO478" s="19"/>
      <c r="CP478" s="19"/>
      <c r="CQ478" s="19"/>
      <c r="CR478" s="19"/>
      <c r="CS478" s="19"/>
      <c r="CT478" s="19"/>
      <c r="CU478" s="19"/>
      <c r="CV478" s="19"/>
      <c r="CW478" s="19"/>
      <c r="CX478" s="19"/>
      <c r="CY478" s="19"/>
      <c r="CZ478" s="19"/>
      <c r="DA478" s="19"/>
      <c r="DB478" s="19"/>
      <c r="DC478" s="19"/>
      <c r="DD478" s="19"/>
      <c r="DE478" s="19"/>
      <c r="DF478" s="19"/>
      <c r="DG478" s="19"/>
      <c r="DH478" s="19"/>
      <c r="DI478" s="19"/>
      <c r="DJ478" s="19"/>
      <c r="DK478" s="19"/>
      <c r="DL478" s="19"/>
      <c r="DM478" s="19"/>
      <c r="DN478" s="19"/>
      <c r="DO478" s="19"/>
      <c r="DP478" s="19"/>
      <c r="DQ478" s="19"/>
      <c r="DR478" s="19"/>
      <c r="DS478" s="19"/>
      <c r="DT478" s="19"/>
      <c r="DU478" s="19"/>
      <c r="DV478" s="19"/>
      <c r="DW478" s="19"/>
      <c r="DX478" s="19"/>
      <c r="DY478" s="19"/>
      <c r="DZ478" s="19"/>
      <c r="EA478" s="19"/>
      <c r="EB478" s="19"/>
      <c r="EC478" s="19"/>
      <c r="ED478" s="19"/>
      <c r="EE478" s="19"/>
      <c r="EF478" s="19"/>
      <c r="EG478" s="19"/>
      <c r="EH478" s="19"/>
      <c r="EI478" s="19"/>
      <c r="EJ478" s="19"/>
      <c r="EK478" s="19"/>
      <c r="EL478" s="19"/>
      <c r="EM478" s="19"/>
      <c r="EN478" s="19"/>
      <c r="EO478" s="19"/>
      <c r="EP478" s="19"/>
      <c r="EQ478" s="19"/>
      <c r="ER478" s="19"/>
      <c r="ES478" s="19"/>
      <c r="ET478" s="19"/>
      <c r="EU478" s="19"/>
      <c r="EV478" s="19"/>
      <c r="EW478" s="19"/>
      <c r="EX478" s="19"/>
      <c r="EY478" s="19"/>
      <c r="EZ478" s="19"/>
      <c r="FA478" s="19"/>
      <c r="FB478" s="19"/>
      <c r="FC478" s="19"/>
      <c r="FD478" s="19"/>
      <c r="FE478" s="19"/>
      <c r="FF478" s="19"/>
      <c r="FG478" s="19"/>
      <c r="FH478" s="19"/>
      <c r="FI478" s="19"/>
    </row>
    <row r="479" spans="1:165" x14ac:dyDescent="0.25">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c r="BE479" s="19"/>
      <c r="BF479" s="19"/>
      <c r="BG479" s="19"/>
      <c r="BH479" s="19"/>
      <c r="BI479" s="19"/>
      <c r="BJ479" s="19"/>
      <c r="BK479" s="19"/>
      <c r="BL479" s="19"/>
      <c r="BM479" s="19"/>
      <c r="BN479" s="19"/>
      <c r="BO479" s="19"/>
      <c r="BP479" s="19"/>
      <c r="BQ479" s="19"/>
      <c r="BR479" s="19"/>
      <c r="BS479" s="19"/>
      <c r="BT479" s="19"/>
      <c r="BU479" s="19"/>
      <c r="BV479" s="19"/>
      <c r="BW479" s="19"/>
      <c r="BX479" s="19"/>
      <c r="BY479" s="19"/>
      <c r="BZ479" s="19"/>
      <c r="CA479" s="19"/>
      <c r="CB479" s="19"/>
      <c r="CC479" s="19"/>
      <c r="CD479" s="19"/>
      <c r="CE479" s="19"/>
      <c r="CF479" s="19"/>
      <c r="CG479" s="19"/>
      <c r="CH479" s="19"/>
      <c r="CI479" s="19"/>
      <c r="CJ479" s="19"/>
      <c r="CK479" s="19"/>
      <c r="CL479" s="19"/>
      <c r="CM479" s="19"/>
      <c r="CN479" s="19"/>
      <c r="CO479" s="19"/>
      <c r="CP479" s="19"/>
      <c r="CQ479" s="19"/>
      <c r="CR479" s="19"/>
      <c r="CS479" s="19"/>
      <c r="CT479" s="19"/>
      <c r="CU479" s="19"/>
      <c r="CV479" s="19"/>
      <c r="CW479" s="19"/>
      <c r="CX479" s="19"/>
      <c r="CY479" s="19"/>
      <c r="CZ479" s="19"/>
      <c r="DA479" s="19"/>
      <c r="DB479" s="19"/>
      <c r="DC479" s="19"/>
      <c r="DD479" s="19"/>
      <c r="DE479" s="19"/>
      <c r="DF479" s="19"/>
      <c r="DG479" s="19"/>
      <c r="DH479" s="19"/>
      <c r="DI479" s="19"/>
      <c r="DJ479" s="19"/>
      <c r="DK479" s="19"/>
      <c r="DL479" s="19"/>
      <c r="DM479" s="19"/>
      <c r="DN479" s="19"/>
      <c r="DO479" s="19"/>
      <c r="DP479" s="19"/>
      <c r="DQ479" s="19"/>
      <c r="DR479" s="19"/>
      <c r="DS479" s="19"/>
      <c r="DT479" s="19"/>
      <c r="DU479" s="19"/>
      <c r="DV479" s="19"/>
      <c r="DW479" s="19"/>
      <c r="DX479" s="19"/>
      <c r="DY479" s="19"/>
      <c r="DZ479" s="19"/>
      <c r="EA479" s="19"/>
      <c r="EB479" s="19"/>
      <c r="EC479" s="19"/>
      <c r="ED479" s="19"/>
      <c r="EE479" s="19"/>
      <c r="EF479" s="19"/>
      <c r="EG479" s="19"/>
      <c r="EH479" s="19"/>
      <c r="EI479" s="19"/>
      <c r="EJ479" s="19"/>
      <c r="EK479" s="19"/>
      <c r="EL479" s="19"/>
      <c r="EM479" s="19"/>
      <c r="EN479" s="19"/>
      <c r="EO479" s="19"/>
      <c r="EP479" s="19"/>
      <c r="EQ479" s="19"/>
      <c r="ER479" s="19"/>
      <c r="ES479" s="19"/>
      <c r="ET479" s="19"/>
      <c r="EU479" s="19"/>
      <c r="EV479" s="19"/>
      <c r="EW479" s="19"/>
      <c r="EX479" s="19"/>
      <c r="EY479" s="19"/>
      <c r="EZ479" s="19"/>
      <c r="FA479" s="19"/>
      <c r="FB479" s="19"/>
      <c r="FC479" s="19"/>
      <c r="FD479" s="19"/>
      <c r="FE479" s="19"/>
      <c r="FF479" s="19"/>
      <c r="FG479" s="19"/>
      <c r="FH479" s="19"/>
      <c r="FI479" s="19"/>
    </row>
    <row r="480" spans="1:165" x14ac:dyDescent="0.25">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c r="BE480" s="19"/>
      <c r="BF480" s="19"/>
      <c r="BG480" s="19"/>
      <c r="BH480" s="19"/>
      <c r="BI480" s="19"/>
      <c r="BJ480" s="19"/>
      <c r="BK480" s="19"/>
      <c r="BL480" s="19"/>
      <c r="BM480" s="19"/>
      <c r="BN480" s="19"/>
      <c r="BO480" s="19"/>
      <c r="BP480" s="19"/>
      <c r="BQ480" s="19"/>
      <c r="BR480" s="19"/>
      <c r="BS480" s="19"/>
      <c r="BT480" s="19"/>
      <c r="BU480" s="19"/>
      <c r="BV480" s="19"/>
      <c r="BW480" s="19"/>
      <c r="BX480" s="19"/>
      <c r="BY480" s="19"/>
      <c r="BZ480" s="19"/>
      <c r="CA480" s="19"/>
      <c r="CB480" s="19"/>
      <c r="CC480" s="19"/>
      <c r="CD480" s="19"/>
      <c r="CE480" s="19"/>
      <c r="CF480" s="19"/>
      <c r="CG480" s="19"/>
      <c r="CH480" s="19"/>
      <c r="CI480" s="19"/>
      <c r="CJ480" s="19"/>
      <c r="CK480" s="19"/>
      <c r="CL480" s="19"/>
      <c r="CM480" s="19"/>
      <c r="CN480" s="19"/>
      <c r="CO480" s="19"/>
      <c r="CP480" s="19"/>
      <c r="CQ480" s="19"/>
      <c r="CR480" s="19"/>
      <c r="CS480" s="19"/>
      <c r="CT480" s="19"/>
      <c r="CU480" s="19"/>
      <c r="CV480" s="19"/>
      <c r="CW480" s="19"/>
      <c r="CX480" s="19"/>
      <c r="CY480" s="19"/>
      <c r="CZ480" s="19"/>
      <c r="DA480" s="19"/>
      <c r="DB480" s="19"/>
      <c r="DC480" s="19"/>
      <c r="DD480" s="19"/>
      <c r="DE480" s="19"/>
      <c r="DF480" s="19"/>
      <c r="DG480" s="19"/>
      <c r="DH480" s="19"/>
      <c r="DI480" s="19"/>
      <c r="DJ480" s="19"/>
      <c r="DK480" s="19"/>
      <c r="DL480" s="19"/>
      <c r="DM480" s="19"/>
      <c r="DN480" s="19"/>
      <c r="DO480" s="19"/>
      <c r="DP480" s="19"/>
      <c r="DQ480" s="19"/>
      <c r="DR480" s="19"/>
      <c r="DS480" s="19"/>
      <c r="DT480" s="19"/>
      <c r="DU480" s="19"/>
      <c r="DV480" s="19"/>
      <c r="DW480" s="19"/>
      <c r="DX480" s="19"/>
      <c r="DY480" s="19"/>
      <c r="DZ480" s="19"/>
      <c r="EA480" s="19"/>
      <c r="EB480" s="19"/>
      <c r="EC480" s="19"/>
      <c r="ED480" s="19"/>
      <c r="EE480" s="19"/>
      <c r="EF480" s="19"/>
      <c r="EG480" s="19"/>
      <c r="EH480" s="19"/>
      <c r="EI480" s="19"/>
      <c r="EJ480" s="19"/>
      <c r="EK480" s="19"/>
      <c r="EL480" s="19"/>
      <c r="EM480" s="19"/>
      <c r="EN480" s="19"/>
      <c r="EO480" s="19"/>
      <c r="EP480" s="19"/>
      <c r="EQ480" s="19"/>
      <c r="ER480" s="19"/>
      <c r="ES480" s="19"/>
      <c r="ET480" s="19"/>
      <c r="EU480" s="19"/>
      <c r="EV480" s="19"/>
      <c r="EW480" s="19"/>
      <c r="EX480" s="19"/>
      <c r="EY480" s="19"/>
      <c r="EZ480" s="19"/>
      <c r="FA480" s="19"/>
      <c r="FB480" s="19"/>
      <c r="FC480" s="19"/>
      <c r="FD480" s="19"/>
      <c r="FE480" s="19"/>
      <c r="FF480" s="19"/>
      <c r="FG480" s="19"/>
      <c r="FH480" s="19"/>
      <c r="FI480" s="19"/>
    </row>
    <row r="481" spans="1:165" x14ac:dyDescent="0.25">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c r="BE481" s="19"/>
      <c r="BF481" s="19"/>
      <c r="BG481" s="19"/>
      <c r="BH481" s="19"/>
      <c r="BI481" s="19"/>
      <c r="BJ481" s="19"/>
      <c r="BK481" s="19"/>
      <c r="BL481" s="19"/>
      <c r="BM481" s="19"/>
      <c r="BN481" s="19"/>
      <c r="BO481" s="19"/>
      <c r="BP481" s="19"/>
      <c r="BQ481" s="19"/>
      <c r="BR481" s="19"/>
      <c r="BS481" s="19"/>
      <c r="BT481" s="19"/>
      <c r="BU481" s="19"/>
      <c r="BV481" s="19"/>
      <c r="BW481" s="19"/>
      <c r="BX481" s="19"/>
      <c r="BY481" s="19"/>
      <c r="BZ481" s="19"/>
      <c r="CA481" s="19"/>
      <c r="CB481" s="19"/>
      <c r="CC481" s="19"/>
      <c r="CD481" s="19"/>
      <c r="CE481" s="19"/>
      <c r="CF481" s="19"/>
      <c r="CG481" s="19"/>
      <c r="CH481" s="19"/>
      <c r="CI481" s="19"/>
      <c r="CJ481" s="19"/>
      <c r="CK481" s="19"/>
      <c r="CL481" s="19"/>
      <c r="CM481" s="19"/>
      <c r="CN481" s="19"/>
      <c r="CO481" s="19"/>
      <c r="CP481" s="19"/>
      <c r="CQ481" s="19"/>
      <c r="CR481" s="19"/>
      <c r="CS481" s="19"/>
      <c r="CT481" s="19"/>
      <c r="CU481" s="19"/>
      <c r="CV481" s="19"/>
      <c r="CW481" s="19"/>
      <c r="CX481" s="19"/>
      <c r="CY481" s="19"/>
      <c r="CZ481" s="19"/>
      <c r="DA481" s="19"/>
      <c r="DB481" s="19"/>
      <c r="DC481" s="19"/>
      <c r="DD481" s="19"/>
      <c r="DE481" s="19"/>
      <c r="DF481" s="19"/>
      <c r="DG481" s="19"/>
      <c r="DH481" s="19"/>
      <c r="DI481" s="19"/>
      <c r="DJ481" s="19"/>
      <c r="DK481" s="19"/>
      <c r="DL481" s="19"/>
      <c r="DM481" s="19"/>
      <c r="DN481" s="19"/>
      <c r="DO481" s="19"/>
      <c r="DP481" s="19"/>
      <c r="DQ481" s="19"/>
      <c r="DR481" s="19"/>
      <c r="DS481" s="19"/>
      <c r="DT481" s="19"/>
      <c r="DU481" s="19"/>
      <c r="DV481" s="19"/>
      <c r="DW481" s="19"/>
      <c r="DX481" s="19"/>
      <c r="DY481" s="19"/>
      <c r="DZ481" s="19"/>
      <c r="EA481" s="19"/>
      <c r="EB481" s="19"/>
      <c r="EC481" s="19"/>
      <c r="ED481" s="19"/>
      <c r="EE481" s="19"/>
      <c r="EF481" s="19"/>
      <c r="EG481" s="19"/>
      <c r="EH481" s="19"/>
      <c r="EI481" s="19"/>
      <c r="EJ481" s="19"/>
      <c r="EK481" s="19"/>
      <c r="EL481" s="19"/>
      <c r="EM481" s="19"/>
      <c r="EN481" s="19"/>
      <c r="EO481" s="19"/>
      <c r="EP481" s="19"/>
      <c r="EQ481" s="19"/>
      <c r="ER481" s="19"/>
      <c r="ES481" s="19"/>
      <c r="ET481" s="19"/>
      <c r="EU481" s="19"/>
      <c r="EV481" s="19"/>
      <c r="EW481" s="19"/>
      <c r="EX481" s="19"/>
      <c r="EY481" s="19"/>
      <c r="EZ481" s="19"/>
      <c r="FA481" s="19"/>
      <c r="FB481" s="19"/>
      <c r="FC481" s="19"/>
      <c r="FD481" s="19"/>
      <c r="FE481" s="19"/>
      <c r="FF481" s="19"/>
      <c r="FG481" s="19"/>
      <c r="FH481" s="19"/>
      <c r="FI481" s="19"/>
    </row>
    <row r="482" spans="1:165" x14ac:dyDescent="0.25">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c r="BE482" s="19"/>
      <c r="BF482" s="19"/>
      <c r="BG482" s="19"/>
      <c r="BH482" s="19"/>
      <c r="BI482" s="19"/>
      <c r="BJ482" s="19"/>
      <c r="BK482" s="19"/>
      <c r="BL482" s="19"/>
      <c r="BM482" s="19"/>
      <c r="BN482" s="19"/>
      <c r="BO482" s="19"/>
      <c r="BP482" s="19"/>
      <c r="BQ482" s="19"/>
      <c r="BR482" s="19"/>
      <c r="BS482" s="19"/>
      <c r="BT482" s="19"/>
      <c r="BU482" s="19"/>
      <c r="BV482" s="19"/>
      <c r="BW482" s="19"/>
      <c r="BX482" s="19"/>
      <c r="BY482" s="19"/>
      <c r="BZ482" s="19"/>
      <c r="CA482" s="19"/>
      <c r="CB482" s="19"/>
      <c r="CC482" s="19"/>
      <c r="CD482" s="19"/>
      <c r="CE482" s="19"/>
      <c r="CF482" s="19"/>
      <c r="CG482" s="19"/>
      <c r="CH482" s="19"/>
      <c r="CI482" s="19"/>
      <c r="CJ482" s="19"/>
      <c r="CK482" s="19"/>
      <c r="CL482" s="19"/>
      <c r="CM482" s="19"/>
      <c r="CN482" s="19"/>
      <c r="CO482" s="19"/>
      <c r="CP482" s="19"/>
      <c r="CQ482" s="19"/>
      <c r="CR482" s="19"/>
      <c r="CS482" s="19"/>
      <c r="CT482" s="19"/>
      <c r="CU482" s="19"/>
      <c r="CV482" s="19"/>
      <c r="CW482" s="19"/>
      <c r="CX482" s="19"/>
      <c r="CY482" s="19"/>
      <c r="CZ482" s="19"/>
      <c r="DA482" s="19"/>
      <c r="DB482" s="19"/>
      <c r="DC482" s="19"/>
      <c r="DD482" s="19"/>
      <c r="DE482" s="19"/>
      <c r="DF482" s="19"/>
      <c r="DG482" s="19"/>
      <c r="DH482" s="19"/>
      <c r="DI482" s="19"/>
      <c r="DJ482" s="19"/>
      <c r="DK482" s="19"/>
      <c r="DL482" s="19"/>
      <c r="DM482" s="19"/>
      <c r="DN482" s="19"/>
      <c r="DO482" s="19"/>
      <c r="DP482" s="19"/>
      <c r="DQ482" s="19"/>
      <c r="DR482" s="19"/>
      <c r="DS482" s="19"/>
      <c r="DT482" s="19"/>
      <c r="DU482" s="19"/>
      <c r="DV482" s="19"/>
      <c r="DW482" s="19"/>
      <c r="DX482" s="19"/>
      <c r="DY482" s="19"/>
      <c r="DZ482" s="19"/>
      <c r="EA482" s="19"/>
      <c r="EB482" s="19"/>
      <c r="EC482" s="19"/>
      <c r="ED482" s="19"/>
      <c r="EE482" s="19"/>
      <c r="EF482" s="19"/>
      <c r="EG482" s="19"/>
      <c r="EH482" s="19"/>
      <c r="EI482" s="19"/>
      <c r="EJ482" s="19"/>
      <c r="EK482" s="19"/>
      <c r="EL482" s="19"/>
      <c r="EM482" s="19"/>
      <c r="EN482" s="19"/>
      <c r="EO482" s="19"/>
      <c r="EP482" s="19"/>
      <c r="EQ482" s="19"/>
      <c r="ER482" s="19"/>
      <c r="ES482" s="19"/>
      <c r="ET482" s="19"/>
      <c r="EU482" s="19"/>
      <c r="EV482" s="19"/>
      <c r="EW482" s="19"/>
      <c r="EX482" s="19"/>
      <c r="EY482" s="19"/>
      <c r="EZ482" s="19"/>
      <c r="FA482" s="19"/>
      <c r="FB482" s="19"/>
      <c r="FC482" s="19"/>
      <c r="FD482" s="19"/>
      <c r="FE482" s="19"/>
      <c r="FF482" s="19"/>
      <c r="FG482" s="19"/>
      <c r="FH482" s="19"/>
      <c r="FI482" s="19"/>
    </row>
    <row r="483" spans="1:165" x14ac:dyDescent="0.25">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c r="BE483" s="19"/>
      <c r="BF483" s="19"/>
      <c r="BG483" s="19"/>
      <c r="BH483" s="19"/>
      <c r="BI483" s="19"/>
      <c r="BJ483" s="19"/>
      <c r="BK483" s="19"/>
      <c r="BL483" s="19"/>
      <c r="BM483" s="19"/>
      <c r="BN483" s="19"/>
      <c r="BO483" s="19"/>
      <c r="BP483" s="19"/>
      <c r="BQ483" s="19"/>
      <c r="BR483" s="19"/>
      <c r="BS483" s="19"/>
      <c r="BT483" s="19"/>
      <c r="BU483" s="19"/>
      <c r="BV483" s="19"/>
      <c r="BW483" s="19"/>
      <c r="BX483" s="19"/>
      <c r="BY483" s="19"/>
      <c r="BZ483" s="19"/>
      <c r="CA483" s="19"/>
      <c r="CB483" s="19"/>
      <c r="CC483" s="19"/>
      <c r="CD483" s="19"/>
      <c r="CE483" s="19"/>
      <c r="CF483" s="19"/>
      <c r="CG483" s="19"/>
      <c r="CH483" s="19"/>
      <c r="CI483" s="19"/>
      <c r="CJ483" s="19"/>
      <c r="CK483" s="19"/>
      <c r="CL483" s="19"/>
      <c r="CM483" s="19"/>
      <c r="CN483" s="19"/>
      <c r="CO483" s="19"/>
      <c r="CP483" s="19"/>
      <c r="CQ483" s="19"/>
      <c r="CR483" s="19"/>
      <c r="CS483" s="19"/>
      <c r="CT483" s="19"/>
      <c r="CU483" s="19"/>
      <c r="CV483" s="19"/>
      <c r="CW483" s="19"/>
      <c r="CX483" s="19"/>
      <c r="CY483" s="19"/>
      <c r="CZ483" s="19"/>
      <c r="DA483" s="19"/>
      <c r="DB483" s="19"/>
      <c r="DC483" s="19"/>
      <c r="DD483" s="19"/>
      <c r="DE483" s="19"/>
      <c r="DF483" s="19"/>
      <c r="DG483" s="19"/>
      <c r="DH483" s="19"/>
      <c r="DI483" s="19"/>
      <c r="DJ483" s="19"/>
      <c r="DK483" s="19"/>
      <c r="DL483" s="19"/>
      <c r="DM483" s="19"/>
      <c r="DN483" s="19"/>
      <c r="DO483" s="19"/>
      <c r="DP483" s="19"/>
      <c r="DQ483" s="19"/>
      <c r="DR483" s="19"/>
      <c r="DS483" s="19"/>
      <c r="DT483" s="19"/>
      <c r="DU483" s="19"/>
      <c r="DV483" s="19"/>
      <c r="DW483" s="19"/>
      <c r="DX483" s="19"/>
      <c r="DY483" s="19"/>
      <c r="DZ483" s="19"/>
      <c r="EA483" s="19"/>
      <c r="EB483" s="19"/>
      <c r="EC483" s="19"/>
      <c r="ED483" s="19"/>
      <c r="EE483" s="19"/>
      <c r="EF483" s="19"/>
      <c r="EG483" s="19"/>
      <c r="EH483" s="19"/>
      <c r="EI483" s="19"/>
      <c r="EJ483" s="19"/>
      <c r="EK483" s="19"/>
      <c r="EL483" s="19"/>
      <c r="EM483" s="19"/>
      <c r="EN483" s="19"/>
      <c r="EO483" s="19"/>
      <c r="EP483" s="19"/>
      <c r="EQ483" s="19"/>
      <c r="ER483" s="19"/>
      <c r="ES483" s="19"/>
      <c r="ET483" s="19"/>
      <c r="EU483" s="19"/>
      <c r="EV483" s="19"/>
      <c r="EW483" s="19"/>
      <c r="EX483" s="19"/>
      <c r="EY483" s="19"/>
      <c r="EZ483" s="19"/>
      <c r="FA483" s="19"/>
      <c r="FB483" s="19"/>
      <c r="FC483" s="19"/>
      <c r="FD483" s="19"/>
      <c r="FE483" s="19"/>
      <c r="FF483" s="19"/>
      <c r="FG483" s="19"/>
      <c r="FH483" s="19"/>
      <c r="FI483" s="19"/>
    </row>
    <row r="484" spans="1:165" x14ac:dyDescent="0.25">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c r="BE484" s="19"/>
      <c r="BF484" s="19"/>
      <c r="BG484" s="19"/>
      <c r="BH484" s="19"/>
      <c r="BI484" s="19"/>
      <c r="BJ484" s="19"/>
      <c r="BK484" s="19"/>
      <c r="BL484" s="19"/>
      <c r="BM484" s="19"/>
      <c r="BN484" s="19"/>
      <c r="BO484" s="19"/>
      <c r="BP484" s="19"/>
      <c r="BQ484" s="19"/>
      <c r="BR484" s="19"/>
      <c r="BS484" s="19"/>
      <c r="BT484" s="19"/>
      <c r="BU484" s="19"/>
      <c r="BV484" s="19"/>
      <c r="BW484" s="19"/>
      <c r="BX484" s="19"/>
      <c r="BY484" s="19"/>
      <c r="BZ484" s="19"/>
      <c r="CA484" s="19"/>
      <c r="CB484" s="19"/>
      <c r="CC484" s="19"/>
      <c r="CD484" s="19"/>
      <c r="CE484" s="19"/>
      <c r="CF484" s="19"/>
      <c r="CG484" s="19"/>
      <c r="CH484" s="19"/>
      <c r="CI484" s="19"/>
      <c r="CJ484" s="19"/>
      <c r="CK484" s="19"/>
      <c r="CL484" s="19"/>
      <c r="CM484" s="19"/>
      <c r="CN484" s="19"/>
      <c r="CO484" s="19"/>
      <c r="CP484" s="19"/>
      <c r="CQ484" s="19"/>
      <c r="CR484" s="19"/>
      <c r="CS484" s="19"/>
      <c r="CT484" s="19"/>
      <c r="CU484" s="19"/>
      <c r="CV484" s="19"/>
      <c r="CW484" s="19"/>
      <c r="CX484" s="19"/>
      <c r="CY484" s="19"/>
      <c r="CZ484" s="19"/>
      <c r="DA484" s="19"/>
      <c r="DB484" s="19"/>
      <c r="DC484" s="19"/>
      <c r="DD484" s="19"/>
      <c r="DE484" s="19"/>
      <c r="DF484" s="19"/>
      <c r="DG484" s="19"/>
      <c r="DH484" s="19"/>
      <c r="DI484" s="19"/>
      <c r="DJ484" s="19"/>
      <c r="DK484" s="19"/>
      <c r="DL484" s="19"/>
      <c r="DM484" s="19"/>
      <c r="DN484" s="19"/>
      <c r="DO484" s="19"/>
      <c r="DP484" s="19"/>
      <c r="DQ484" s="19"/>
      <c r="DR484" s="19"/>
      <c r="DS484" s="19"/>
      <c r="DT484" s="19"/>
      <c r="DU484" s="19"/>
      <c r="DV484" s="19"/>
      <c r="DW484" s="19"/>
      <c r="DX484" s="19"/>
      <c r="DY484" s="19"/>
      <c r="DZ484" s="19"/>
      <c r="EA484" s="19"/>
      <c r="EB484" s="19"/>
      <c r="EC484" s="19"/>
      <c r="ED484" s="19"/>
      <c r="EE484" s="19"/>
      <c r="EF484" s="19"/>
      <c r="EG484" s="19"/>
      <c r="EH484" s="19"/>
      <c r="EI484" s="19"/>
      <c r="EJ484" s="19"/>
      <c r="EK484" s="19"/>
      <c r="EL484" s="19"/>
      <c r="EM484" s="19"/>
      <c r="EN484" s="19"/>
      <c r="EO484" s="19"/>
      <c r="EP484" s="19"/>
      <c r="EQ484" s="19"/>
      <c r="ER484" s="19"/>
      <c r="ES484" s="19"/>
      <c r="ET484" s="19"/>
      <c r="EU484" s="19"/>
      <c r="EV484" s="19"/>
      <c r="EW484" s="19"/>
      <c r="EX484" s="19"/>
      <c r="EY484" s="19"/>
      <c r="EZ484" s="19"/>
      <c r="FA484" s="19"/>
      <c r="FB484" s="19"/>
      <c r="FC484" s="19"/>
      <c r="FD484" s="19"/>
      <c r="FE484" s="19"/>
      <c r="FF484" s="19"/>
      <c r="FG484" s="19"/>
      <c r="FH484" s="19"/>
      <c r="FI484" s="19"/>
    </row>
    <row r="485" spans="1:165" x14ac:dyDescent="0.25">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c r="BE485" s="19"/>
      <c r="BF485" s="19"/>
      <c r="BG485" s="19"/>
      <c r="BH485" s="19"/>
      <c r="BI485" s="19"/>
      <c r="BJ485" s="19"/>
      <c r="BK485" s="19"/>
      <c r="BL485" s="19"/>
      <c r="BM485" s="19"/>
      <c r="BN485" s="19"/>
      <c r="BO485" s="19"/>
      <c r="BP485" s="19"/>
      <c r="BQ485" s="19"/>
      <c r="BR485" s="19"/>
      <c r="BS485" s="19"/>
      <c r="BT485" s="19"/>
      <c r="BU485" s="19"/>
      <c r="BV485" s="19"/>
      <c r="BW485" s="19"/>
      <c r="BX485" s="19"/>
      <c r="BY485" s="19"/>
      <c r="BZ485" s="19"/>
      <c r="CA485" s="19"/>
      <c r="CB485" s="19"/>
      <c r="CC485" s="19"/>
      <c r="CD485" s="19"/>
      <c r="CE485" s="19"/>
      <c r="CF485" s="19"/>
      <c r="CG485" s="19"/>
      <c r="CH485" s="19"/>
      <c r="CI485" s="19"/>
      <c r="CJ485" s="19"/>
      <c r="CK485" s="19"/>
      <c r="CL485" s="19"/>
      <c r="CM485" s="19"/>
      <c r="CN485" s="19"/>
      <c r="CO485" s="19"/>
      <c r="CP485" s="19"/>
      <c r="CQ485" s="19"/>
      <c r="CR485" s="19"/>
      <c r="CS485" s="19"/>
      <c r="CT485" s="19"/>
      <c r="CU485" s="19"/>
      <c r="CV485" s="19"/>
      <c r="CW485" s="19"/>
      <c r="CX485" s="19"/>
      <c r="CY485" s="19"/>
      <c r="CZ485" s="19"/>
      <c r="DA485" s="19"/>
      <c r="DB485" s="19"/>
      <c r="DC485" s="19"/>
      <c r="DD485" s="19"/>
      <c r="DE485" s="19"/>
      <c r="DF485" s="19"/>
      <c r="DG485" s="19"/>
      <c r="DH485" s="19"/>
      <c r="DI485" s="19"/>
      <c r="DJ485" s="19"/>
      <c r="DK485" s="19"/>
      <c r="DL485" s="19"/>
      <c r="DM485" s="19"/>
      <c r="DN485" s="19"/>
      <c r="DO485" s="19"/>
      <c r="DP485" s="19"/>
      <c r="DQ485" s="19"/>
      <c r="DR485" s="19"/>
      <c r="DS485" s="19"/>
      <c r="DT485" s="19"/>
      <c r="DU485" s="19"/>
      <c r="DV485" s="19"/>
      <c r="DW485" s="19"/>
      <c r="DX485" s="19"/>
      <c r="DY485" s="19"/>
      <c r="DZ485" s="19"/>
      <c r="EA485" s="19"/>
      <c r="EB485" s="19"/>
      <c r="EC485" s="19"/>
      <c r="ED485" s="19"/>
      <c r="EE485" s="19"/>
      <c r="EF485" s="19"/>
      <c r="EG485" s="19"/>
      <c r="EH485" s="19"/>
      <c r="EI485" s="19"/>
      <c r="EJ485" s="19"/>
      <c r="EK485" s="19"/>
      <c r="EL485" s="19"/>
      <c r="EM485" s="19"/>
      <c r="EN485" s="19"/>
      <c r="EO485" s="19"/>
      <c r="EP485" s="19"/>
      <c r="EQ485" s="19"/>
      <c r="ER485" s="19"/>
      <c r="ES485" s="19"/>
      <c r="ET485" s="19"/>
      <c r="EU485" s="19"/>
      <c r="EV485" s="19"/>
      <c r="EW485" s="19"/>
      <c r="EX485" s="19"/>
      <c r="EY485" s="19"/>
      <c r="EZ485" s="19"/>
      <c r="FA485" s="19"/>
      <c r="FB485" s="19"/>
      <c r="FC485" s="19"/>
      <c r="FD485" s="19"/>
      <c r="FE485" s="19"/>
      <c r="FF485" s="19"/>
      <c r="FG485" s="19"/>
      <c r="FH485" s="19"/>
      <c r="FI485" s="19"/>
    </row>
    <row r="486" spans="1:165" x14ac:dyDescent="0.25">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c r="BE486" s="19"/>
      <c r="BF486" s="19"/>
      <c r="BG486" s="19"/>
      <c r="BH486" s="19"/>
      <c r="BI486" s="19"/>
      <c r="BJ486" s="19"/>
      <c r="BK486" s="19"/>
      <c r="BL486" s="19"/>
      <c r="BM486" s="19"/>
      <c r="BN486" s="19"/>
      <c r="BO486" s="19"/>
      <c r="BP486" s="19"/>
      <c r="BQ486" s="19"/>
      <c r="BR486" s="19"/>
      <c r="BS486" s="19"/>
      <c r="BT486" s="19"/>
      <c r="BU486" s="19"/>
      <c r="BV486" s="19"/>
      <c r="BW486" s="19"/>
      <c r="BX486" s="19"/>
      <c r="BY486" s="19"/>
      <c r="BZ486" s="19"/>
      <c r="CA486" s="19"/>
      <c r="CB486" s="19"/>
      <c r="CC486" s="19"/>
      <c r="CD486" s="19"/>
      <c r="CE486" s="19"/>
      <c r="CF486" s="19"/>
      <c r="CG486" s="19"/>
      <c r="CH486" s="19"/>
      <c r="CI486" s="19"/>
      <c r="CJ486" s="19"/>
      <c r="CK486" s="19"/>
      <c r="CL486" s="19"/>
      <c r="CM486" s="19"/>
      <c r="CN486" s="19"/>
      <c r="CO486" s="19"/>
      <c r="CP486" s="19"/>
      <c r="CQ486" s="19"/>
      <c r="CR486" s="19"/>
      <c r="CS486" s="19"/>
      <c r="CT486" s="19"/>
      <c r="CU486" s="19"/>
      <c r="CV486" s="19"/>
      <c r="CW486" s="19"/>
      <c r="CX486" s="19"/>
      <c r="CY486" s="19"/>
      <c r="CZ486" s="19"/>
      <c r="DA486" s="19"/>
      <c r="DB486" s="19"/>
      <c r="DC486" s="19"/>
      <c r="DD486" s="19"/>
      <c r="DE486" s="19"/>
      <c r="DF486" s="19"/>
      <c r="DG486" s="19"/>
      <c r="DH486" s="19"/>
      <c r="DI486" s="19"/>
      <c r="DJ486" s="19"/>
      <c r="DK486" s="19"/>
      <c r="DL486" s="19"/>
      <c r="DM486" s="19"/>
      <c r="DN486" s="19"/>
      <c r="DO486" s="19"/>
      <c r="DP486" s="19"/>
      <c r="DQ486" s="19"/>
      <c r="DR486" s="19"/>
      <c r="DS486" s="19"/>
      <c r="DT486" s="19"/>
      <c r="DU486" s="19"/>
      <c r="DV486" s="19"/>
      <c r="DW486" s="19"/>
      <c r="DX486" s="19"/>
      <c r="DY486" s="19"/>
      <c r="DZ486" s="19"/>
      <c r="EA486" s="19"/>
      <c r="EB486" s="19"/>
      <c r="EC486" s="19"/>
      <c r="ED486" s="19"/>
      <c r="EE486" s="19"/>
      <c r="EF486" s="19"/>
      <c r="EG486" s="19"/>
      <c r="EH486" s="19"/>
      <c r="EI486" s="19"/>
      <c r="EJ486" s="19"/>
      <c r="EK486" s="19"/>
      <c r="EL486" s="19"/>
      <c r="EM486" s="19"/>
      <c r="EN486" s="19"/>
      <c r="EO486" s="19"/>
      <c r="EP486" s="19"/>
      <c r="EQ486" s="19"/>
      <c r="ER486" s="19"/>
      <c r="ES486" s="19"/>
      <c r="ET486" s="19"/>
      <c r="EU486" s="19"/>
      <c r="EV486" s="19"/>
      <c r="EW486" s="19"/>
      <c r="EX486" s="19"/>
      <c r="EY486" s="19"/>
      <c r="EZ486" s="19"/>
      <c r="FA486" s="19"/>
      <c r="FB486" s="19"/>
      <c r="FC486" s="19"/>
      <c r="FD486" s="19"/>
      <c r="FE486" s="19"/>
      <c r="FF486" s="19"/>
      <c r="FG486" s="19"/>
      <c r="FH486" s="19"/>
      <c r="FI486" s="19"/>
    </row>
    <row r="487" spans="1:165" x14ac:dyDescent="0.25">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c r="BE487" s="19"/>
      <c r="BF487" s="19"/>
      <c r="BG487" s="19"/>
      <c r="BH487" s="19"/>
      <c r="BI487" s="19"/>
      <c r="BJ487" s="19"/>
      <c r="BK487" s="19"/>
      <c r="BL487" s="19"/>
      <c r="BM487" s="19"/>
      <c r="BN487" s="19"/>
      <c r="BO487" s="19"/>
      <c r="BP487" s="19"/>
      <c r="BQ487" s="19"/>
      <c r="BR487" s="19"/>
      <c r="BS487" s="19"/>
      <c r="BT487" s="19"/>
      <c r="BU487" s="19"/>
      <c r="BV487" s="19"/>
      <c r="BW487" s="19"/>
      <c r="BX487" s="19"/>
      <c r="BY487" s="19"/>
      <c r="BZ487" s="19"/>
      <c r="CA487" s="19"/>
      <c r="CB487" s="19"/>
      <c r="CC487" s="19"/>
      <c r="CD487" s="19"/>
      <c r="CE487" s="19"/>
      <c r="CF487" s="19"/>
      <c r="CG487" s="19"/>
      <c r="CH487" s="19"/>
      <c r="CI487" s="19"/>
      <c r="CJ487" s="19"/>
      <c r="CK487" s="19"/>
      <c r="CL487" s="19"/>
      <c r="CM487" s="19"/>
      <c r="CN487" s="19"/>
      <c r="CO487" s="19"/>
      <c r="CP487" s="19"/>
      <c r="CQ487" s="19"/>
      <c r="CR487" s="19"/>
      <c r="CS487" s="19"/>
      <c r="CT487" s="19"/>
      <c r="CU487" s="19"/>
      <c r="CV487" s="19"/>
      <c r="CW487" s="19"/>
      <c r="CX487" s="19"/>
      <c r="CY487" s="19"/>
      <c r="CZ487" s="19"/>
      <c r="DA487" s="19"/>
      <c r="DB487" s="19"/>
      <c r="DC487" s="19"/>
      <c r="DD487" s="19"/>
      <c r="DE487" s="19"/>
      <c r="DF487" s="19"/>
      <c r="DG487" s="19"/>
      <c r="DH487" s="19"/>
      <c r="DI487" s="19"/>
      <c r="DJ487" s="19"/>
      <c r="DK487" s="19"/>
      <c r="DL487" s="19"/>
      <c r="DM487" s="19"/>
      <c r="DN487" s="19"/>
      <c r="DO487" s="19"/>
      <c r="DP487" s="19"/>
      <c r="DQ487" s="19"/>
      <c r="DR487" s="19"/>
      <c r="DS487" s="19"/>
      <c r="DT487" s="19"/>
      <c r="DU487" s="19"/>
      <c r="DV487" s="19"/>
      <c r="DW487" s="19"/>
      <c r="DX487" s="19"/>
      <c r="DY487" s="19"/>
      <c r="DZ487" s="19"/>
      <c r="EA487" s="19"/>
      <c r="EB487" s="19"/>
      <c r="EC487" s="19"/>
      <c r="ED487" s="19"/>
      <c r="EE487" s="19"/>
      <c r="EF487" s="19"/>
      <c r="EG487" s="19"/>
      <c r="EH487" s="19"/>
      <c r="EI487" s="19"/>
      <c r="EJ487" s="19"/>
      <c r="EK487" s="19"/>
      <c r="EL487" s="19"/>
      <c r="EM487" s="19"/>
      <c r="EN487" s="19"/>
      <c r="EO487" s="19"/>
      <c r="EP487" s="19"/>
      <c r="EQ487" s="19"/>
      <c r="ER487" s="19"/>
      <c r="ES487" s="19"/>
      <c r="ET487" s="19"/>
      <c r="EU487" s="19"/>
      <c r="EV487" s="19"/>
      <c r="EW487" s="19"/>
      <c r="EX487" s="19"/>
      <c r="EY487" s="19"/>
      <c r="EZ487" s="19"/>
      <c r="FA487" s="19"/>
      <c r="FB487" s="19"/>
      <c r="FC487" s="19"/>
      <c r="FD487" s="19"/>
      <c r="FE487" s="19"/>
      <c r="FF487" s="19"/>
      <c r="FG487" s="19"/>
      <c r="FH487" s="19"/>
      <c r="FI487" s="19"/>
    </row>
    <row r="488" spans="1:165" x14ac:dyDescent="0.25">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c r="BE488" s="19"/>
      <c r="BF488" s="19"/>
      <c r="BG488" s="19"/>
      <c r="BH488" s="19"/>
      <c r="BI488" s="19"/>
      <c r="BJ488" s="19"/>
      <c r="BK488" s="19"/>
      <c r="BL488" s="19"/>
      <c r="BM488" s="19"/>
      <c r="BN488" s="19"/>
      <c r="BO488" s="19"/>
      <c r="BP488" s="19"/>
      <c r="BQ488" s="19"/>
      <c r="BR488" s="19"/>
      <c r="BS488" s="19"/>
      <c r="BT488" s="19"/>
      <c r="BU488" s="19"/>
      <c r="BV488" s="19"/>
      <c r="BW488" s="19"/>
      <c r="BX488" s="19"/>
      <c r="BY488" s="19"/>
      <c r="BZ488" s="19"/>
      <c r="CA488" s="19"/>
      <c r="CB488" s="19"/>
      <c r="CC488" s="19"/>
      <c r="CD488" s="19"/>
      <c r="CE488" s="19"/>
      <c r="CF488" s="19"/>
      <c r="CG488" s="19"/>
      <c r="CH488" s="19"/>
      <c r="CI488" s="19"/>
      <c r="CJ488" s="19"/>
      <c r="CK488" s="19"/>
      <c r="CL488" s="19"/>
      <c r="CM488" s="19"/>
      <c r="CN488" s="19"/>
      <c r="CO488" s="19"/>
      <c r="CP488" s="19"/>
      <c r="CQ488" s="19"/>
      <c r="CR488" s="19"/>
      <c r="CS488" s="19"/>
      <c r="CT488" s="19"/>
      <c r="CU488" s="19"/>
      <c r="CV488" s="19"/>
      <c r="CW488" s="19"/>
      <c r="CX488" s="19"/>
      <c r="CY488" s="19"/>
      <c r="CZ488" s="19"/>
      <c r="DA488" s="19"/>
      <c r="DB488" s="19"/>
      <c r="DC488" s="19"/>
      <c r="DD488" s="19"/>
      <c r="DE488" s="19"/>
      <c r="DF488" s="19"/>
      <c r="DG488" s="19"/>
      <c r="DH488" s="19"/>
      <c r="DI488" s="19"/>
      <c r="DJ488" s="19"/>
      <c r="DK488" s="19"/>
      <c r="DL488" s="19"/>
      <c r="DM488" s="19"/>
      <c r="DN488" s="19"/>
      <c r="DO488" s="19"/>
      <c r="DP488" s="19"/>
      <c r="DQ488" s="19"/>
      <c r="DR488" s="19"/>
      <c r="DS488" s="19"/>
      <c r="DT488" s="19"/>
      <c r="DU488" s="19"/>
      <c r="DV488" s="19"/>
      <c r="DW488" s="19"/>
      <c r="DX488" s="19"/>
      <c r="DY488" s="19"/>
      <c r="DZ488" s="19"/>
      <c r="EA488" s="19"/>
      <c r="EB488" s="19"/>
      <c r="EC488" s="19"/>
      <c r="ED488" s="19"/>
      <c r="EE488" s="19"/>
      <c r="EF488" s="19"/>
      <c r="EG488" s="19"/>
      <c r="EH488" s="19"/>
      <c r="EI488" s="19"/>
      <c r="EJ488" s="19"/>
      <c r="EK488" s="19"/>
      <c r="EL488" s="19"/>
      <c r="EM488" s="19"/>
      <c r="EN488" s="19"/>
      <c r="EO488" s="19"/>
      <c r="EP488" s="19"/>
      <c r="EQ488" s="19"/>
      <c r="ER488" s="19"/>
      <c r="ES488" s="19"/>
      <c r="ET488" s="19"/>
      <c r="EU488" s="19"/>
      <c r="EV488" s="19"/>
      <c r="EW488" s="19"/>
      <c r="EX488" s="19"/>
      <c r="EY488" s="19"/>
      <c r="EZ488" s="19"/>
      <c r="FA488" s="19"/>
      <c r="FB488" s="19"/>
      <c r="FC488" s="19"/>
      <c r="FD488" s="19"/>
      <c r="FE488" s="19"/>
      <c r="FF488" s="19"/>
      <c r="FG488" s="19"/>
      <c r="FH488" s="19"/>
      <c r="FI488" s="19"/>
    </row>
    <row r="489" spans="1:165" x14ac:dyDescent="0.25">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c r="BE489" s="19"/>
      <c r="BF489" s="19"/>
      <c r="BG489" s="19"/>
      <c r="BH489" s="19"/>
      <c r="BI489" s="19"/>
      <c r="BJ489" s="19"/>
      <c r="BK489" s="19"/>
      <c r="BL489" s="19"/>
      <c r="BM489" s="19"/>
      <c r="BN489" s="19"/>
      <c r="BO489" s="19"/>
      <c r="BP489" s="19"/>
      <c r="BQ489" s="19"/>
      <c r="BR489" s="19"/>
      <c r="BS489" s="19"/>
      <c r="BT489" s="19"/>
      <c r="BU489" s="19"/>
      <c r="BV489" s="19"/>
      <c r="BW489" s="19"/>
      <c r="BX489" s="19"/>
      <c r="BY489" s="19"/>
      <c r="BZ489" s="19"/>
      <c r="CA489" s="19"/>
      <c r="CB489" s="19"/>
      <c r="CC489" s="19"/>
      <c r="CD489" s="19"/>
      <c r="CE489" s="19"/>
      <c r="CF489" s="19"/>
      <c r="CG489" s="19"/>
      <c r="CH489" s="19"/>
      <c r="CI489" s="19"/>
      <c r="CJ489" s="19"/>
      <c r="CK489" s="19"/>
      <c r="CL489" s="19"/>
      <c r="CM489" s="19"/>
      <c r="CN489" s="19"/>
      <c r="CO489" s="19"/>
      <c r="CP489" s="19"/>
      <c r="CQ489" s="19"/>
      <c r="CR489" s="19"/>
      <c r="CS489" s="19"/>
      <c r="CT489" s="19"/>
      <c r="CU489" s="19"/>
      <c r="CV489" s="19"/>
      <c r="CW489" s="19"/>
      <c r="CX489" s="19"/>
      <c r="CY489" s="19"/>
      <c r="CZ489" s="19"/>
      <c r="DA489" s="19"/>
      <c r="DB489" s="19"/>
      <c r="DC489" s="19"/>
      <c r="DD489" s="19"/>
      <c r="DE489" s="19"/>
      <c r="DF489" s="19"/>
      <c r="DG489" s="19"/>
      <c r="DH489" s="19"/>
      <c r="DI489" s="19"/>
      <c r="DJ489" s="19"/>
      <c r="DK489" s="19"/>
      <c r="DL489" s="19"/>
      <c r="DM489" s="19"/>
      <c r="DN489" s="19"/>
      <c r="DO489" s="19"/>
      <c r="DP489" s="19"/>
      <c r="DQ489" s="19"/>
      <c r="DR489" s="19"/>
      <c r="DS489" s="19"/>
      <c r="DT489" s="19"/>
      <c r="DU489" s="19"/>
      <c r="DV489" s="19"/>
      <c r="DW489" s="19"/>
      <c r="DX489" s="19"/>
      <c r="DY489" s="19"/>
      <c r="DZ489" s="19"/>
      <c r="EA489" s="19"/>
      <c r="EB489" s="19"/>
      <c r="EC489" s="19"/>
      <c r="ED489" s="19"/>
      <c r="EE489" s="19"/>
      <c r="EF489" s="19"/>
      <c r="EG489" s="19"/>
      <c r="EH489" s="19"/>
      <c r="EI489" s="19"/>
      <c r="EJ489" s="19"/>
      <c r="EK489" s="19"/>
      <c r="EL489" s="19"/>
      <c r="EM489" s="19"/>
      <c r="EN489" s="19"/>
      <c r="EO489" s="19"/>
      <c r="EP489" s="19"/>
      <c r="EQ489" s="19"/>
      <c r="ER489" s="19"/>
      <c r="ES489" s="19"/>
      <c r="ET489" s="19"/>
      <c r="EU489" s="19"/>
      <c r="EV489" s="19"/>
      <c r="EW489" s="19"/>
      <c r="EX489" s="19"/>
      <c r="EY489" s="19"/>
      <c r="EZ489" s="19"/>
      <c r="FA489" s="19"/>
      <c r="FB489" s="19"/>
      <c r="FC489" s="19"/>
      <c r="FD489" s="19"/>
      <c r="FE489" s="19"/>
      <c r="FF489" s="19"/>
      <c r="FG489" s="19"/>
      <c r="FH489" s="19"/>
      <c r="FI489" s="19"/>
    </row>
    <row r="490" spans="1:165" x14ac:dyDescent="0.25">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c r="BE490" s="19"/>
      <c r="BF490" s="19"/>
      <c r="BG490" s="19"/>
      <c r="BH490" s="19"/>
      <c r="BI490" s="19"/>
      <c r="BJ490" s="19"/>
      <c r="BK490" s="19"/>
      <c r="BL490" s="19"/>
      <c r="BM490" s="19"/>
      <c r="BN490" s="19"/>
      <c r="BO490" s="19"/>
      <c r="BP490" s="19"/>
      <c r="BQ490" s="19"/>
      <c r="BR490" s="19"/>
      <c r="BS490" s="19"/>
      <c r="BT490" s="19"/>
      <c r="BU490" s="19"/>
      <c r="BV490" s="19"/>
      <c r="BW490" s="19"/>
      <c r="BX490" s="19"/>
      <c r="BY490" s="19"/>
      <c r="BZ490" s="19"/>
      <c r="CA490" s="19"/>
      <c r="CB490" s="19"/>
      <c r="CC490" s="19"/>
      <c r="CD490" s="19"/>
      <c r="CE490" s="19"/>
      <c r="CF490" s="19"/>
      <c r="CG490" s="19"/>
      <c r="CH490" s="19"/>
      <c r="CI490" s="19"/>
      <c r="CJ490" s="19"/>
      <c r="CK490" s="19"/>
      <c r="CL490" s="19"/>
      <c r="CM490" s="19"/>
      <c r="CN490" s="19"/>
      <c r="CO490" s="19"/>
      <c r="CP490" s="19"/>
      <c r="CQ490" s="19"/>
      <c r="CR490" s="19"/>
      <c r="CS490" s="19"/>
      <c r="CT490" s="19"/>
      <c r="CU490" s="19"/>
      <c r="CV490" s="19"/>
      <c r="CW490" s="19"/>
      <c r="CX490" s="19"/>
      <c r="CY490" s="19"/>
      <c r="CZ490" s="19"/>
      <c r="DA490" s="19"/>
      <c r="DB490" s="19"/>
      <c r="DC490" s="19"/>
      <c r="DD490" s="19"/>
      <c r="DE490" s="19"/>
      <c r="DF490" s="19"/>
      <c r="DG490" s="19"/>
      <c r="DH490" s="19"/>
      <c r="DI490" s="19"/>
      <c r="DJ490" s="19"/>
      <c r="DK490" s="19"/>
      <c r="DL490" s="19"/>
      <c r="DM490" s="19"/>
      <c r="DN490" s="19"/>
      <c r="DO490" s="19"/>
      <c r="DP490" s="19"/>
      <c r="DQ490" s="19"/>
      <c r="DR490" s="19"/>
      <c r="DS490" s="19"/>
      <c r="DT490" s="19"/>
      <c r="DU490" s="19"/>
      <c r="DV490" s="19"/>
      <c r="DW490" s="19"/>
      <c r="DX490" s="19"/>
      <c r="DY490" s="19"/>
      <c r="DZ490" s="19"/>
      <c r="EA490" s="19"/>
      <c r="EB490" s="19"/>
      <c r="EC490" s="19"/>
      <c r="ED490" s="19"/>
      <c r="EE490" s="19"/>
      <c r="EF490" s="19"/>
      <c r="EG490" s="19"/>
      <c r="EH490" s="19"/>
      <c r="EI490" s="19"/>
      <c r="EJ490" s="19"/>
      <c r="EK490" s="19"/>
      <c r="EL490" s="19"/>
      <c r="EM490" s="19"/>
      <c r="EN490" s="19"/>
      <c r="EO490" s="19"/>
      <c r="EP490" s="19"/>
      <c r="EQ490" s="19"/>
      <c r="ER490" s="19"/>
      <c r="ES490" s="19"/>
      <c r="ET490" s="19"/>
      <c r="EU490" s="19"/>
      <c r="EV490" s="19"/>
      <c r="EW490" s="19"/>
      <c r="EX490" s="19"/>
      <c r="EY490" s="19"/>
      <c r="EZ490" s="19"/>
      <c r="FA490" s="19"/>
      <c r="FB490" s="19"/>
      <c r="FC490" s="19"/>
      <c r="FD490" s="19"/>
      <c r="FE490" s="19"/>
      <c r="FF490" s="19"/>
      <c r="FG490" s="19"/>
      <c r="FH490" s="19"/>
      <c r="FI490" s="19"/>
    </row>
    <row r="491" spans="1:165" x14ac:dyDescent="0.25">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c r="BE491" s="19"/>
      <c r="BF491" s="19"/>
      <c r="BG491" s="19"/>
      <c r="BH491" s="19"/>
      <c r="BI491" s="19"/>
      <c r="BJ491" s="19"/>
      <c r="BK491" s="19"/>
      <c r="BL491" s="19"/>
      <c r="BM491" s="19"/>
      <c r="BN491" s="19"/>
      <c r="BO491" s="19"/>
      <c r="BP491" s="19"/>
      <c r="BQ491" s="19"/>
      <c r="BR491" s="19"/>
      <c r="BS491" s="19"/>
      <c r="BT491" s="19"/>
      <c r="BU491" s="19"/>
      <c r="BV491" s="19"/>
      <c r="BW491" s="19"/>
      <c r="BX491" s="19"/>
      <c r="BY491" s="19"/>
      <c r="BZ491" s="19"/>
      <c r="CA491" s="19"/>
      <c r="CB491" s="19"/>
      <c r="CC491" s="19"/>
      <c r="CD491" s="19"/>
      <c r="CE491" s="19"/>
      <c r="CF491" s="19"/>
      <c r="CG491" s="19"/>
      <c r="CH491" s="19"/>
      <c r="CI491" s="19"/>
      <c r="CJ491" s="19"/>
      <c r="CK491" s="19"/>
      <c r="CL491" s="19"/>
      <c r="CM491" s="19"/>
      <c r="CN491" s="19"/>
      <c r="CO491" s="19"/>
      <c r="CP491" s="19"/>
      <c r="CQ491" s="19"/>
      <c r="CR491" s="19"/>
      <c r="CS491" s="19"/>
      <c r="CT491" s="19"/>
      <c r="CU491" s="19"/>
      <c r="CV491" s="19"/>
      <c r="CW491" s="19"/>
      <c r="CX491" s="19"/>
      <c r="CY491" s="19"/>
      <c r="CZ491" s="19"/>
      <c r="DA491" s="19"/>
      <c r="DB491" s="19"/>
      <c r="DC491" s="19"/>
      <c r="DD491" s="19"/>
      <c r="DE491" s="19"/>
      <c r="DF491" s="19"/>
      <c r="DG491" s="19"/>
      <c r="DH491" s="19"/>
      <c r="DI491" s="19"/>
      <c r="DJ491" s="19"/>
      <c r="DK491" s="19"/>
      <c r="DL491" s="19"/>
      <c r="DM491" s="19"/>
      <c r="DN491" s="19"/>
      <c r="DO491" s="19"/>
      <c r="DP491" s="19"/>
      <c r="DQ491" s="19"/>
      <c r="DR491" s="19"/>
      <c r="DS491" s="19"/>
      <c r="DT491" s="19"/>
      <c r="DU491" s="19"/>
      <c r="DV491" s="19"/>
      <c r="DW491" s="19"/>
      <c r="DX491" s="19"/>
      <c r="DY491" s="19"/>
      <c r="DZ491" s="19"/>
      <c r="EA491" s="19"/>
      <c r="EB491" s="19"/>
      <c r="EC491" s="19"/>
      <c r="ED491" s="19"/>
      <c r="EE491" s="19"/>
      <c r="EF491" s="19"/>
      <c r="EG491" s="19"/>
      <c r="EH491" s="19"/>
      <c r="EI491" s="19"/>
      <c r="EJ491" s="19"/>
      <c r="EK491" s="19"/>
      <c r="EL491" s="19"/>
      <c r="EM491" s="19"/>
      <c r="EN491" s="19"/>
      <c r="EO491" s="19"/>
      <c r="EP491" s="19"/>
      <c r="EQ491" s="19"/>
      <c r="ER491" s="19"/>
      <c r="ES491" s="19"/>
      <c r="ET491" s="19"/>
      <c r="EU491" s="19"/>
      <c r="EV491" s="19"/>
      <c r="EW491" s="19"/>
      <c r="EX491" s="19"/>
      <c r="EY491" s="19"/>
      <c r="EZ491" s="19"/>
      <c r="FA491" s="19"/>
      <c r="FB491" s="19"/>
      <c r="FC491" s="19"/>
      <c r="FD491" s="19"/>
      <c r="FE491" s="19"/>
      <c r="FF491" s="19"/>
      <c r="FG491" s="19"/>
      <c r="FH491" s="19"/>
      <c r="FI491" s="19"/>
    </row>
    <row r="492" spans="1:165" x14ac:dyDescent="0.25">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c r="BE492" s="19"/>
      <c r="BF492" s="19"/>
      <c r="BG492" s="19"/>
      <c r="BH492" s="19"/>
      <c r="BI492" s="19"/>
      <c r="BJ492" s="19"/>
      <c r="BK492" s="19"/>
      <c r="BL492" s="19"/>
      <c r="BM492" s="19"/>
      <c r="BN492" s="19"/>
      <c r="BO492" s="19"/>
      <c r="BP492" s="19"/>
      <c r="BQ492" s="19"/>
      <c r="BR492" s="19"/>
      <c r="BS492" s="19"/>
      <c r="BT492" s="19"/>
      <c r="BU492" s="19"/>
      <c r="BV492" s="19"/>
      <c r="BW492" s="19"/>
      <c r="BX492" s="19"/>
      <c r="BY492" s="19"/>
      <c r="BZ492" s="19"/>
      <c r="CA492" s="19"/>
      <c r="CB492" s="19"/>
      <c r="CC492" s="19"/>
      <c r="CD492" s="19"/>
      <c r="CE492" s="19"/>
      <c r="CF492" s="19"/>
      <c r="CG492" s="19"/>
      <c r="CH492" s="19"/>
      <c r="CI492" s="19"/>
      <c r="CJ492" s="19"/>
      <c r="CK492" s="19"/>
      <c r="CL492" s="19"/>
      <c r="CM492" s="19"/>
      <c r="CN492" s="19"/>
      <c r="CO492" s="19"/>
      <c r="CP492" s="19"/>
      <c r="CQ492" s="19"/>
      <c r="CR492" s="19"/>
      <c r="CS492" s="19"/>
      <c r="CT492" s="19"/>
      <c r="CU492" s="19"/>
      <c r="CV492" s="19"/>
      <c r="CW492" s="19"/>
      <c r="CX492" s="19"/>
      <c r="CY492" s="19"/>
      <c r="CZ492" s="19"/>
      <c r="DA492" s="19"/>
      <c r="DB492" s="19"/>
      <c r="DC492" s="19"/>
      <c r="DD492" s="19"/>
      <c r="DE492" s="19"/>
      <c r="DF492" s="19"/>
      <c r="DG492" s="19"/>
      <c r="DH492" s="19"/>
      <c r="DI492" s="19"/>
      <c r="DJ492" s="19"/>
      <c r="DK492" s="19"/>
      <c r="DL492" s="19"/>
      <c r="DM492" s="19"/>
      <c r="DN492" s="19"/>
      <c r="DO492" s="19"/>
      <c r="DP492" s="19"/>
      <c r="DQ492" s="19"/>
      <c r="DR492" s="19"/>
      <c r="DS492" s="19"/>
      <c r="DT492" s="19"/>
      <c r="DU492" s="19"/>
      <c r="DV492" s="19"/>
      <c r="DW492" s="19"/>
      <c r="DX492" s="19"/>
      <c r="DY492" s="19"/>
      <c r="DZ492" s="19"/>
      <c r="EA492" s="19"/>
      <c r="EB492" s="19"/>
      <c r="EC492" s="19"/>
      <c r="ED492" s="19"/>
      <c r="EE492" s="19"/>
      <c r="EF492" s="19"/>
      <c r="EG492" s="19"/>
      <c r="EH492" s="19"/>
      <c r="EI492" s="19"/>
      <c r="EJ492" s="19"/>
      <c r="EK492" s="19"/>
      <c r="EL492" s="19"/>
      <c r="EM492" s="19"/>
      <c r="EN492" s="19"/>
      <c r="EO492" s="19"/>
      <c r="EP492" s="19"/>
      <c r="EQ492" s="19"/>
      <c r="ER492" s="19"/>
      <c r="ES492" s="19"/>
      <c r="ET492" s="19"/>
      <c r="EU492" s="19"/>
      <c r="EV492" s="19"/>
      <c r="EW492" s="19"/>
      <c r="EX492" s="19"/>
      <c r="EY492" s="19"/>
      <c r="EZ492" s="19"/>
      <c r="FA492" s="19"/>
      <c r="FB492" s="19"/>
      <c r="FC492" s="19"/>
      <c r="FD492" s="19"/>
      <c r="FE492" s="19"/>
      <c r="FF492" s="19"/>
      <c r="FG492" s="19"/>
      <c r="FH492" s="19"/>
      <c r="FI492" s="19"/>
    </row>
    <row r="493" spans="1:165" x14ac:dyDescent="0.25">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c r="BE493" s="19"/>
      <c r="BF493" s="19"/>
      <c r="BG493" s="19"/>
      <c r="BH493" s="19"/>
      <c r="BI493" s="19"/>
      <c r="BJ493" s="19"/>
      <c r="BK493" s="19"/>
      <c r="BL493" s="19"/>
      <c r="BM493" s="19"/>
      <c r="BN493" s="19"/>
      <c r="BO493" s="19"/>
      <c r="BP493" s="19"/>
      <c r="BQ493" s="19"/>
      <c r="BR493" s="19"/>
      <c r="BS493" s="19"/>
      <c r="BT493" s="19"/>
      <c r="BU493" s="19"/>
      <c r="BV493" s="19"/>
      <c r="BW493" s="19"/>
      <c r="BX493" s="19"/>
      <c r="BY493" s="19"/>
      <c r="BZ493" s="19"/>
      <c r="CA493" s="19"/>
      <c r="CB493" s="19"/>
      <c r="CC493" s="19"/>
      <c r="CD493" s="19"/>
      <c r="CE493" s="19"/>
      <c r="CF493" s="19"/>
      <c r="CG493" s="19"/>
      <c r="CH493" s="19"/>
      <c r="CI493" s="19"/>
      <c r="CJ493" s="19"/>
      <c r="CK493" s="19"/>
      <c r="CL493" s="19"/>
      <c r="CM493" s="19"/>
      <c r="CN493" s="19"/>
      <c r="CO493" s="19"/>
      <c r="CP493" s="19"/>
      <c r="CQ493" s="19"/>
      <c r="CR493" s="19"/>
      <c r="CS493" s="19"/>
      <c r="CT493" s="19"/>
      <c r="CU493" s="19"/>
      <c r="CV493" s="19"/>
      <c r="CW493" s="19"/>
      <c r="CX493" s="19"/>
      <c r="CY493" s="19"/>
      <c r="CZ493" s="19"/>
      <c r="DA493" s="19"/>
      <c r="DB493" s="19"/>
      <c r="DC493" s="19"/>
      <c r="DD493" s="19"/>
      <c r="DE493" s="19"/>
      <c r="DF493" s="19"/>
      <c r="DG493" s="19"/>
      <c r="DH493" s="19"/>
      <c r="DI493" s="19"/>
      <c r="DJ493" s="19"/>
      <c r="DK493" s="19"/>
      <c r="DL493" s="19"/>
      <c r="DM493" s="19"/>
      <c r="DN493" s="19"/>
      <c r="DO493" s="19"/>
      <c r="DP493" s="19"/>
      <c r="DQ493" s="19"/>
      <c r="DR493" s="19"/>
      <c r="DS493" s="19"/>
      <c r="DT493" s="19"/>
      <c r="DU493" s="19"/>
      <c r="DV493" s="19"/>
      <c r="DW493" s="19"/>
      <c r="DX493" s="19"/>
      <c r="DY493" s="19"/>
      <c r="DZ493" s="19"/>
      <c r="EA493" s="19"/>
      <c r="EB493" s="19"/>
      <c r="EC493" s="19"/>
      <c r="ED493" s="19"/>
      <c r="EE493" s="19"/>
      <c r="EF493" s="19"/>
      <c r="EG493" s="19"/>
      <c r="EH493" s="19"/>
      <c r="EI493" s="19"/>
      <c r="EJ493" s="19"/>
      <c r="EK493" s="19"/>
      <c r="EL493" s="19"/>
      <c r="EM493" s="19"/>
      <c r="EN493" s="19"/>
      <c r="EO493" s="19"/>
      <c r="EP493" s="19"/>
      <c r="EQ493" s="19"/>
      <c r="ER493" s="19"/>
      <c r="ES493" s="19"/>
      <c r="ET493" s="19"/>
      <c r="EU493" s="19"/>
      <c r="EV493" s="19"/>
      <c r="EW493" s="19"/>
      <c r="EX493" s="19"/>
      <c r="EY493" s="19"/>
      <c r="EZ493" s="19"/>
      <c r="FA493" s="19"/>
      <c r="FB493" s="19"/>
      <c r="FC493" s="19"/>
      <c r="FD493" s="19"/>
      <c r="FE493" s="19"/>
      <c r="FF493" s="19"/>
      <c r="FG493" s="19"/>
      <c r="FH493" s="19"/>
      <c r="FI493" s="19"/>
    </row>
    <row r="494" spans="1:165" x14ac:dyDescent="0.25">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c r="BE494" s="19"/>
      <c r="BF494" s="19"/>
      <c r="BG494" s="19"/>
      <c r="BH494" s="19"/>
      <c r="BI494" s="19"/>
      <c r="BJ494" s="19"/>
      <c r="BK494" s="19"/>
      <c r="BL494" s="19"/>
      <c r="BM494" s="19"/>
      <c r="BN494" s="19"/>
      <c r="BO494" s="19"/>
      <c r="BP494" s="19"/>
      <c r="BQ494" s="19"/>
      <c r="BR494" s="19"/>
      <c r="BS494" s="19"/>
      <c r="BT494" s="19"/>
      <c r="BU494" s="19"/>
      <c r="BV494" s="19"/>
      <c r="BW494" s="19"/>
      <c r="BX494" s="19"/>
      <c r="BY494" s="19"/>
      <c r="BZ494" s="19"/>
      <c r="CA494" s="19"/>
      <c r="CB494" s="19"/>
      <c r="CC494" s="19"/>
      <c r="CD494" s="19"/>
      <c r="CE494" s="19"/>
      <c r="CF494" s="19"/>
      <c r="CG494" s="19"/>
      <c r="CH494" s="19"/>
      <c r="CI494" s="19"/>
      <c r="CJ494" s="19"/>
      <c r="CK494" s="19"/>
      <c r="CL494" s="19"/>
      <c r="CM494" s="19"/>
      <c r="CN494" s="19"/>
      <c r="CO494" s="19"/>
      <c r="CP494" s="19"/>
      <c r="CQ494" s="19"/>
      <c r="CR494" s="19"/>
      <c r="CS494" s="19"/>
      <c r="CT494" s="19"/>
      <c r="CU494" s="19"/>
      <c r="CV494" s="19"/>
      <c r="CW494" s="19"/>
      <c r="CX494" s="19"/>
      <c r="CY494" s="19"/>
      <c r="CZ494" s="19"/>
      <c r="DA494" s="19"/>
      <c r="DB494" s="19"/>
      <c r="DC494" s="19"/>
      <c r="DD494" s="19"/>
      <c r="DE494" s="19"/>
      <c r="DF494" s="19"/>
      <c r="DG494" s="19"/>
      <c r="DH494" s="19"/>
      <c r="DI494" s="19"/>
      <c r="DJ494" s="19"/>
      <c r="DK494" s="19"/>
      <c r="DL494" s="19"/>
      <c r="DM494" s="19"/>
      <c r="DN494" s="19"/>
      <c r="DO494" s="19"/>
      <c r="DP494" s="19"/>
      <c r="DQ494" s="19"/>
      <c r="DR494" s="19"/>
      <c r="DS494" s="19"/>
      <c r="DT494" s="19"/>
      <c r="DU494" s="19"/>
      <c r="DV494" s="19"/>
      <c r="DW494" s="19"/>
      <c r="DX494" s="19"/>
      <c r="DY494" s="19"/>
      <c r="DZ494" s="19"/>
      <c r="EA494" s="19"/>
      <c r="EB494" s="19"/>
      <c r="EC494" s="19"/>
      <c r="ED494" s="19"/>
      <c r="EE494" s="19"/>
      <c r="EF494" s="19"/>
      <c r="EG494" s="19"/>
      <c r="EH494" s="19"/>
      <c r="EI494" s="19"/>
      <c r="EJ494" s="19"/>
      <c r="EK494" s="19"/>
      <c r="EL494" s="19"/>
      <c r="EM494" s="19"/>
      <c r="EN494" s="19"/>
      <c r="EO494" s="19"/>
      <c r="EP494" s="19"/>
      <c r="EQ494" s="19"/>
      <c r="ER494" s="19"/>
      <c r="ES494" s="19"/>
      <c r="ET494" s="19"/>
      <c r="EU494" s="19"/>
      <c r="EV494" s="19"/>
      <c r="EW494" s="19"/>
      <c r="EX494" s="19"/>
      <c r="EY494" s="19"/>
      <c r="EZ494" s="19"/>
      <c r="FA494" s="19"/>
      <c r="FB494" s="19"/>
      <c r="FC494" s="19"/>
      <c r="FD494" s="19"/>
      <c r="FE494" s="19"/>
      <c r="FF494" s="19"/>
      <c r="FG494" s="19"/>
      <c r="FH494" s="19"/>
      <c r="FI494" s="19"/>
    </row>
    <row r="495" spans="1:165" x14ac:dyDescent="0.25">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c r="BE495" s="19"/>
      <c r="BF495" s="19"/>
      <c r="BG495" s="19"/>
      <c r="BH495" s="19"/>
      <c r="BI495" s="19"/>
      <c r="BJ495" s="19"/>
      <c r="BK495" s="19"/>
      <c r="BL495" s="19"/>
      <c r="BM495" s="19"/>
      <c r="BN495" s="19"/>
      <c r="BO495" s="19"/>
      <c r="BP495" s="19"/>
      <c r="BQ495" s="19"/>
      <c r="BR495" s="19"/>
      <c r="BS495" s="19"/>
      <c r="BT495" s="19"/>
      <c r="BU495" s="19"/>
      <c r="BV495" s="19"/>
      <c r="BW495" s="19"/>
      <c r="BX495" s="19"/>
      <c r="BY495" s="19"/>
      <c r="BZ495" s="19"/>
      <c r="CA495" s="19"/>
      <c r="CB495" s="19"/>
      <c r="CC495" s="19"/>
      <c r="CD495" s="19"/>
      <c r="CE495" s="19"/>
      <c r="CF495" s="19"/>
      <c r="CG495" s="19"/>
      <c r="CH495" s="19"/>
      <c r="CI495" s="19"/>
      <c r="CJ495" s="19"/>
      <c r="CK495" s="19"/>
      <c r="CL495" s="19"/>
      <c r="CM495" s="19"/>
      <c r="CN495" s="19"/>
      <c r="CO495" s="19"/>
      <c r="CP495" s="19"/>
      <c r="CQ495" s="19"/>
      <c r="CR495" s="19"/>
      <c r="CS495" s="19"/>
      <c r="CT495" s="19"/>
      <c r="CU495" s="19"/>
      <c r="CV495" s="19"/>
      <c r="CW495" s="19"/>
      <c r="CX495" s="19"/>
      <c r="CY495" s="19"/>
      <c r="CZ495" s="19"/>
      <c r="DA495" s="19"/>
      <c r="DB495" s="19"/>
      <c r="DC495" s="19"/>
      <c r="DD495" s="19"/>
      <c r="DE495" s="19"/>
      <c r="DF495" s="19"/>
      <c r="DG495" s="19"/>
      <c r="DH495" s="19"/>
      <c r="DI495" s="19"/>
      <c r="DJ495" s="19"/>
      <c r="DK495" s="19"/>
      <c r="DL495" s="19"/>
      <c r="DM495" s="19"/>
      <c r="DN495" s="19"/>
      <c r="DO495" s="19"/>
      <c r="DP495" s="19"/>
      <c r="DQ495" s="19"/>
      <c r="DR495" s="19"/>
      <c r="DS495" s="19"/>
      <c r="DT495" s="19"/>
      <c r="DU495" s="19"/>
      <c r="DV495" s="19"/>
      <c r="DW495" s="19"/>
      <c r="DX495" s="19"/>
      <c r="DY495" s="19"/>
      <c r="DZ495" s="19"/>
      <c r="EA495" s="19"/>
      <c r="EB495" s="19"/>
      <c r="EC495" s="19"/>
      <c r="ED495" s="19"/>
      <c r="EE495" s="19"/>
      <c r="EF495" s="19"/>
      <c r="EG495" s="19"/>
      <c r="EH495" s="19"/>
      <c r="EI495" s="19"/>
      <c r="EJ495" s="19"/>
      <c r="EK495" s="19"/>
      <c r="EL495" s="19"/>
      <c r="EM495" s="19"/>
      <c r="EN495" s="19"/>
      <c r="EO495" s="19"/>
      <c r="EP495" s="19"/>
      <c r="EQ495" s="19"/>
      <c r="ER495" s="19"/>
      <c r="ES495" s="19"/>
      <c r="ET495" s="19"/>
      <c r="EU495" s="19"/>
      <c r="EV495" s="19"/>
      <c r="EW495" s="19"/>
      <c r="EX495" s="19"/>
      <c r="EY495" s="19"/>
      <c r="EZ495" s="19"/>
      <c r="FA495" s="19"/>
      <c r="FB495" s="19"/>
      <c r="FC495" s="19"/>
      <c r="FD495" s="19"/>
      <c r="FE495" s="19"/>
      <c r="FF495" s="19"/>
      <c r="FG495" s="19"/>
      <c r="FH495" s="19"/>
      <c r="FI495" s="19"/>
    </row>
    <row r="496" spans="1:165" x14ac:dyDescent="0.25">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c r="BE496" s="19"/>
      <c r="BF496" s="19"/>
      <c r="BG496" s="19"/>
      <c r="BH496" s="19"/>
      <c r="BI496" s="19"/>
      <c r="BJ496" s="19"/>
      <c r="BK496" s="19"/>
      <c r="BL496" s="19"/>
      <c r="BM496" s="19"/>
      <c r="BN496" s="19"/>
      <c r="BO496" s="19"/>
      <c r="BP496" s="19"/>
      <c r="BQ496" s="19"/>
      <c r="BR496" s="19"/>
      <c r="BS496" s="19"/>
      <c r="BT496" s="19"/>
      <c r="BU496" s="19"/>
      <c r="BV496" s="19"/>
      <c r="BW496" s="19"/>
      <c r="BX496" s="19"/>
      <c r="BY496" s="19"/>
      <c r="BZ496" s="19"/>
      <c r="CA496" s="19"/>
      <c r="CB496" s="19"/>
      <c r="CC496" s="19"/>
      <c r="CD496" s="19"/>
      <c r="CE496" s="19"/>
      <c r="CF496" s="19"/>
      <c r="CG496" s="19"/>
      <c r="CH496" s="19"/>
      <c r="CI496" s="19"/>
      <c r="CJ496" s="19"/>
      <c r="CK496" s="19"/>
      <c r="CL496" s="19"/>
      <c r="CM496" s="19"/>
      <c r="CN496" s="19"/>
      <c r="CO496" s="19"/>
      <c r="CP496" s="19"/>
      <c r="CQ496" s="19"/>
      <c r="CR496" s="19"/>
      <c r="CS496" s="19"/>
      <c r="CT496" s="19"/>
      <c r="CU496" s="19"/>
      <c r="CV496" s="19"/>
      <c r="CW496" s="19"/>
      <c r="CX496" s="19"/>
      <c r="CY496" s="19"/>
      <c r="CZ496" s="19"/>
      <c r="DA496" s="19"/>
      <c r="DB496" s="19"/>
      <c r="DC496" s="19"/>
      <c r="DD496" s="19"/>
      <c r="DE496" s="19"/>
      <c r="DF496" s="19"/>
      <c r="DG496" s="19"/>
      <c r="DH496" s="19"/>
      <c r="DI496" s="19"/>
      <c r="DJ496" s="19"/>
      <c r="DK496" s="19"/>
      <c r="DL496" s="19"/>
      <c r="DM496" s="19"/>
      <c r="DN496" s="19"/>
      <c r="DO496" s="19"/>
      <c r="DP496" s="19"/>
      <c r="DQ496" s="19"/>
      <c r="DR496" s="19"/>
      <c r="DS496" s="19"/>
      <c r="DT496" s="19"/>
      <c r="DU496" s="19"/>
      <c r="DV496" s="19"/>
      <c r="DW496" s="19"/>
      <c r="DX496" s="19"/>
      <c r="DY496" s="19"/>
      <c r="DZ496" s="19"/>
      <c r="EA496" s="19"/>
      <c r="EB496" s="19"/>
      <c r="EC496" s="19"/>
      <c r="ED496" s="19"/>
      <c r="EE496" s="19"/>
      <c r="EF496" s="19"/>
      <c r="EG496" s="19"/>
      <c r="EH496" s="19"/>
      <c r="EI496" s="19"/>
      <c r="EJ496" s="19"/>
      <c r="EK496" s="19"/>
      <c r="EL496" s="19"/>
      <c r="EM496" s="19"/>
      <c r="EN496" s="19"/>
      <c r="EO496" s="19"/>
      <c r="EP496" s="19"/>
      <c r="EQ496" s="19"/>
      <c r="ER496" s="19"/>
      <c r="ES496" s="19"/>
      <c r="ET496" s="19"/>
      <c r="EU496" s="19"/>
      <c r="EV496" s="19"/>
      <c r="EW496" s="19"/>
      <c r="EX496" s="19"/>
      <c r="EY496" s="19"/>
      <c r="EZ496" s="19"/>
      <c r="FA496" s="19"/>
      <c r="FB496" s="19"/>
      <c r="FC496" s="19"/>
      <c r="FD496" s="19"/>
      <c r="FE496" s="19"/>
      <c r="FF496" s="19"/>
      <c r="FG496" s="19"/>
      <c r="FH496" s="19"/>
      <c r="FI496" s="19"/>
    </row>
    <row r="497" spans="1:165" x14ac:dyDescent="0.25">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c r="BE497" s="19"/>
      <c r="BF497" s="19"/>
      <c r="BG497" s="19"/>
      <c r="BH497" s="19"/>
      <c r="BI497" s="19"/>
      <c r="BJ497" s="19"/>
      <c r="BK497" s="19"/>
      <c r="BL497" s="19"/>
      <c r="BM497" s="19"/>
      <c r="BN497" s="19"/>
      <c r="BO497" s="19"/>
      <c r="BP497" s="19"/>
      <c r="BQ497" s="19"/>
      <c r="BR497" s="19"/>
      <c r="BS497" s="19"/>
      <c r="BT497" s="19"/>
      <c r="BU497" s="19"/>
      <c r="BV497" s="19"/>
      <c r="BW497" s="19"/>
      <c r="BX497" s="19"/>
      <c r="BY497" s="19"/>
      <c r="BZ497" s="19"/>
      <c r="CA497" s="19"/>
      <c r="CB497" s="19"/>
      <c r="CC497" s="19"/>
      <c r="CD497" s="19"/>
      <c r="CE497" s="19"/>
      <c r="CF497" s="19"/>
      <c r="CG497" s="19"/>
      <c r="CH497" s="19"/>
      <c r="CI497" s="19"/>
      <c r="CJ497" s="19"/>
      <c r="CK497" s="19"/>
      <c r="CL497" s="19"/>
      <c r="CM497" s="19"/>
      <c r="CN497" s="19"/>
      <c r="CO497" s="19"/>
      <c r="CP497" s="19"/>
      <c r="CQ497" s="19"/>
      <c r="CR497" s="19"/>
      <c r="CS497" s="19"/>
      <c r="CT497" s="19"/>
      <c r="CU497" s="19"/>
      <c r="CV497" s="19"/>
      <c r="CW497" s="19"/>
      <c r="CX497" s="19"/>
      <c r="CY497" s="19"/>
      <c r="CZ497" s="19"/>
      <c r="DA497" s="19"/>
      <c r="DB497" s="19"/>
      <c r="DC497" s="19"/>
      <c r="DD497" s="19"/>
      <c r="DE497" s="19"/>
      <c r="DF497" s="19"/>
      <c r="DG497" s="19"/>
      <c r="DH497" s="19"/>
      <c r="DI497" s="19"/>
      <c r="DJ497" s="19"/>
      <c r="DK497" s="19"/>
      <c r="DL497" s="19"/>
      <c r="DM497" s="19"/>
      <c r="DN497" s="19"/>
      <c r="DO497" s="19"/>
      <c r="DP497" s="19"/>
      <c r="DQ497" s="19"/>
      <c r="DR497" s="19"/>
      <c r="DS497" s="19"/>
      <c r="DT497" s="19"/>
      <c r="DU497" s="19"/>
      <c r="DV497" s="19"/>
      <c r="DW497" s="19"/>
      <c r="DX497" s="19"/>
      <c r="DY497" s="19"/>
      <c r="DZ497" s="19"/>
      <c r="EA497" s="19"/>
      <c r="EB497" s="19"/>
      <c r="EC497" s="19"/>
      <c r="ED497" s="19"/>
      <c r="EE497" s="19"/>
      <c r="EF497" s="19"/>
      <c r="EG497" s="19"/>
      <c r="EH497" s="19"/>
      <c r="EI497" s="19"/>
      <c r="EJ497" s="19"/>
      <c r="EK497" s="19"/>
      <c r="EL497" s="19"/>
      <c r="EM497" s="19"/>
      <c r="EN497" s="19"/>
      <c r="EO497" s="19"/>
      <c r="EP497" s="19"/>
      <c r="EQ497" s="19"/>
      <c r="ER497" s="19"/>
      <c r="ES497" s="19"/>
      <c r="ET497" s="19"/>
      <c r="EU497" s="19"/>
      <c r="EV497" s="19"/>
      <c r="EW497" s="19"/>
      <c r="EX497" s="19"/>
      <c r="EY497" s="19"/>
      <c r="EZ497" s="19"/>
      <c r="FA497" s="19"/>
      <c r="FB497" s="19"/>
      <c r="FC497" s="19"/>
      <c r="FD497" s="19"/>
      <c r="FE497" s="19"/>
      <c r="FF497" s="19"/>
      <c r="FG497" s="19"/>
      <c r="FH497" s="19"/>
      <c r="FI497" s="19"/>
    </row>
    <row r="498" spans="1:165" x14ac:dyDescent="0.25">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c r="BE498" s="19"/>
      <c r="BF498" s="19"/>
      <c r="BG498" s="19"/>
      <c r="BH498" s="19"/>
      <c r="BI498" s="19"/>
      <c r="BJ498" s="19"/>
      <c r="BK498" s="19"/>
      <c r="BL498" s="19"/>
      <c r="BM498" s="19"/>
      <c r="BN498" s="19"/>
      <c r="BO498" s="19"/>
      <c r="BP498" s="19"/>
      <c r="BQ498" s="19"/>
      <c r="BR498" s="19"/>
      <c r="BS498" s="19"/>
      <c r="BT498" s="19"/>
      <c r="BU498" s="19"/>
      <c r="BV498" s="19"/>
      <c r="BW498" s="19"/>
      <c r="BX498" s="19"/>
      <c r="BY498" s="19"/>
      <c r="BZ498" s="19"/>
      <c r="CA498" s="19"/>
      <c r="CB498" s="19"/>
      <c r="CC498" s="19"/>
      <c r="CD498" s="19"/>
      <c r="CE498" s="19"/>
      <c r="CF498" s="19"/>
      <c r="CG498" s="19"/>
      <c r="CH498" s="19"/>
      <c r="CI498" s="19"/>
      <c r="CJ498" s="19"/>
      <c r="CK498" s="19"/>
      <c r="CL498" s="19"/>
      <c r="CM498" s="19"/>
      <c r="CN498" s="19"/>
      <c r="CO498" s="19"/>
      <c r="CP498" s="19"/>
      <c r="CQ498" s="19"/>
      <c r="CR498" s="19"/>
      <c r="CS498" s="19"/>
      <c r="CT498" s="19"/>
      <c r="CU498" s="19"/>
      <c r="CV498" s="19"/>
      <c r="CW498" s="19"/>
      <c r="CX498" s="19"/>
      <c r="CY498" s="19"/>
      <c r="CZ498" s="19"/>
      <c r="DA498" s="19"/>
      <c r="DB498" s="19"/>
      <c r="DC498" s="19"/>
      <c r="DD498" s="19"/>
      <c r="DE498" s="19"/>
      <c r="DF498" s="19"/>
      <c r="DG498" s="19"/>
      <c r="DH498" s="19"/>
      <c r="DI498" s="19"/>
      <c r="DJ498" s="19"/>
      <c r="DK498" s="19"/>
      <c r="DL498" s="19"/>
      <c r="DM498" s="19"/>
      <c r="DN498" s="19"/>
      <c r="DO498" s="19"/>
      <c r="DP498" s="19"/>
      <c r="DQ498" s="19"/>
      <c r="DR498" s="19"/>
      <c r="DS498" s="19"/>
      <c r="DT498" s="19"/>
      <c r="DU498" s="19"/>
      <c r="DV498" s="19"/>
      <c r="DW498" s="19"/>
      <c r="DX498" s="19"/>
      <c r="DY498" s="19"/>
      <c r="DZ498" s="19"/>
      <c r="EA498" s="19"/>
      <c r="EB498" s="19"/>
      <c r="EC498" s="19"/>
      <c r="ED498" s="19"/>
      <c r="EE498" s="19"/>
      <c r="EF498" s="19"/>
      <c r="EG498" s="19"/>
      <c r="EH498" s="19"/>
      <c r="EI498" s="19"/>
      <c r="EJ498" s="19"/>
      <c r="EK498" s="19"/>
      <c r="EL498" s="19"/>
      <c r="EM498" s="19"/>
      <c r="EN498" s="19"/>
      <c r="EO498" s="19"/>
      <c r="EP498" s="19"/>
      <c r="EQ498" s="19"/>
      <c r="ER498" s="19"/>
      <c r="ES498" s="19"/>
      <c r="ET498" s="19"/>
      <c r="EU498" s="19"/>
      <c r="EV498" s="19"/>
      <c r="EW498" s="19"/>
      <c r="EX498" s="19"/>
      <c r="EY498" s="19"/>
      <c r="EZ498" s="19"/>
      <c r="FA498" s="19"/>
      <c r="FB498" s="19"/>
      <c r="FC498" s="19"/>
      <c r="FD498" s="19"/>
      <c r="FE498" s="19"/>
      <c r="FF498" s="19"/>
      <c r="FG498" s="19"/>
      <c r="FH498" s="19"/>
      <c r="FI498" s="19"/>
    </row>
    <row r="499" spans="1:165" x14ac:dyDescent="0.25">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c r="BE499" s="19"/>
      <c r="BF499" s="19"/>
      <c r="BG499" s="19"/>
      <c r="BH499" s="19"/>
      <c r="BI499" s="19"/>
      <c r="BJ499" s="19"/>
      <c r="BK499" s="19"/>
      <c r="BL499" s="19"/>
      <c r="BM499" s="19"/>
      <c r="BN499" s="19"/>
      <c r="BO499" s="19"/>
      <c r="BP499" s="19"/>
      <c r="BQ499" s="19"/>
      <c r="BR499" s="19"/>
      <c r="BS499" s="19"/>
      <c r="BT499" s="19"/>
      <c r="BU499" s="19"/>
      <c r="BV499" s="19"/>
      <c r="BW499" s="19"/>
      <c r="BX499" s="19"/>
      <c r="BY499" s="19"/>
      <c r="BZ499" s="19"/>
      <c r="CA499" s="19"/>
      <c r="CB499" s="19"/>
      <c r="CC499" s="19"/>
      <c r="CD499" s="19"/>
      <c r="CE499" s="19"/>
      <c r="CF499" s="19"/>
      <c r="CG499" s="19"/>
      <c r="CH499" s="19"/>
      <c r="CI499" s="19"/>
      <c r="CJ499" s="19"/>
      <c r="CK499" s="19"/>
      <c r="CL499" s="19"/>
      <c r="CM499" s="19"/>
      <c r="CN499" s="19"/>
      <c r="CO499" s="19"/>
      <c r="CP499" s="19"/>
      <c r="CQ499" s="19"/>
      <c r="CR499" s="19"/>
      <c r="CS499" s="19"/>
      <c r="CT499" s="19"/>
      <c r="CU499" s="19"/>
      <c r="CV499" s="19"/>
      <c r="CW499" s="19"/>
      <c r="CX499" s="19"/>
      <c r="CY499" s="19"/>
      <c r="CZ499" s="19"/>
      <c r="DA499" s="19"/>
      <c r="DB499" s="19"/>
      <c r="DC499" s="19"/>
      <c r="DD499" s="19"/>
      <c r="DE499" s="19"/>
      <c r="DF499" s="19"/>
      <c r="DG499" s="19"/>
      <c r="DH499" s="19"/>
      <c r="DI499" s="19"/>
      <c r="DJ499" s="19"/>
      <c r="DK499" s="19"/>
      <c r="DL499" s="19"/>
      <c r="DM499" s="19"/>
      <c r="DN499" s="19"/>
      <c r="DO499" s="19"/>
      <c r="DP499" s="19"/>
      <c r="DQ499" s="19"/>
      <c r="DR499" s="19"/>
      <c r="DS499" s="19"/>
      <c r="DT499" s="19"/>
      <c r="DU499" s="19"/>
      <c r="DV499" s="19"/>
      <c r="DW499" s="19"/>
      <c r="DX499" s="19"/>
      <c r="DY499" s="19"/>
      <c r="DZ499" s="19"/>
      <c r="EA499" s="19"/>
      <c r="EB499" s="19"/>
      <c r="EC499" s="19"/>
      <c r="ED499" s="19"/>
      <c r="EE499" s="19"/>
      <c r="EF499" s="19"/>
      <c r="EG499" s="19"/>
      <c r="EH499" s="19"/>
      <c r="EI499" s="19"/>
      <c r="EJ499" s="19"/>
      <c r="EK499" s="19"/>
      <c r="EL499" s="19"/>
      <c r="EM499" s="19"/>
      <c r="EN499" s="19"/>
      <c r="EO499" s="19"/>
      <c r="EP499" s="19"/>
      <c r="EQ499" s="19"/>
      <c r="ER499" s="19"/>
      <c r="ES499" s="19"/>
      <c r="ET499" s="19"/>
      <c r="EU499" s="19"/>
      <c r="EV499" s="19"/>
      <c r="EW499" s="19"/>
      <c r="EX499" s="19"/>
      <c r="EY499" s="19"/>
      <c r="EZ499" s="19"/>
      <c r="FA499" s="19"/>
      <c r="FB499" s="19"/>
      <c r="FC499" s="19"/>
      <c r="FD499" s="19"/>
      <c r="FE499" s="19"/>
      <c r="FF499" s="19"/>
      <c r="FG499" s="19"/>
      <c r="FH499" s="19"/>
      <c r="FI499" s="19"/>
    </row>
    <row r="500" spans="1:165" x14ac:dyDescent="0.25">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c r="BE500" s="19"/>
      <c r="BF500" s="19"/>
      <c r="BG500" s="19"/>
      <c r="BH500" s="19"/>
      <c r="BI500" s="19"/>
      <c r="BJ500" s="19"/>
      <c r="BK500" s="19"/>
      <c r="BL500" s="19"/>
      <c r="BM500" s="19"/>
      <c r="BN500" s="19"/>
      <c r="BO500" s="19"/>
      <c r="BP500" s="19"/>
      <c r="BQ500" s="19"/>
      <c r="BR500" s="19"/>
      <c r="BS500" s="19"/>
      <c r="BT500" s="19"/>
      <c r="BU500" s="19"/>
      <c r="BV500" s="19"/>
      <c r="BW500" s="19"/>
      <c r="BX500" s="19"/>
      <c r="BY500" s="19"/>
      <c r="BZ500" s="19"/>
      <c r="CA500" s="19"/>
      <c r="CB500" s="19"/>
      <c r="CC500" s="19"/>
      <c r="CD500" s="19"/>
      <c r="CE500" s="19"/>
      <c r="CF500" s="19"/>
      <c r="CG500" s="19"/>
      <c r="CH500" s="19"/>
      <c r="CI500" s="19"/>
      <c r="CJ500" s="19"/>
      <c r="CK500" s="19"/>
      <c r="CL500" s="19"/>
      <c r="CM500" s="19"/>
      <c r="CN500" s="19"/>
      <c r="CO500" s="19"/>
      <c r="CP500" s="19"/>
      <c r="CQ500" s="19"/>
      <c r="CR500" s="19"/>
      <c r="CS500" s="19"/>
      <c r="CT500" s="19"/>
      <c r="CU500" s="19"/>
      <c r="CV500" s="19"/>
      <c r="CW500" s="19"/>
      <c r="CX500" s="19"/>
      <c r="CY500" s="19"/>
      <c r="CZ500" s="19"/>
      <c r="DA500" s="19"/>
      <c r="DB500" s="19"/>
      <c r="DC500" s="19"/>
      <c r="DD500" s="19"/>
      <c r="DE500" s="19"/>
      <c r="DF500" s="19"/>
      <c r="DG500" s="19"/>
      <c r="DH500" s="19"/>
      <c r="DI500" s="19"/>
      <c r="DJ500" s="19"/>
      <c r="DK500" s="19"/>
      <c r="DL500" s="19"/>
      <c r="DM500" s="19"/>
      <c r="DN500" s="19"/>
      <c r="DO500" s="19"/>
      <c r="DP500" s="19"/>
      <c r="DQ500" s="19"/>
      <c r="DR500" s="19"/>
      <c r="DS500" s="19"/>
      <c r="DT500" s="19"/>
      <c r="DU500" s="19"/>
      <c r="DV500" s="19"/>
      <c r="DW500" s="19"/>
      <c r="DX500" s="19"/>
      <c r="DY500" s="19"/>
      <c r="DZ500" s="19"/>
      <c r="EA500" s="19"/>
      <c r="EB500" s="19"/>
      <c r="EC500" s="19"/>
      <c r="ED500" s="19"/>
      <c r="EE500" s="19"/>
      <c r="EF500" s="19"/>
      <c r="EG500" s="19"/>
      <c r="EH500" s="19"/>
      <c r="EI500" s="19"/>
      <c r="EJ500" s="19"/>
      <c r="EK500" s="19"/>
      <c r="EL500" s="19"/>
      <c r="EM500" s="19"/>
      <c r="EN500" s="19"/>
      <c r="EO500" s="19"/>
      <c r="EP500" s="19"/>
      <c r="EQ500" s="19"/>
      <c r="ER500" s="19"/>
      <c r="ES500" s="19"/>
      <c r="ET500" s="19"/>
      <c r="EU500" s="19"/>
      <c r="EV500" s="19"/>
      <c r="EW500" s="19"/>
      <c r="EX500" s="19"/>
      <c r="EY500" s="19"/>
      <c r="EZ500" s="19"/>
      <c r="FA500" s="19"/>
      <c r="FB500" s="19"/>
      <c r="FC500" s="19"/>
      <c r="FD500" s="19"/>
      <c r="FE500" s="19"/>
      <c r="FF500" s="19"/>
      <c r="FG500" s="19"/>
      <c r="FH500" s="19"/>
      <c r="FI500" s="19"/>
    </row>
    <row r="501" spans="1:165" x14ac:dyDescent="0.25">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c r="BE501" s="19"/>
      <c r="BF501" s="19"/>
      <c r="BG501" s="19"/>
      <c r="BH501" s="19"/>
      <c r="BI501" s="19"/>
      <c r="BJ501" s="19"/>
      <c r="BK501" s="19"/>
      <c r="BL501" s="19"/>
      <c r="BM501" s="19"/>
      <c r="BN501" s="19"/>
      <c r="BO501" s="19"/>
      <c r="BP501" s="19"/>
      <c r="BQ501" s="19"/>
      <c r="BR501" s="19"/>
      <c r="BS501" s="19"/>
      <c r="BT501" s="19"/>
      <c r="BU501" s="19"/>
      <c r="BV501" s="19"/>
      <c r="BW501" s="19"/>
      <c r="BX501" s="19"/>
      <c r="BY501" s="19"/>
      <c r="BZ501" s="19"/>
      <c r="CA501" s="19"/>
      <c r="CB501" s="19"/>
      <c r="CC501" s="19"/>
      <c r="CD501" s="19"/>
      <c r="CE501" s="19"/>
      <c r="CF501" s="19"/>
      <c r="CG501" s="19"/>
      <c r="CH501" s="19"/>
      <c r="CI501" s="19"/>
      <c r="CJ501" s="19"/>
      <c r="CK501" s="19"/>
      <c r="CL501" s="19"/>
      <c r="CM501" s="19"/>
      <c r="CN501" s="19"/>
      <c r="CO501" s="19"/>
      <c r="CP501" s="19"/>
      <c r="CQ501" s="19"/>
      <c r="CR501" s="19"/>
      <c r="CS501" s="19"/>
      <c r="CT501" s="19"/>
      <c r="CU501" s="19"/>
      <c r="CV501" s="19"/>
      <c r="CW501" s="19"/>
      <c r="CX501" s="19"/>
      <c r="CY501" s="19"/>
      <c r="CZ501" s="19"/>
      <c r="DA501" s="19"/>
      <c r="DB501" s="19"/>
      <c r="DC501" s="19"/>
      <c r="DD501" s="19"/>
      <c r="DE501" s="19"/>
      <c r="DF501" s="19"/>
      <c r="DG501" s="19"/>
      <c r="DH501" s="19"/>
      <c r="DI501" s="19"/>
      <c r="DJ501" s="19"/>
      <c r="DK501" s="19"/>
      <c r="DL501" s="19"/>
      <c r="DM501" s="19"/>
      <c r="DN501" s="19"/>
      <c r="DO501" s="19"/>
      <c r="DP501" s="19"/>
      <c r="DQ501" s="19"/>
      <c r="DR501" s="19"/>
      <c r="DS501" s="19"/>
      <c r="DT501" s="19"/>
      <c r="DU501" s="19"/>
      <c r="DV501" s="19"/>
      <c r="DW501" s="19"/>
      <c r="DX501" s="19"/>
      <c r="DY501" s="19"/>
      <c r="DZ501" s="19"/>
      <c r="EA501" s="19"/>
      <c r="EB501" s="19"/>
      <c r="EC501" s="19"/>
      <c r="ED501" s="19"/>
      <c r="EE501" s="19"/>
      <c r="EF501" s="19"/>
      <c r="EG501" s="19"/>
      <c r="EH501" s="19"/>
      <c r="EI501" s="19"/>
      <c r="EJ501" s="19"/>
      <c r="EK501" s="19"/>
      <c r="EL501" s="19"/>
      <c r="EM501" s="19"/>
      <c r="EN501" s="19"/>
      <c r="EO501" s="19"/>
      <c r="EP501" s="19"/>
      <c r="EQ501" s="19"/>
      <c r="ER501" s="19"/>
      <c r="ES501" s="19"/>
      <c r="ET501" s="19"/>
      <c r="EU501" s="19"/>
      <c r="EV501" s="19"/>
      <c r="EW501" s="19"/>
      <c r="EX501" s="19"/>
      <c r="EY501" s="19"/>
      <c r="EZ501" s="19"/>
      <c r="FA501" s="19"/>
      <c r="FB501" s="19"/>
      <c r="FC501" s="19"/>
      <c r="FD501" s="19"/>
      <c r="FE501" s="19"/>
      <c r="FF501" s="19"/>
      <c r="FG501" s="19"/>
      <c r="FH501" s="19"/>
      <c r="FI501" s="19"/>
    </row>
    <row r="502" spans="1:165" x14ac:dyDescent="0.25">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c r="BE502" s="19"/>
      <c r="BF502" s="19"/>
      <c r="BG502" s="19"/>
      <c r="BH502" s="19"/>
      <c r="BI502" s="19"/>
      <c r="BJ502" s="19"/>
      <c r="BK502" s="19"/>
      <c r="BL502" s="19"/>
      <c r="BM502" s="19"/>
      <c r="BN502" s="19"/>
      <c r="BO502" s="19"/>
      <c r="BP502" s="19"/>
      <c r="BQ502" s="19"/>
      <c r="BR502" s="19"/>
      <c r="BS502" s="19"/>
      <c r="BT502" s="19"/>
      <c r="BU502" s="19"/>
      <c r="BV502" s="19"/>
      <c r="BW502" s="19"/>
      <c r="BX502" s="19"/>
      <c r="BY502" s="19"/>
      <c r="BZ502" s="19"/>
      <c r="CA502" s="19"/>
      <c r="CB502" s="19"/>
      <c r="CC502" s="19"/>
      <c r="CD502" s="19"/>
      <c r="CE502" s="19"/>
      <c r="CF502" s="19"/>
      <c r="CG502" s="19"/>
      <c r="CH502" s="19"/>
      <c r="CI502" s="19"/>
      <c r="CJ502" s="19"/>
      <c r="CK502" s="19"/>
      <c r="CL502" s="19"/>
      <c r="CM502" s="19"/>
      <c r="CN502" s="19"/>
      <c r="CO502" s="19"/>
      <c r="CP502" s="19"/>
      <c r="CQ502" s="19"/>
      <c r="CR502" s="19"/>
      <c r="CS502" s="19"/>
      <c r="CT502" s="19"/>
      <c r="CU502" s="19"/>
      <c r="CV502" s="19"/>
      <c r="CW502" s="19"/>
      <c r="CX502" s="19"/>
      <c r="CY502" s="19"/>
      <c r="CZ502" s="19"/>
      <c r="DA502" s="19"/>
      <c r="DB502" s="19"/>
      <c r="DC502" s="19"/>
      <c r="DD502" s="19"/>
      <c r="DE502" s="19"/>
      <c r="DF502" s="19"/>
      <c r="DG502" s="19"/>
      <c r="DH502" s="19"/>
      <c r="DI502" s="19"/>
      <c r="DJ502" s="19"/>
      <c r="DK502" s="19"/>
      <c r="DL502" s="19"/>
      <c r="DM502" s="19"/>
      <c r="DN502" s="19"/>
      <c r="DO502" s="19"/>
      <c r="DP502" s="19"/>
      <c r="DQ502" s="19"/>
      <c r="DR502" s="19"/>
      <c r="DS502" s="19"/>
      <c r="DT502" s="19"/>
      <c r="DU502" s="19"/>
      <c r="DV502" s="19"/>
      <c r="DW502" s="19"/>
      <c r="DX502" s="19"/>
      <c r="DY502" s="19"/>
      <c r="DZ502" s="19"/>
      <c r="EA502" s="19"/>
      <c r="EB502" s="19"/>
      <c r="EC502" s="19"/>
      <c r="ED502" s="19"/>
      <c r="EE502" s="19"/>
      <c r="EF502" s="19"/>
      <c r="EG502" s="19"/>
      <c r="EH502" s="19"/>
      <c r="EI502" s="19"/>
      <c r="EJ502" s="19"/>
      <c r="EK502" s="19"/>
      <c r="EL502" s="19"/>
      <c r="EM502" s="19"/>
      <c r="EN502" s="19"/>
      <c r="EO502" s="19"/>
      <c r="EP502" s="19"/>
      <c r="EQ502" s="19"/>
      <c r="ER502" s="19"/>
      <c r="ES502" s="19"/>
      <c r="ET502" s="19"/>
      <c r="EU502" s="19"/>
      <c r="EV502" s="19"/>
      <c r="EW502" s="19"/>
      <c r="EX502" s="19"/>
      <c r="EY502" s="19"/>
      <c r="EZ502" s="19"/>
      <c r="FA502" s="19"/>
      <c r="FB502" s="19"/>
      <c r="FC502" s="19"/>
      <c r="FD502" s="19"/>
      <c r="FE502" s="19"/>
      <c r="FF502" s="19"/>
      <c r="FG502" s="19"/>
      <c r="FH502" s="19"/>
      <c r="FI502" s="19"/>
    </row>
    <row r="503" spans="1:165" x14ac:dyDescent="0.25">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c r="BE503" s="19"/>
      <c r="BF503" s="19"/>
      <c r="BG503" s="19"/>
      <c r="BH503" s="19"/>
      <c r="BI503" s="19"/>
      <c r="BJ503" s="19"/>
      <c r="BK503" s="19"/>
      <c r="BL503" s="19"/>
      <c r="BM503" s="19"/>
      <c r="BN503" s="19"/>
      <c r="BO503" s="19"/>
      <c r="BP503" s="19"/>
      <c r="BQ503" s="19"/>
      <c r="BR503" s="19"/>
      <c r="BS503" s="19"/>
      <c r="BT503" s="19"/>
      <c r="BU503" s="19"/>
      <c r="BV503" s="19"/>
      <c r="BW503" s="19"/>
      <c r="BX503" s="19"/>
      <c r="BY503" s="19"/>
      <c r="BZ503" s="19"/>
      <c r="CA503" s="19"/>
      <c r="CB503" s="19"/>
      <c r="CC503" s="19"/>
      <c r="CD503" s="19"/>
      <c r="CE503" s="19"/>
      <c r="CF503" s="19"/>
      <c r="CG503" s="19"/>
      <c r="CH503" s="19"/>
      <c r="CI503" s="19"/>
      <c r="CJ503" s="19"/>
      <c r="CK503" s="19"/>
      <c r="CL503" s="19"/>
      <c r="CM503" s="19"/>
      <c r="CN503" s="19"/>
      <c r="CO503" s="19"/>
      <c r="CP503" s="19"/>
      <c r="CQ503" s="19"/>
      <c r="CR503" s="19"/>
      <c r="CS503" s="19"/>
      <c r="CT503" s="19"/>
      <c r="CU503" s="19"/>
      <c r="CV503" s="19"/>
      <c r="CW503" s="19"/>
      <c r="CX503" s="19"/>
      <c r="CY503" s="19"/>
      <c r="CZ503" s="19"/>
      <c r="DA503" s="19"/>
      <c r="DB503" s="19"/>
      <c r="DC503" s="19"/>
      <c r="DD503" s="19"/>
      <c r="DE503" s="19"/>
      <c r="DF503" s="19"/>
      <c r="DG503" s="19"/>
      <c r="DH503" s="19"/>
      <c r="DI503" s="19"/>
      <c r="DJ503" s="19"/>
      <c r="DK503" s="19"/>
      <c r="DL503" s="19"/>
      <c r="DM503" s="19"/>
      <c r="DN503" s="19"/>
      <c r="DO503" s="19"/>
      <c r="DP503" s="19"/>
      <c r="DQ503" s="19"/>
      <c r="DR503" s="19"/>
      <c r="DS503" s="19"/>
      <c r="DT503" s="19"/>
      <c r="DU503" s="19"/>
      <c r="DV503" s="19"/>
      <c r="DW503" s="19"/>
      <c r="DX503" s="19"/>
      <c r="DY503" s="19"/>
      <c r="DZ503" s="19"/>
      <c r="EA503" s="19"/>
      <c r="EB503" s="19"/>
      <c r="EC503" s="19"/>
      <c r="ED503" s="19"/>
      <c r="EE503" s="19"/>
      <c r="EF503" s="19"/>
      <c r="EG503" s="19"/>
      <c r="EH503" s="19"/>
      <c r="EI503" s="19"/>
      <c r="EJ503" s="19"/>
      <c r="EK503" s="19"/>
      <c r="EL503" s="19"/>
      <c r="EM503" s="19"/>
      <c r="EN503" s="19"/>
      <c r="EO503" s="19"/>
      <c r="EP503" s="19"/>
      <c r="EQ503" s="19"/>
      <c r="ER503" s="19"/>
      <c r="ES503" s="19"/>
      <c r="ET503" s="19"/>
      <c r="EU503" s="19"/>
      <c r="EV503" s="19"/>
      <c r="EW503" s="19"/>
      <c r="EX503" s="19"/>
      <c r="EY503" s="19"/>
      <c r="EZ503" s="19"/>
      <c r="FA503" s="19"/>
      <c r="FB503" s="19"/>
      <c r="FC503" s="19"/>
      <c r="FD503" s="19"/>
      <c r="FE503" s="19"/>
      <c r="FF503" s="19"/>
      <c r="FG503" s="19"/>
      <c r="FH503" s="19"/>
      <c r="FI503" s="19"/>
    </row>
  </sheetData>
  <sheetProtection algorithmName="SHA-512" hashValue="B/2pEJZchTQYUI6NDfYZwR3UwIgRAJrBoDTLP8OyYZ3HrVzEHkNbcOt3J+TftGgUWWCMRtvEARk2ipFuIC2t+A==" saltValue="7t++9GW9xhGCzE16wZiA8g==" spinCount="100000" sheet="1" selectLockedCells="1"/>
  <mergeCells count="20">
    <mergeCell ref="A161:G161"/>
    <mergeCell ref="I161:P161"/>
    <mergeCell ref="E157:F157"/>
    <mergeCell ref="A154:E154"/>
    <mergeCell ref="CP154:CR154"/>
    <mergeCell ref="AF154:AL154"/>
    <mergeCell ref="CT154:CV154"/>
    <mergeCell ref="CX154:CZ154"/>
    <mergeCell ref="DB154:DD154"/>
    <mergeCell ref="E159:F159"/>
    <mergeCell ref="AN154:BE154"/>
    <mergeCell ref="BG154:BX154"/>
    <mergeCell ref="CB154:CD154"/>
    <mergeCell ref="CF154:CI154"/>
    <mergeCell ref="CK154:CN154"/>
    <mergeCell ref="A79:C79"/>
    <mergeCell ref="E158:F158"/>
    <mergeCell ref="A112:E112"/>
    <mergeCell ref="A114:G114"/>
    <mergeCell ref="I114:P114"/>
  </mergeCells>
  <conditionalFormatting sqref="A161:G161">
    <cfRule type="expression" dxfId="47" priority="691">
      <formula>IF($E$157=$J$157,0,1)</formula>
    </cfRule>
  </conditionalFormatting>
  <conditionalFormatting sqref="A162:G174">
    <cfRule type="expression" dxfId="46" priority="36">
      <formula>IF($E$157=$J$157,0,1)</formula>
    </cfRule>
  </conditionalFormatting>
  <conditionalFormatting sqref="E6">
    <cfRule type="cellIs" dxfId="45" priority="141" stopIfTrue="1" operator="notBetween">
      <formula>$H$6</formula>
      <formula>$I$6</formula>
    </cfRule>
  </conditionalFormatting>
  <conditionalFormatting sqref="E7">
    <cfRule type="cellIs" dxfId="44" priority="133" operator="notBetween">
      <formula>$H$7</formula>
      <formula>$I$7</formula>
    </cfRule>
    <cfRule type="cellIs" dxfId="43" priority="139" operator="notBetween">
      <formula>$J$7</formula>
      <formula>$K$7</formula>
    </cfRule>
  </conditionalFormatting>
  <conditionalFormatting sqref="E8">
    <cfRule type="cellIs" dxfId="42" priority="99" operator="notBetween">
      <formula>$H$8</formula>
      <formula>$I$8</formula>
    </cfRule>
  </conditionalFormatting>
  <conditionalFormatting sqref="E9">
    <cfRule type="cellIs" dxfId="41" priority="140" stopIfTrue="1" operator="notBetween">
      <formula>$H$9</formula>
      <formula>$I$9</formula>
    </cfRule>
  </conditionalFormatting>
  <conditionalFormatting sqref="E13">
    <cfRule type="cellIs" dxfId="40" priority="98" operator="notBetween">
      <formula>H13</formula>
      <formula>I13</formula>
    </cfRule>
  </conditionalFormatting>
  <conditionalFormatting sqref="E15">
    <cfRule type="cellIs" dxfId="39" priority="97" operator="notBetween">
      <formula>H15</formula>
      <formula>I15</formula>
    </cfRule>
  </conditionalFormatting>
  <conditionalFormatting sqref="E16">
    <cfRule type="cellIs" dxfId="38" priority="4" operator="notBetween">
      <formula>$H$16</formula>
      <formula>$I$16</formula>
    </cfRule>
  </conditionalFormatting>
  <conditionalFormatting sqref="E18">
    <cfRule type="cellIs" dxfId="37" priority="42" operator="lessThan">
      <formula>$I$18</formula>
    </cfRule>
  </conditionalFormatting>
  <conditionalFormatting sqref="E19">
    <cfRule type="cellIs" dxfId="36" priority="41" operator="lessThan">
      <formula>$I$19</formula>
    </cfRule>
  </conditionalFormatting>
  <conditionalFormatting sqref="E20">
    <cfRule type="cellIs" dxfId="35" priority="40" operator="lessThan">
      <formula>$I$20</formula>
    </cfRule>
  </conditionalFormatting>
  <conditionalFormatting sqref="E24">
    <cfRule type="cellIs" dxfId="34" priority="95" operator="lessThan">
      <formula>H24</formula>
    </cfRule>
  </conditionalFormatting>
  <conditionalFormatting sqref="E25:E26">
    <cfRule type="cellIs" dxfId="33" priority="24" operator="notBetween">
      <formula>$H$25</formula>
      <formula>$I$25</formula>
    </cfRule>
  </conditionalFormatting>
  <conditionalFormatting sqref="E26">
    <cfRule type="cellIs" dxfId="32" priority="93" operator="lessThan">
      <formula>H26</formula>
    </cfRule>
  </conditionalFormatting>
  <conditionalFormatting sqref="E29">
    <cfRule type="cellIs" dxfId="31" priority="94" operator="notBetween">
      <formula>H29</formula>
      <formula>I29</formula>
    </cfRule>
  </conditionalFormatting>
  <conditionalFormatting sqref="E43">
    <cfRule type="cellIs" dxfId="30" priority="87" operator="notBetween">
      <formula>H43</formula>
      <formula>I43</formula>
    </cfRule>
  </conditionalFormatting>
  <conditionalFormatting sqref="E45:E48">
    <cfRule type="cellIs" dxfId="29" priority="85" operator="notBetween">
      <formula>H45</formula>
      <formula>I45</formula>
    </cfRule>
  </conditionalFormatting>
  <conditionalFormatting sqref="E54:E55">
    <cfRule type="cellIs" dxfId="28" priority="82" operator="notBetween">
      <formula>H54</formula>
      <formula>I54</formula>
    </cfRule>
  </conditionalFormatting>
  <conditionalFormatting sqref="E66">
    <cfRule type="cellIs" dxfId="27" priority="89" operator="notBetween">
      <formula>$H$66</formula>
      <formula>$I$66</formula>
    </cfRule>
  </conditionalFormatting>
  <conditionalFormatting sqref="E67">
    <cfRule type="cellIs" dxfId="26" priority="88" operator="notBetween">
      <formula>$H$67</formula>
      <formula>$I$67</formula>
    </cfRule>
  </conditionalFormatting>
  <conditionalFormatting sqref="E70">
    <cfRule type="cellIs" dxfId="25" priority="70" operator="greaterThan">
      <formula>$H$70</formula>
    </cfRule>
  </conditionalFormatting>
  <conditionalFormatting sqref="E74">
    <cfRule type="expression" dxfId="24" priority="68">
      <formula>$H$74</formula>
    </cfRule>
  </conditionalFormatting>
  <conditionalFormatting sqref="E75:E76">
    <cfRule type="expression" dxfId="23" priority="67">
      <formula>$H$75</formula>
    </cfRule>
  </conditionalFormatting>
  <conditionalFormatting sqref="E77">
    <cfRule type="cellIs" dxfId="22" priority="69" operator="notBetween">
      <formula>$H$77</formula>
      <formula>$I$77</formula>
    </cfRule>
  </conditionalFormatting>
  <conditionalFormatting sqref="E92">
    <cfRule type="cellIs" dxfId="21" priority="74" operator="notBetween">
      <formula>$H$92</formula>
      <formula>$I$92</formula>
    </cfRule>
  </conditionalFormatting>
  <conditionalFormatting sqref="E93">
    <cfRule type="cellIs" dxfId="20" priority="75" operator="notEqual">
      <formula>$E$88</formula>
    </cfRule>
  </conditionalFormatting>
  <conditionalFormatting sqref="E94:E96">
    <cfRule type="expression" dxfId="19" priority="78">
      <formula>$Q$94</formula>
    </cfRule>
  </conditionalFormatting>
  <conditionalFormatting sqref="E100">
    <cfRule type="cellIs" dxfId="18" priority="6" operator="lessThan">
      <formula>$H$100</formula>
    </cfRule>
  </conditionalFormatting>
  <conditionalFormatting sqref="E101:E102">
    <cfRule type="cellIs" dxfId="17" priority="119" operator="greaterThan">
      <formula>#REF!</formula>
    </cfRule>
  </conditionalFormatting>
  <conditionalFormatting sqref="E106">
    <cfRule type="cellIs" dxfId="16" priority="5" operator="lessThan">
      <formula>$H$106</formula>
    </cfRule>
  </conditionalFormatting>
  <conditionalFormatting sqref="E159:F159">
    <cfRule type="expression" dxfId="15" priority="741">
      <formula>IF($K$159=$E$10, 0,1)</formula>
    </cfRule>
  </conditionalFormatting>
  <conditionalFormatting sqref="G98:G102 H98:S110 G104:G110 G111:S111 R114:R119 G152 H152:S153 H155:S160 Q161:S188 C189:G189 I189:S189 A189:A190 B190:J190 L190:S190">
    <cfRule type="expression" dxfId="14" priority="755">
      <formula>IF($H$3=$E$3, 0,1)</formula>
    </cfRule>
  </conditionalFormatting>
  <conditionalFormatting sqref="G5:S97">
    <cfRule type="expression" dxfId="13" priority="1">
      <formula>IF($H$3=$E$3, 0,1)</formula>
    </cfRule>
  </conditionalFormatting>
  <conditionalFormatting sqref="H2:H3">
    <cfRule type="expression" dxfId="12" priority="3">
      <formula>IF($E$3=$H$3,0,1)</formula>
    </cfRule>
  </conditionalFormatting>
  <conditionalFormatting sqref="I114:P149">
    <cfRule type="expression" dxfId="11" priority="21">
      <formula>$R$117</formula>
    </cfRule>
  </conditionalFormatting>
  <conditionalFormatting sqref="I161:P161">
    <cfRule type="expression" dxfId="10" priority="692">
      <formula>IF($E$157=$I$157,0,1)</formula>
    </cfRule>
  </conditionalFormatting>
  <conditionalFormatting sqref="T1:T226 T231:T452 T504:T1048576">
    <cfRule type="expression" dxfId="9" priority="752">
      <formula>IF($E$3=$H$3, 0,1)</formula>
    </cfRule>
  </conditionalFormatting>
  <conditionalFormatting sqref="U1:FI115 U116:FJ131 U132:DL153 DM132:FI468 U154:AF154 AM154:AN154 BF154:BG154 BY154:CB154 CE154:CF154 CJ154:CK154 CO154:CP154 CS154:CT154 CW154:CX154 DA154:DB154 DE154:DL154 U155:CD155 CE155:DL256 AF156:CD256 U156:AE468 AF257:DL468 A469:FI503">
    <cfRule type="expression" dxfId="8" priority="772">
      <formula>IF($E$3=$H$3, 0,1)</formula>
    </cfRule>
  </conditionalFormatting>
  <conditionalFormatting sqref="AF155:DE256">
    <cfRule type="expression" dxfId="7" priority="771">
      <formula>IF($H$3=$E$3, 1,0)</formula>
    </cfRule>
  </conditionalFormatting>
  <dataValidations count="9">
    <dataValidation type="list" allowBlank="1" showInputMessage="1" showErrorMessage="1" sqref="E88" xr:uid="{4A1BED94-4A6D-41CD-BD18-2F09AF104B18}">
      <formula1>$H$88:$I$88</formula1>
    </dataValidation>
    <dataValidation type="list" allowBlank="1" showInputMessage="1" showErrorMessage="1" sqref="E76" xr:uid="{DBD53FFE-C5ED-4A8C-B7C3-D4E2D30F3C4E}">
      <formula1>$H$76:$AM$76</formula1>
    </dataValidation>
    <dataValidation type="list" allowBlank="1" showInputMessage="1" showErrorMessage="1" sqref="E80" xr:uid="{AFA7F537-9EE7-4F8A-BCA9-028955168CBA}">
      <formula1>$H$80:$K$80</formula1>
    </dataValidation>
    <dataValidation type="list" allowBlank="1" showInputMessage="1" showErrorMessage="1" sqref="E81" xr:uid="{36C5A1F3-0102-4A12-BF2F-1376A924A571}">
      <formula1>$H$81:$K$81</formula1>
    </dataValidation>
    <dataValidation type="list" allowBlank="1" showInputMessage="1" showErrorMessage="1" sqref="E158" xr:uid="{9C60CA42-6B6D-47CC-BE5D-01D9758C739B}">
      <formula1>$I$158:$K$158</formula1>
    </dataValidation>
    <dataValidation type="list" allowBlank="1" showInputMessage="1" showErrorMessage="1" sqref="E157" xr:uid="{20ADCEA2-98BD-421A-92CF-CBD1E6E9CD7C}">
      <formula1>$I$157:$K$157</formula1>
    </dataValidation>
    <dataValidation type="list" allowBlank="1" showInputMessage="1" showErrorMessage="1" sqref="R116" xr:uid="{B773702E-7FF7-4EAF-93DF-E8C8A90E6BD8}">
      <formula1>$T$116:$U$116</formula1>
    </dataValidation>
    <dataValidation type="list" allowBlank="1" showInputMessage="1" showErrorMessage="1" sqref="E159" xr:uid="{60A3E98D-14CE-4B96-A128-35F2EED77837}">
      <formula1>$I$159:$J$159</formula1>
    </dataValidation>
    <dataValidation type="list" allowBlank="1" showInputMessage="1" showErrorMessage="1" sqref="N115 N133" xr:uid="{D11D579E-C101-4902-B8E8-2F0FF51BEF59}">
      <formula1>$Y$116:$AC$116</formula1>
    </dataValidation>
  </dataValidations>
  <pageMargins left="0.7" right="0.7" top="0.75" bottom="0.75" header="0.3" footer="0.3"/>
  <pageSetup orientation="portrait" r:id="rId1"/>
  <drawing r:id="rId2"/>
  <legacyDrawing r:id="rId3"/>
  <tableParts count="2">
    <tablePart r:id="rId4"/>
    <tablePart r:id="rId5"/>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773E2-BF56-4341-A0B4-E87FE1E66077}">
  <sheetPr codeName="Sheet2"/>
  <dimension ref="A1:HB565"/>
  <sheetViews>
    <sheetView topLeftCell="A4" zoomScaleNormal="100" workbookViewId="0">
      <selection activeCell="E47" sqref="E47"/>
    </sheetView>
  </sheetViews>
  <sheetFormatPr defaultRowHeight="15" x14ac:dyDescent="0.25"/>
  <cols>
    <col min="2" max="2" width="21.7109375" customWidth="1"/>
    <col min="3" max="3" width="14.42578125" customWidth="1"/>
    <col min="4" max="4" width="11.85546875" customWidth="1"/>
    <col min="6" max="6" width="9.42578125" bestFit="1" customWidth="1"/>
    <col min="20" max="20" width="12.85546875" bestFit="1" customWidth="1"/>
    <col min="24" max="25" width="9.140625" customWidth="1"/>
    <col min="29" max="29" width="14.85546875" bestFit="1" customWidth="1"/>
    <col min="30" max="30" width="16.85546875" bestFit="1" customWidth="1"/>
    <col min="31" max="31" width="17.5703125" bestFit="1" customWidth="1"/>
    <col min="32" max="32" width="14.28515625" bestFit="1" customWidth="1"/>
    <col min="33" max="33" width="15.140625" bestFit="1" customWidth="1"/>
    <col min="34" max="34" width="15.7109375" bestFit="1" customWidth="1"/>
    <col min="35" max="35" width="15.5703125" bestFit="1" customWidth="1"/>
    <col min="36" max="36" width="12.42578125" bestFit="1" customWidth="1"/>
    <col min="37" max="37" width="11" customWidth="1"/>
    <col min="38" max="38" width="12" customWidth="1"/>
    <col min="39" max="39" width="16.140625" bestFit="1" customWidth="1"/>
    <col min="40" max="40" width="12.42578125" bestFit="1" customWidth="1"/>
    <col min="41" max="41" width="17.7109375" bestFit="1" customWidth="1"/>
    <col min="43" max="43" width="14.85546875" bestFit="1" customWidth="1"/>
    <col min="44" max="44" width="17.28515625" bestFit="1" customWidth="1"/>
    <col min="45" max="45" width="18" bestFit="1" customWidth="1"/>
    <col min="46" max="46" width="14.140625" bestFit="1" customWidth="1"/>
    <col min="47" max="47" width="15" bestFit="1" customWidth="1"/>
    <col min="48" max="48" width="21.28515625" bestFit="1" customWidth="1"/>
    <col min="49" max="49" width="13" bestFit="1" customWidth="1"/>
    <col min="50" max="50" width="11" bestFit="1" customWidth="1"/>
    <col min="51" max="51" width="20.5703125" bestFit="1" customWidth="1"/>
  </cols>
  <sheetData>
    <row r="1" spans="1:210" ht="47.25" customHeight="1" thickBot="1" x14ac:dyDescent="0.3">
      <c r="A1" s="14"/>
      <c r="B1" s="15"/>
      <c r="C1" s="15"/>
      <c r="D1" s="15"/>
      <c r="E1" s="15"/>
      <c r="F1" s="15"/>
      <c r="G1" s="16" t="s">
        <v>261</v>
      </c>
      <c r="H1" s="15"/>
      <c r="I1" s="15"/>
      <c r="J1" s="15"/>
      <c r="K1" s="15"/>
      <c r="L1" s="15"/>
      <c r="M1" s="15"/>
      <c r="N1" s="15"/>
      <c r="O1" s="15"/>
      <c r="P1" s="15"/>
      <c r="Q1" s="15"/>
      <c r="R1" s="15"/>
      <c r="S1" s="15"/>
      <c r="T1" s="15"/>
      <c r="U1" s="15"/>
      <c r="V1" s="15"/>
      <c r="W1" s="15"/>
      <c r="X1" s="15"/>
      <c r="Y1" s="17"/>
      <c r="Z1" s="18"/>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c r="EP1" s="19"/>
      <c r="EQ1" s="19"/>
      <c r="ER1" s="19"/>
      <c r="ES1" s="19"/>
      <c r="ET1" s="19"/>
      <c r="EU1" s="19"/>
      <c r="EV1" s="19"/>
      <c r="EW1" s="19"/>
      <c r="EX1" s="19"/>
      <c r="EY1" s="19"/>
      <c r="EZ1" s="19"/>
      <c r="FA1" s="19"/>
      <c r="FB1" s="19"/>
      <c r="FC1" s="19"/>
      <c r="FD1" s="19"/>
      <c r="FE1" s="19"/>
      <c r="FF1" s="19"/>
      <c r="FG1" s="19"/>
      <c r="FH1" s="19"/>
      <c r="FI1" s="19"/>
      <c r="FJ1" s="19"/>
      <c r="FK1" s="19"/>
      <c r="FL1" s="19"/>
      <c r="FM1" s="19"/>
      <c r="FN1" s="19"/>
      <c r="FO1" s="19"/>
      <c r="FP1" s="19"/>
      <c r="FQ1" s="19"/>
      <c r="FR1" s="19"/>
      <c r="FS1" s="19"/>
      <c r="FT1" s="19"/>
      <c r="FU1" s="19"/>
      <c r="FV1" s="19"/>
      <c r="FW1" s="19"/>
      <c r="FX1" s="19"/>
      <c r="FY1" s="19"/>
      <c r="FZ1" s="19"/>
      <c r="GA1" s="19"/>
      <c r="GB1" s="19"/>
      <c r="GC1" s="19"/>
      <c r="GD1" s="19"/>
      <c r="GE1" s="19"/>
      <c r="GF1" s="19"/>
      <c r="GG1" s="19"/>
      <c r="GH1" s="19"/>
      <c r="GI1" s="19"/>
      <c r="GJ1" s="19"/>
      <c r="GK1" s="19"/>
      <c r="GL1" s="19"/>
      <c r="GM1" s="19"/>
      <c r="GN1" s="19"/>
      <c r="GO1" s="19"/>
      <c r="GP1" s="19"/>
      <c r="GQ1" s="19"/>
      <c r="GR1" s="19"/>
      <c r="GS1" s="19"/>
      <c r="GT1" s="19"/>
      <c r="GU1" s="19"/>
      <c r="GV1" s="19"/>
      <c r="GW1" s="19"/>
      <c r="GX1" s="19"/>
      <c r="GY1" s="19"/>
      <c r="GZ1" s="19"/>
      <c r="HA1" s="19"/>
      <c r="HB1" s="19"/>
    </row>
    <row r="2" spans="1:21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row>
    <row r="3" spans="1:210" x14ac:dyDescent="0.25">
      <c r="A3" s="18"/>
      <c r="B3" s="18"/>
      <c r="C3" s="18"/>
      <c r="D3" s="18"/>
      <c r="E3" s="61"/>
      <c r="F3" s="21" t="s">
        <v>2</v>
      </c>
      <c r="G3" s="18"/>
      <c r="H3" s="18"/>
      <c r="I3" s="18"/>
      <c r="J3" s="18"/>
      <c r="K3" s="18"/>
      <c r="L3" s="18"/>
      <c r="M3" s="18"/>
      <c r="N3" s="18"/>
      <c r="O3" s="18"/>
      <c r="P3" s="18"/>
      <c r="Q3" s="18"/>
      <c r="R3" s="18"/>
      <c r="S3" s="18"/>
      <c r="T3" s="18"/>
      <c r="U3" s="18"/>
      <c r="V3" s="18"/>
      <c r="W3" s="18"/>
      <c r="X3" s="18"/>
      <c r="Y3" s="18"/>
      <c r="Z3" s="18"/>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EH3" s="19"/>
      <c r="EI3" s="19"/>
      <c r="EJ3" s="19"/>
      <c r="EK3" s="19"/>
      <c r="EL3" s="19"/>
      <c r="EM3" s="19"/>
      <c r="EN3" s="19"/>
      <c r="EO3" s="19"/>
      <c r="EP3" s="19"/>
      <c r="EQ3" s="19"/>
      <c r="ER3" s="19"/>
      <c r="ES3" s="19"/>
      <c r="ET3" s="19"/>
      <c r="EU3" s="19"/>
      <c r="EV3" s="19"/>
      <c r="EW3" s="19"/>
      <c r="EX3" s="19"/>
      <c r="EY3" s="19"/>
      <c r="EZ3" s="19"/>
      <c r="FA3" s="19"/>
      <c r="FB3" s="19"/>
      <c r="FC3" s="19"/>
      <c r="FD3" s="19"/>
      <c r="FE3" s="19"/>
      <c r="FF3" s="19"/>
      <c r="FG3" s="19"/>
      <c r="FH3" s="19"/>
      <c r="FI3" s="19"/>
      <c r="FJ3" s="19"/>
      <c r="FK3" s="19"/>
      <c r="FL3" s="19"/>
      <c r="FM3" s="19"/>
      <c r="FN3" s="19"/>
      <c r="FO3" s="19"/>
      <c r="FP3" s="19"/>
      <c r="FQ3" s="19"/>
      <c r="FR3" s="19"/>
      <c r="FS3" s="19"/>
      <c r="FT3" s="19"/>
      <c r="FU3" s="19"/>
      <c r="FV3" s="19"/>
      <c r="FW3" s="19"/>
      <c r="FX3" s="19"/>
      <c r="FY3" s="19"/>
      <c r="FZ3" s="19"/>
      <c r="GA3" s="19"/>
      <c r="GB3" s="19"/>
      <c r="GC3" s="19"/>
      <c r="GD3" s="19"/>
      <c r="GE3" s="19"/>
      <c r="GF3" s="19"/>
      <c r="GG3" s="19"/>
      <c r="GH3" s="19"/>
      <c r="GI3" s="19"/>
      <c r="GJ3" s="19"/>
      <c r="GK3" s="19"/>
      <c r="GL3" s="19"/>
      <c r="GM3" s="19"/>
      <c r="GN3" s="19"/>
      <c r="GO3" s="19"/>
      <c r="GP3" s="19"/>
      <c r="GQ3" s="19"/>
      <c r="GR3" s="19"/>
      <c r="GS3" s="19"/>
      <c r="GT3" s="19"/>
      <c r="GU3" s="19"/>
      <c r="GV3" s="19"/>
      <c r="GW3" s="19"/>
      <c r="GX3" s="19"/>
      <c r="GY3" s="19"/>
      <c r="GZ3" s="19"/>
      <c r="HA3" s="19"/>
      <c r="HB3" s="19"/>
    </row>
    <row r="4" spans="1:210" ht="15.75" thickBot="1" x14ac:dyDescent="0.3">
      <c r="A4" s="18"/>
      <c r="B4" s="18"/>
      <c r="C4" s="18"/>
      <c r="D4" s="18"/>
      <c r="E4" s="18"/>
      <c r="F4" s="18"/>
      <c r="G4" s="18"/>
      <c r="H4" s="18"/>
      <c r="I4" s="18"/>
      <c r="J4" s="18"/>
      <c r="K4" s="18"/>
      <c r="L4" s="18"/>
      <c r="M4" s="18"/>
      <c r="N4" s="18"/>
      <c r="O4" s="18"/>
      <c r="P4" s="18"/>
      <c r="Q4" s="18"/>
      <c r="R4" s="18"/>
      <c r="S4" s="18"/>
      <c r="T4" s="18"/>
      <c r="U4" s="18"/>
      <c r="V4" s="18"/>
      <c r="W4" s="18"/>
      <c r="X4" s="18"/>
      <c r="Y4" s="18"/>
      <c r="Z4" s="18"/>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c r="ES4" s="19"/>
      <c r="ET4" s="19"/>
      <c r="EU4" s="19"/>
      <c r="EV4" s="19"/>
      <c r="EW4" s="19"/>
      <c r="EX4" s="19"/>
      <c r="EY4" s="19"/>
      <c r="EZ4" s="19"/>
      <c r="FA4" s="19"/>
      <c r="FB4" s="19"/>
      <c r="FC4" s="19"/>
      <c r="FD4" s="19"/>
      <c r="FE4" s="19"/>
      <c r="FF4" s="19"/>
      <c r="FG4" s="19"/>
      <c r="FH4" s="19"/>
      <c r="FI4" s="19"/>
      <c r="FJ4" s="19"/>
      <c r="FK4" s="19"/>
      <c r="FL4" s="19"/>
      <c r="FM4" s="19"/>
      <c r="FN4" s="19"/>
      <c r="FO4" s="19"/>
      <c r="FP4" s="19"/>
      <c r="FQ4" s="19"/>
      <c r="FR4" s="19"/>
      <c r="FS4" s="19"/>
      <c r="FT4" s="19"/>
      <c r="FU4" s="19"/>
      <c r="FV4" s="19"/>
      <c r="FW4" s="19"/>
      <c r="FX4" s="19"/>
      <c r="FY4" s="19"/>
      <c r="FZ4" s="19"/>
      <c r="GA4" s="19"/>
      <c r="GB4" s="19"/>
      <c r="GC4" s="19"/>
      <c r="GD4" s="19"/>
      <c r="GE4" s="19"/>
      <c r="GF4" s="19"/>
      <c r="GG4" s="19"/>
      <c r="GH4" s="19"/>
      <c r="GI4" s="19"/>
      <c r="GJ4" s="19"/>
      <c r="GK4" s="19"/>
      <c r="GL4" s="19"/>
      <c r="GM4" s="19"/>
      <c r="GN4" s="19"/>
      <c r="GO4" s="19"/>
      <c r="GP4" s="19"/>
      <c r="GQ4" s="19"/>
      <c r="GR4" s="19"/>
      <c r="GS4" s="19"/>
      <c r="GT4" s="19"/>
      <c r="GU4" s="19"/>
      <c r="GV4" s="19"/>
      <c r="GW4" s="19"/>
      <c r="GX4" s="19"/>
      <c r="GY4" s="19"/>
      <c r="GZ4" s="19"/>
      <c r="HA4" s="19"/>
      <c r="HB4" s="19"/>
    </row>
    <row r="5" spans="1:210" ht="15.75" thickBot="1" x14ac:dyDescent="0.3">
      <c r="A5" s="232" t="s">
        <v>262</v>
      </c>
      <c r="B5" s="233"/>
      <c r="C5" s="233"/>
      <c r="D5" s="23"/>
      <c r="E5" s="23"/>
      <c r="F5" s="176"/>
      <c r="G5" s="177"/>
      <c r="H5" s="23"/>
      <c r="I5" s="23"/>
      <c r="J5" s="25"/>
      <c r="K5" s="25"/>
      <c r="L5" s="25"/>
      <c r="M5" s="25"/>
      <c r="N5" s="25"/>
      <c r="O5" s="25"/>
      <c r="P5" s="25"/>
      <c r="Q5" s="25"/>
      <c r="R5" s="25"/>
      <c r="S5" s="25"/>
      <c r="T5" s="25"/>
      <c r="U5" s="25"/>
      <c r="V5" s="25"/>
      <c r="W5" s="25"/>
      <c r="X5" s="25"/>
      <c r="Y5" s="26"/>
      <c r="Z5" s="18"/>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c r="ES5" s="19"/>
      <c r="ET5" s="19"/>
      <c r="EU5" s="19"/>
      <c r="EV5" s="19"/>
      <c r="EW5" s="19"/>
      <c r="EX5" s="19"/>
      <c r="EY5" s="19"/>
      <c r="EZ5" s="19"/>
      <c r="FA5" s="19"/>
      <c r="FB5" s="19"/>
      <c r="FC5" s="19"/>
      <c r="FD5" s="19"/>
      <c r="FE5" s="19"/>
      <c r="FF5" s="19"/>
      <c r="FG5" s="19"/>
      <c r="FH5" s="19"/>
      <c r="FI5" s="19"/>
      <c r="FJ5" s="19"/>
      <c r="FK5" s="19"/>
      <c r="FL5" s="19"/>
      <c r="FM5" s="19"/>
      <c r="FN5" s="19"/>
      <c r="FO5" s="19"/>
      <c r="FP5" s="19"/>
      <c r="FQ5" s="19"/>
      <c r="FR5" s="19"/>
      <c r="FS5" s="19"/>
      <c r="FT5" s="19"/>
      <c r="FU5" s="19"/>
      <c r="FV5" s="19"/>
      <c r="FW5" s="19"/>
      <c r="FX5" s="19"/>
      <c r="FY5" s="19"/>
      <c r="FZ5" s="19"/>
      <c r="GA5" s="19"/>
      <c r="GB5" s="19"/>
      <c r="GC5" s="19"/>
      <c r="GD5" s="19"/>
      <c r="GE5" s="19"/>
      <c r="GF5" s="19"/>
      <c r="GG5" s="19"/>
      <c r="GH5" s="19"/>
      <c r="GI5" s="19"/>
      <c r="GJ5" s="19"/>
      <c r="GK5" s="19"/>
      <c r="GL5" s="19"/>
      <c r="GM5" s="19"/>
      <c r="GN5" s="19"/>
      <c r="GO5" s="19"/>
      <c r="GP5" s="19"/>
      <c r="GQ5" s="19"/>
      <c r="GR5" s="19"/>
      <c r="GS5" s="19"/>
      <c r="GT5" s="19"/>
      <c r="GU5" s="19"/>
      <c r="GV5" s="19"/>
      <c r="GW5" s="19"/>
      <c r="GX5" s="19"/>
      <c r="GY5" s="19"/>
      <c r="GZ5" s="19"/>
      <c r="HA5" s="19"/>
      <c r="HB5" s="19"/>
    </row>
    <row r="6" spans="1:210" ht="15.75" x14ac:dyDescent="0.25">
      <c r="A6" s="27"/>
      <c r="B6" s="23"/>
      <c r="C6" s="23"/>
      <c r="D6" s="28" t="s">
        <v>263</v>
      </c>
      <c r="E6" s="68">
        <v>-10</v>
      </c>
      <c r="F6" s="132" t="s">
        <v>264</v>
      </c>
      <c r="G6" s="156"/>
      <c r="H6" s="13">
        <v>-10</v>
      </c>
      <c r="I6" s="13">
        <v>-5</v>
      </c>
      <c r="J6" s="29">
        <v>0</v>
      </c>
      <c r="K6" s="29">
        <v>5</v>
      </c>
      <c r="L6" s="29">
        <v>0.77149999999999996</v>
      </c>
      <c r="M6" s="29">
        <v>0.75319999999999998</v>
      </c>
      <c r="N6" s="29">
        <v>0.73250000000000004</v>
      </c>
      <c r="O6" s="29">
        <v>0.71099999999999997</v>
      </c>
      <c r="P6" s="29"/>
      <c r="Q6" s="29">
        <f>IF(T1_S=T1_N10_TEMP,T1_N10_PERCENT,IF(T1_S=T1_N_TEMP,T1_N5_PERCENT,IF(T1_S=T1_0_TEMP,T1_0_PERCENT,IF(T1_S=T1_5_TEMP,T1_5_PERCENT,"ERROR"))))</f>
        <v>0.77149999999999996</v>
      </c>
      <c r="R6" s="29"/>
      <c r="S6" s="29"/>
      <c r="T6" s="179"/>
      <c r="U6" s="180" t="s">
        <v>265</v>
      </c>
      <c r="V6" s="180" t="s">
        <v>266</v>
      </c>
      <c r="W6" s="180" t="s">
        <v>267</v>
      </c>
      <c r="X6" s="181" t="s">
        <v>268</v>
      </c>
      <c r="Y6" s="30"/>
      <c r="Z6" s="18"/>
      <c r="AA6" s="19"/>
      <c r="AB6" s="19"/>
      <c r="AC6" s="20" t="s">
        <v>269</v>
      </c>
      <c r="AD6" s="20" t="s">
        <v>270</v>
      </c>
      <c r="AE6" s="20" t="s">
        <v>271</v>
      </c>
      <c r="AF6" s="20" t="s">
        <v>272</v>
      </c>
      <c r="AG6" s="20" t="s">
        <v>273</v>
      </c>
      <c r="AH6" s="20" t="s">
        <v>274</v>
      </c>
      <c r="AI6" s="20" t="s">
        <v>275</v>
      </c>
      <c r="AJ6" s="183" t="s">
        <v>276</v>
      </c>
      <c r="AK6" s="183" t="s">
        <v>277</v>
      </c>
      <c r="AL6" s="183" t="s">
        <v>278</v>
      </c>
      <c r="AM6" s="183" t="s">
        <v>279</v>
      </c>
      <c r="AN6" s="183" t="s">
        <v>280</v>
      </c>
      <c r="AO6" s="183" t="s">
        <v>281</v>
      </c>
      <c r="AP6" s="183" t="s">
        <v>282</v>
      </c>
      <c r="AQ6" s="20" t="s">
        <v>283</v>
      </c>
      <c r="AR6" s="20" t="s">
        <v>284</v>
      </c>
      <c r="AS6" s="20" t="s">
        <v>285</v>
      </c>
      <c r="AT6" s="20" t="s">
        <v>286</v>
      </c>
      <c r="AU6" s="20" t="s">
        <v>287</v>
      </c>
      <c r="AV6" s="20" t="s">
        <v>288</v>
      </c>
      <c r="AW6" s="20" t="s">
        <v>289</v>
      </c>
      <c r="AX6" s="19"/>
      <c r="AY6" s="186" t="s">
        <v>289</v>
      </c>
      <c r="AZ6" s="186" t="s">
        <v>265</v>
      </c>
      <c r="BA6" s="186" t="s">
        <v>266</v>
      </c>
      <c r="BB6" s="186" t="s">
        <v>267</v>
      </c>
      <c r="BC6" s="19"/>
      <c r="BD6" s="186" t="s">
        <v>290</v>
      </c>
      <c r="BE6" s="186" t="s">
        <v>291</v>
      </c>
      <c r="BF6" s="186" t="s">
        <v>292</v>
      </c>
      <c r="BG6" s="186" t="s">
        <v>293</v>
      </c>
      <c r="BH6" s="186" t="s">
        <v>294</v>
      </c>
      <c r="BI6" s="186" t="s">
        <v>295</v>
      </c>
      <c r="BJ6" s="186" t="s">
        <v>296</v>
      </c>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c r="ES6" s="19"/>
      <c r="ET6" s="19"/>
      <c r="EU6" s="19"/>
      <c r="EV6" s="19"/>
      <c r="EW6" s="19"/>
      <c r="EX6" s="19"/>
      <c r="EY6" s="19"/>
      <c r="EZ6" s="19"/>
      <c r="FA6" s="19"/>
      <c r="FB6" s="19"/>
      <c r="FC6" s="19"/>
      <c r="FD6" s="19"/>
      <c r="FE6" s="19"/>
      <c r="FF6" s="19"/>
      <c r="FG6" s="19"/>
      <c r="FH6" s="19"/>
      <c r="FI6" s="19"/>
      <c r="FJ6" s="19"/>
      <c r="FK6" s="19"/>
      <c r="FL6" s="19"/>
      <c r="FM6" s="19"/>
      <c r="FN6" s="19"/>
      <c r="FO6" s="19"/>
      <c r="FP6" s="19"/>
      <c r="FQ6" s="19"/>
      <c r="FR6" s="19"/>
      <c r="FS6" s="19"/>
      <c r="FT6" s="19"/>
      <c r="FU6" s="19"/>
      <c r="FV6" s="19"/>
      <c r="FW6" s="19"/>
      <c r="FX6" s="19"/>
      <c r="FY6" s="19"/>
      <c r="FZ6" s="19"/>
      <c r="GA6" s="19"/>
      <c r="GB6" s="19"/>
      <c r="GC6" s="19"/>
      <c r="GD6" s="19"/>
      <c r="GE6" s="19"/>
      <c r="GF6" s="19"/>
      <c r="GG6" s="19"/>
      <c r="GH6" s="19"/>
      <c r="GI6" s="19"/>
      <c r="GJ6" s="19"/>
      <c r="GK6" s="19"/>
      <c r="GL6" s="19"/>
      <c r="GM6" s="19"/>
      <c r="GN6" s="19"/>
      <c r="GO6" s="19"/>
      <c r="GP6" s="19"/>
      <c r="GQ6" s="19"/>
      <c r="GR6" s="19"/>
      <c r="GS6" s="19"/>
      <c r="GT6" s="19"/>
      <c r="GU6" s="19"/>
      <c r="GV6" s="19"/>
      <c r="GW6" s="19"/>
      <c r="GX6" s="19"/>
      <c r="GY6" s="19"/>
      <c r="GZ6" s="19"/>
      <c r="HA6" s="19"/>
      <c r="HB6" s="19"/>
    </row>
    <row r="7" spans="1:210" ht="15.75" x14ac:dyDescent="0.25">
      <c r="A7" s="31"/>
      <c r="B7" s="13"/>
      <c r="C7" s="13"/>
      <c r="D7" s="32" t="s">
        <v>297</v>
      </c>
      <c r="E7" s="69">
        <v>5</v>
      </c>
      <c r="F7" s="128" t="s">
        <v>264</v>
      </c>
      <c r="G7" s="156"/>
      <c r="H7" s="13">
        <v>5</v>
      </c>
      <c r="I7" s="13">
        <v>10</v>
      </c>
      <c r="J7" s="29">
        <v>15</v>
      </c>
      <c r="K7" s="29">
        <v>20</v>
      </c>
      <c r="L7" s="29">
        <v>0.71099999999999997</v>
      </c>
      <c r="M7" s="29">
        <v>0.68400000000000005</v>
      </c>
      <c r="N7" s="29">
        <v>0.65500000000000003</v>
      </c>
      <c r="O7" s="29">
        <v>0.624</v>
      </c>
      <c r="P7" s="29"/>
      <c r="Q7" s="29"/>
      <c r="R7" s="29"/>
      <c r="S7" s="29"/>
      <c r="T7" s="179" t="s">
        <v>298</v>
      </c>
      <c r="U7" s="182">
        <f>Table10[[#This Row],[MIN Temp]]</f>
        <v>-10</v>
      </c>
      <c r="V7" s="182">
        <f>Table10[[#This Row],[TYP Temp]]</f>
        <v>-10</v>
      </c>
      <c r="W7" s="182">
        <f>Table10[[#This Row],[MAX Temp]]</f>
        <v>-10</v>
      </c>
      <c r="X7" s="180" t="s">
        <v>299</v>
      </c>
      <c r="Y7" s="30"/>
      <c r="Z7" s="18"/>
      <c r="AA7" s="19"/>
      <c r="AB7" s="19"/>
      <c r="AC7" s="20">
        <f>Table13[[#This Row],[Min]]</f>
        <v>77.037000000000006</v>
      </c>
      <c r="AD7" s="20">
        <f>INDEX(Table9[Vmin (%)], (MATCH(Table10[[#This Row],[Target (MIN)]], Table9[Vmin (%)],1)))</f>
        <v>77.022450472008032</v>
      </c>
      <c r="AE7" s="20">
        <f>INDEX(Table9[Vmin (%)], (MATCH(Table10[[#This Row],[Target (MIN)]], Table9[Vmin (%)],1)+1))</f>
        <v>77.352764659810276</v>
      </c>
      <c r="AF7" s="20">
        <f>ABS(Table10[[#This Row],[Target (MIN)]]-Table10[[#This Row],[1st VLOOK MIN]])</f>
        <v>1.4549527991974287E-2</v>
      </c>
      <c r="AG7" s="20">
        <f>ABS(Table10[[#This Row],[Target (MIN)]]-Table10[[#This Row],[2nd VLOOK MIN]])</f>
        <v>0.31576465981027013</v>
      </c>
      <c r="AH7" s="20">
        <f>IF(Table10[[#This Row],[1st Diff]]&lt;Table10[[#This Row],[2nd Diff]],Table10[[#This Row],[1st VLOOK MIN]],Table10[[#This Row],[2nd VLOOK MIN]])</f>
        <v>77.022450472008032</v>
      </c>
      <c r="AI7" s="20">
        <f>INDEX(Table9[Temperature], (MATCH(Table10[[#This Row],[Closest VLOOK MIN]], Table9[Vmin (%)],1)))</f>
        <v>-10</v>
      </c>
      <c r="AJ7" s="20">
        <f>Table13[[#This Row],[Typ]]</f>
        <v>77.150000000000006</v>
      </c>
      <c r="AK7" s="20">
        <f>INDEX(Table9[Vnom (%)], (MATCH(Table10[[#This Row],[Target (Typ)]], Table9[Vnom (%)],1)))</f>
        <v>76.891698747257919</v>
      </c>
      <c r="AL7" s="20">
        <f>INDEX(Table9[Vnom (%)], (MATCH(Table10[[#This Row],[Target (Typ)]], Table9[Vnom (%)],1)+1))</f>
        <v>77.234392765933919</v>
      </c>
      <c r="AM7" s="20">
        <f>ABS(Table10[[#This Row],[Target (Typ)]]-Table10[[#This Row],[1st VLOOK TYP]])</f>
        <v>0.25830125274208626</v>
      </c>
      <c r="AN7" s="20">
        <f>ABS(Table10[[#This Row],[Target (Typ)]]-Table10[[#This Row],[2nd VLOOK TYP]])</f>
        <v>8.4392765933912983E-2</v>
      </c>
      <c r="AO7" s="20">
        <f>IF(Table10[[#This Row],[1st Diff Typ]]&lt;Table10[[#This Row],[2nd Diff TYP]],Table10[[#This Row],[1st VLOOK TYP]],Table10[[#This Row],[2nd VLOOK TYP]])</f>
        <v>77.234392765933919</v>
      </c>
      <c r="AP7" s="20">
        <f>INDEX(Table9[Temperature], (MATCH(Table10[[#This Row],[Closest VLOOK TYP]], Table9[Vnom (%)],1)))</f>
        <v>-10</v>
      </c>
      <c r="AQ7" s="20">
        <f>Table13[[#This Row],[Max]]</f>
        <v>77.278000000000006</v>
      </c>
      <c r="AR7" s="20">
        <f>INDEX(Table9[Vmax (%)], (MATCH(Table10[[#This Row],[Target (MAX)]], Table9[Vmax (%)],1)))</f>
        <v>77.099841220279544</v>
      </c>
      <c r="AS7" s="20">
        <f>INDEX(Table9[Vmax (%)], (MATCH(Table10[[#This Row],[Target (Typ)]], Table9[Vmax (%)],1)+1))</f>
        <v>77.439889048360072</v>
      </c>
      <c r="AT7" s="20">
        <f>ABS(Table10[[#This Row],[Target (MAX)]]-Table10[[#This Row],[1st VLOOK MAX]])</f>
        <v>0.17815877972046223</v>
      </c>
      <c r="AU7" s="20">
        <f>ABS(Table10[[#This Row],[Target (MAX)]]-Table10[[#This Row],[2nd VLOOK MAX]])</f>
        <v>0.16188904836006657</v>
      </c>
      <c r="AV7" s="20">
        <f>IF(Table10[[#This Row],[1st Diff MAX]]&lt;Table10[[#This Row],[2nd Diff MAX]],Table10[[#This Row],[1st VLOOK MAX]],Table10[[#This Row],[2nd VLOOK MAX]])</f>
        <v>77.439889048360072</v>
      </c>
      <c r="AW7" s="20">
        <f>INDEX(Table9[Temperature], (MATCH(Table10[[#This Row],[Closest VLOOK MAX]], Table9[Vmax (%)],1)))</f>
        <v>-10</v>
      </c>
      <c r="AX7" s="19"/>
      <c r="AY7" s="187" t="s">
        <v>300</v>
      </c>
      <c r="AZ7" s="187">
        <f>IF(T1_S=T1_N10_TEMP,BE$7, IF(T1_S=T1_N_TEMP,BE$8, IF(T1_S=T1_0_TEMP,BE$9, IF(T1_S=BE$10,T1_5_PERCENT, "ERROR"))))</f>
        <v>77.037000000000006</v>
      </c>
      <c r="BA7" s="187">
        <f>IF(T1_S=T1_N10_TEMP,BF$7, IF(T1_S=T1_N_TEMP,BF$8, IF(T1_S=T1_0_TEMP,BF$9, IF(T1_S=BF$10,T1_5_PERCENT, "ERROR"))))</f>
        <v>77.150000000000006</v>
      </c>
      <c r="BB7" s="187">
        <f>IF(T1_S=T1_N10_TEMP,BG$7, IF(T1_S=T1_N_TEMP,BG$8, IF(T1_S=T1_0_TEMP,BG$9, IF(T1_S=BG$10,T1_5_PERCENT, "ERROR"))))</f>
        <v>77.278000000000006</v>
      </c>
      <c r="BC7" s="19"/>
      <c r="BD7" s="187">
        <v>-10</v>
      </c>
      <c r="BE7" s="187">
        <v>77.037000000000006</v>
      </c>
      <c r="BF7" s="187">
        <v>77.150000000000006</v>
      </c>
      <c r="BG7" s="187">
        <v>77.278000000000006</v>
      </c>
      <c r="BH7" s="187">
        <v>75.954999999999998</v>
      </c>
      <c r="BI7" s="187">
        <v>76.099999999999994</v>
      </c>
      <c r="BJ7" s="187">
        <v>76.195999999999998</v>
      </c>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c r="ES7" s="19"/>
      <c r="ET7" s="19"/>
      <c r="EU7" s="19"/>
      <c r="EV7" s="19"/>
      <c r="EW7" s="19"/>
      <c r="EX7" s="19"/>
      <c r="EY7" s="19"/>
      <c r="EZ7" s="19"/>
      <c r="FA7" s="19"/>
      <c r="FB7" s="19"/>
      <c r="FC7" s="19"/>
      <c r="FD7" s="19"/>
      <c r="FE7" s="19"/>
      <c r="FF7" s="19"/>
      <c r="FG7" s="19"/>
      <c r="FH7" s="19"/>
      <c r="FI7" s="19"/>
      <c r="FJ7" s="19"/>
      <c r="FK7" s="19"/>
      <c r="FL7" s="19"/>
      <c r="FM7" s="19"/>
      <c r="FN7" s="19"/>
      <c r="FO7" s="19"/>
      <c r="FP7" s="19"/>
      <c r="FQ7" s="19"/>
      <c r="FR7" s="19"/>
      <c r="FS7" s="19"/>
      <c r="FT7" s="19"/>
      <c r="FU7" s="19"/>
      <c r="FV7" s="19"/>
      <c r="FW7" s="19"/>
      <c r="FX7" s="19"/>
      <c r="FY7" s="19"/>
      <c r="FZ7" s="19"/>
      <c r="GA7" s="19"/>
      <c r="GB7" s="19"/>
      <c r="GC7" s="19"/>
      <c r="GD7" s="19"/>
      <c r="GE7" s="19"/>
      <c r="GF7" s="19"/>
      <c r="GG7" s="19"/>
      <c r="GH7" s="19"/>
      <c r="GI7" s="19"/>
      <c r="GJ7" s="19"/>
      <c r="GK7" s="19"/>
      <c r="GL7" s="19"/>
      <c r="GM7" s="19"/>
      <c r="GN7" s="19"/>
      <c r="GO7" s="19"/>
      <c r="GP7" s="19"/>
      <c r="GQ7" s="19"/>
      <c r="GR7" s="19"/>
      <c r="GS7" s="19"/>
      <c r="GT7" s="19"/>
      <c r="GU7" s="19"/>
      <c r="GV7" s="19"/>
      <c r="GW7" s="19"/>
      <c r="GX7" s="19"/>
      <c r="GY7" s="19"/>
      <c r="GZ7" s="19"/>
      <c r="HA7" s="19"/>
      <c r="HB7" s="19"/>
    </row>
    <row r="8" spans="1:210" ht="15.75" x14ac:dyDescent="0.25">
      <c r="A8" s="31"/>
      <c r="B8" s="13"/>
      <c r="C8" s="13"/>
      <c r="D8" s="32" t="s">
        <v>301</v>
      </c>
      <c r="E8" s="69">
        <v>50</v>
      </c>
      <c r="F8" s="128" t="s">
        <v>264</v>
      </c>
      <c r="G8" s="156"/>
      <c r="H8" s="13">
        <v>40</v>
      </c>
      <c r="I8" s="13">
        <v>45</v>
      </c>
      <c r="J8" s="29">
        <v>50</v>
      </c>
      <c r="K8" s="29">
        <v>55</v>
      </c>
      <c r="L8" s="29">
        <v>0.48399999999999999</v>
      </c>
      <c r="M8" s="29">
        <v>0.44800000000000001</v>
      </c>
      <c r="N8" s="29">
        <v>0.41199999999999998</v>
      </c>
      <c r="O8" s="29">
        <v>0.377</v>
      </c>
      <c r="P8" s="29"/>
      <c r="Q8" s="29"/>
      <c r="R8" s="29"/>
      <c r="S8" s="29"/>
      <c r="T8" s="179" t="s">
        <v>302</v>
      </c>
      <c r="U8" s="182">
        <f>Table10[[#This Row],[MIN Temp]]</f>
        <v>-7</v>
      </c>
      <c r="V8" s="182">
        <f>Table10[[#This Row],[TYP Temp]]</f>
        <v>-7</v>
      </c>
      <c r="W8" s="182">
        <f>Table10[[#This Row],[MAX Temp]]</f>
        <v>-6</v>
      </c>
      <c r="X8" s="180" t="s">
        <v>299</v>
      </c>
      <c r="Y8" s="30"/>
      <c r="Z8" s="18"/>
      <c r="AA8" s="19"/>
      <c r="AB8" s="19"/>
      <c r="AC8" s="20">
        <f>Table13[[#This Row],[Min]]</f>
        <v>75.954999999999998</v>
      </c>
      <c r="AD8" s="20">
        <f>INDEX(Table9[Vmin (%)], (MATCH(Table10[[#This Row],[Target (MIN)]], Table9[Vmin (%)],1)))</f>
        <v>75.579725082914123</v>
      </c>
      <c r="AE8" s="20">
        <f>INDEX(Table9[Vmin (%)], (MATCH(Table10[[#This Row],[Target (MIN)]], Table9[Vmin (%)],1)+1))</f>
        <v>75.956121438491195</v>
      </c>
      <c r="AF8" s="20">
        <f>ABS(Table10[[#This Row],[Target (MIN)]]-Table10[[#This Row],[1st VLOOK MIN]])</f>
        <v>0.3752749170858749</v>
      </c>
      <c r="AG8" s="20">
        <f>ABS(Table10[[#This Row],[Target (MIN)]]-Table10[[#This Row],[2nd VLOOK MIN]])</f>
        <v>1.1214384911966135E-3</v>
      </c>
      <c r="AH8" s="20">
        <f>IF(Table10[[#This Row],[1st Diff]]&lt;Table10[[#This Row],[2nd Diff]],Table10[[#This Row],[1st VLOOK MIN]],Table10[[#This Row],[2nd VLOOK MIN]])</f>
        <v>75.956121438491195</v>
      </c>
      <c r="AI8" s="20">
        <f>INDEX(Table9[Temperature], (MATCH(Table10[[#This Row],[Closest VLOOK MIN]], Table9[Vmin (%)],1)))</f>
        <v>-7</v>
      </c>
      <c r="AJ8" s="20">
        <f>Table13[[#This Row],[Typ]]</f>
        <v>76.099999999999994</v>
      </c>
      <c r="AK8" s="20">
        <f>INDEX(Table9[Vnom (%)], (MATCH(Table10[[#This Row],[Target (Typ)]], Table9[Vnom (%)],1)))</f>
        <v>75.80342802394135</v>
      </c>
      <c r="AL8" s="20">
        <f>INDEX(Table9[Vnom (%)], (MATCH(Table10[[#This Row],[Target (Typ)]], Table9[Vnom (%)],1)+1))</f>
        <v>76.176140299088971</v>
      </c>
      <c r="AM8" s="20">
        <f>ABS(Table10[[#This Row],[Target (Typ)]]-Table10[[#This Row],[1st VLOOK TYP]])</f>
        <v>0.29657197605864383</v>
      </c>
      <c r="AN8" s="20">
        <f>ABS(Table10[[#This Row],[Target (Typ)]]-Table10[[#This Row],[2nd VLOOK TYP]])</f>
        <v>7.6140299088976349E-2</v>
      </c>
      <c r="AO8" s="20">
        <f>IF(Table10[[#This Row],[1st Diff Typ]]&lt;Table10[[#This Row],[2nd Diff TYP]],Table10[[#This Row],[1st VLOOK TYP]],Table10[[#This Row],[2nd VLOOK TYP]])</f>
        <v>76.176140299088971</v>
      </c>
      <c r="AP8" s="20">
        <f>INDEX(Table9[Temperature], (MATCH(Table10[[#This Row],[Closest VLOOK TYP]], Table9[Vnom (%)],1)))</f>
        <v>-7</v>
      </c>
      <c r="AQ8" s="20">
        <f>Table13[[#This Row],[Max]]</f>
        <v>76.195999999999998</v>
      </c>
      <c r="AR8" s="20">
        <f>INDEX(Table9[Vmax (%)], (MATCH(Table10[[#This Row],[Target (MAX)]], Table9[Vmax (%)],1)))</f>
        <v>76.021632123100744</v>
      </c>
      <c r="AS8" s="20">
        <f>INDEX(Table9[Vmax (%)], (MATCH(Table10[[#This Row],[Target (Typ)]], Table9[Vmax (%)],1)+1))</f>
        <v>76.390466994094481</v>
      </c>
      <c r="AT8" s="20">
        <f>ABS(Table10[[#This Row],[Target (MAX)]]-Table10[[#This Row],[1st VLOOK MAX]])</f>
        <v>0.17436787689925382</v>
      </c>
      <c r="AU8" s="20">
        <f>ABS(Table10[[#This Row],[Target (MAX)]]-Table10[[#This Row],[2nd VLOOK MAX]])</f>
        <v>0.19446699409448343</v>
      </c>
      <c r="AV8" s="20">
        <f>IF(Table10[[#This Row],[1st Diff MAX]]&lt;Table10[[#This Row],[2nd Diff MAX]],Table10[[#This Row],[1st VLOOK MAX]],Table10[[#This Row],[2nd VLOOK MAX]])</f>
        <v>76.021632123100744</v>
      </c>
      <c r="AW8" s="20">
        <f>INDEX(Table9[Temperature], (MATCH(Table10[[#This Row],[Closest VLOOK MAX]], Table9[Vmax (%)],1)))</f>
        <v>-6</v>
      </c>
      <c r="AX8" s="19"/>
      <c r="AY8" t="s">
        <v>303</v>
      </c>
      <c r="AZ8">
        <f>IF(T1_S=T1_N10_TEMP,BH$7, IF(T1_S=T1_N_TEMP,BH$8, IF(T1_S=T1_0_TEMP,BH$9, IF(T1_S=BH$10,T1_5_PERCENT, "ERROR"))))</f>
        <v>75.954999999999998</v>
      </c>
      <c r="BA8">
        <f>IF(T1_S=T1_N10_TEMP,BI$7, IF(T1_S=T1_N_TEMP,BI$8, IF(T1_S=T1_0_TEMP,BI$9, IF(T1_S=BI$10,T1_5_PERCENT, "ERROR"))))</f>
        <v>76.099999999999994</v>
      </c>
      <c r="BB8">
        <f>IF(T1_S=T1_N10_TEMP,BJ$7, IF(T1_S=T1_N_TEMP,BJ$8, IF(T1_S=T1_0_TEMP,BJ$9, IF(T1_S=BJ$10,T1_5_PERCENT, "ERROR"))))</f>
        <v>76.195999999999998</v>
      </c>
      <c r="BC8" s="19"/>
      <c r="BD8">
        <v>-5</v>
      </c>
      <c r="BE8">
        <v>74.819999999999993</v>
      </c>
      <c r="BF8">
        <v>75.319999999999993</v>
      </c>
      <c r="BG8">
        <v>75.819999999999993</v>
      </c>
      <c r="BH8">
        <v>73.569999999999993</v>
      </c>
      <c r="BI8">
        <v>74.069999999999993</v>
      </c>
      <c r="BJ8">
        <v>74.569999999999993</v>
      </c>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c r="ES8" s="19"/>
      <c r="ET8" s="19"/>
      <c r="EU8" s="19"/>
      <c r="EV8" s="19"/>
      <c r="EW8" s="19"/>
      <c r="EX8" s="19"/>
      <c r="EY8" s="19"/>
      <c r="EZ8" s="19"/>
      <c r="FA8" s="19"/>
      <c r="FB8" s="19"/>
      <c r="FC8" s="19"/>
      <c r="FD8" s="19"/>
      <c r="FE8" s="19"/>
      <c r="FF8" s="19"/>
      <c r="FG8" s="19"/>
      <c r="FH8" s="19"/>
      <c r="FI8" s="19"/>
      <c r="FJ8" s="19"/>
      <c r="FK8" s="19"/>
      <c r="FL8" s="19"/>
      <c r="FM8" s="19"/>
      <c r="FN8" s="19"/>
      <c r="FO8" s="19"/>
      <c r="FP8" s="19"/>
      <c r="FQ8" s="19"/>
      <c r="FR8" s="19"/>
      <c r="FS8" s="19"/>
      <c r="FT8" s="19"/>
      <c r="FU8" s="19"/>
      <c r="FV8" s="19"/>
      <c r="FW8" s="19"/>
      <c r="FX8" s="19"/>
      <c r="FY8" s="19"/>
      <c r="FZ8" s="19"/>
      <c r="GA8" s="19"/>
      <c r="GB8" s="19"/>
      <c r="GC8" s="19"/>
      <c r="GD8" s="19"/>
      <c r="GE8" s="19"/>
      <c r="GF8" s="19"/>
      <c r="GG8" s="19"/>
      <c r="GH8" s="19"/>
      <c r="GI8" s="19"/>
      <c r="GJ8" s="19"/>
      <c r="GK8" s="19"/>
      <c r="GL8" s="19"/>
      <c r="GM8" s="19"/>
      <c r="GN8" s="19"/>
      <c r="GO8" s="19"/>
      <c r="GP8" s="19"/>
      <c r="GQ8" s="19"/>
      <c r="GR8" s="19"/>
      <c r="GS8" s="19"/>
      <c r="GT8" s="19"/>
      <c r="GU8" s="19"/>
      <c r="GV8" s="19"/>
      <c r="GW8" s="19"/>
      <c r="GX8" s="19"/>
      <c r="GY8" s="19"/>
      <c r="GZ8" s="19"/>
      <c r="HA8" s="19"/>
      <c r="HB8" s="19"/>
    </row>
    <row r="9" spans="1:210" ht="15.75" x14ac:dyDescent="0.25">
      <c r="A9" s="31"/>
      <c r="B9" s="13"/>
      <c r="C9" s="13"/>
      <c r="D9" s="32" t="s">
        <v>304</v>
      </c>
      <c r="E9" s="69">
        <v>60</v>
      </c>
      <c r="F9" s="128" t="s">
        <v>264</v>
      </c>
      <c r="G9" s="156"/>
      <c r="H9" s="13">
        <v>50</v>
      </c>
      <c r="I9" s="13">
        <v>55</v>
      </c>
      <c r="J9" s="29">
        <v>60</v>
      </c>
      <c r="K9" s="29">
        <v>65</v>
      </c>
      <c r="L9" s="29">
        <v>0.41199999999999998</v>
      </c>
      <c r="M9" s="29">
        <v>0.377</v>
      </c>
      <c r="N9" s="29">
        <v>0.34375</v>
      </c>
      <c r="O9" s="29">
        <v>0.3125</v>
      </c>
      <c r="P9" s="29"/>
      <c r="Q9" s="29">
        <f>IF(T5_S=T5_50_TEMP,T5_50_PERCENT, IF(T5_S=T5_55_TEMP,T5_55_PERCENT, IF(T5_S=T5_60_TEMP,T5_60_PERCENT,IF(T5_S=T5_65_TEMP,T5_65_PERCENT, "ERROR"))))</f>
        <v>0.34375</v>
      </c>
      <c r="R9" s="29"/>
      <c r="S9" s="29"/>
      <c r="T9" s="179" t="s">
        <v>305</v>
      </c>
      <c r="U9" s="182">
        <f>Table10[[#This Row],[MIN Temp]]</f>
        <v>5</v>
      </c>
      <c r="V9" s="182">
        <f>Table10[[#This Row],[TYP Temp]]</f>
        <v>5</v>
      </c>
      <c r="W9" s="182">
        <f>Table10[[#This Row],[MAX Temp]]</f>
        <v>5</v>
      </c>
      <c r="X9" s="180" t="s">
        <v>299</v>
      </c>
      <c r="Y9" s="30"/>
      <c r="Z9" s="18"/>
      <c r="AA9" s="19"/>
      <c r="AB9" s="19"/>
      <c r="AC9" s="20">
        <f>Table13[[#This Row],[Min]]</f>
        <v>70.798000000000002</v>
      </c>
      <c r="AD9" s="20">
        <f>INDEX(Table9[Vmin (%)], (MATCH(Table10[[#This Row],[Target (MIN)]], Table9[Vmin (%)],1)))</f>
        <v>70.735073475603613</v>
      </c>
      <c r="AE9" s="20">
        <f>INDEX(Table9[Vmin (%)], (MATCH(Table10[[#This Row],[Target (MIN)]], Table9[Vmin (%)],1)+1))</f>
        <v>71.226332851680667</v>
      </c>
      <c r="AF9" s="20">
        <f>ABS(Table10[[#This Row],[Target (MIN)]]-Table10[[#This Row],[1st VLOOK MIN]])</f>
        <v>6.2926524396388572E-2</v>
      </c>
      <c r="AG9" s="20">
        <f>ABS(Table10[[#This Row],[Target (MIN)]]-Table10[[#This Row],[2nd VLOOK MIN]])</f>
        <v>0.42833285168066482</v>
      </c>
      <c r="AH9" s="20">
        <f>IF(Table10[[#This Row],[1st Diff]]&lt;Table10[[#This Row],[2nd Diff]],Table10[[#This Row],[1st VLOOK MIN]],Table10[[#This Row],[2nd VLOOK MIN]])</f>
        <v>70.735073475603613</v>
      </c>
      <c r="AI9" s="20">
        <f>INDEX(Table9[Temperature], (MATCH(Table10[[#This Row],[Closest VLOOK MIN]], Table9[Vmin (%)],1)))</f>
        <v>5</v>
      </c>
      <c r="AJ9" s="20">
        <f>Table13[[#This Row],[Typ]]</f>
        <v>70.88</v>
      </c>
      <c r="AK9" s="20">
        <f>INDEX(Table9[Vnom (%)], (MATCH(Table10[[#This Row],[Target (Typ)]], Table9[Vnom (%)],1)))</f>
        <v>70.473825322221657</v>
      </c>
      <c r="AL9" s="20">
        <f>INDEX(Table9[Vnom (%)], (MATCH(Table10[[#This Row],[Target (Typ)]], Table9[Vnom (%)],1)+1))</f>
        <v>70.978987924882446</v>
      </c>
      <c r="AM9" s="20">
        <f>ABS(Table10[[#This Row],[Target (Typ)]]-Table10[[#This Row],[1st VLOOK TYP]])</f>
        <v>0.40617467777833838</v>
      </c>
      <c r="AN9" s="20">
        <f>ABS(Table10[[#This Row],[Target (Typ)]]-Table10[[#This Row],[2nd VLOOK TYP]])</f>
        <v>9.8987924882450784E-2</v>
      </c>
      <c r="AO9" s="20">
        <f>IF(Table10[[#This Row],[1st Diff Typ]]&lt;Table10[[#This Row],[2nd Diff TYP]],Table10[[#This Row],[1st VLOOK TYP]],Table10[[#This Row],[2nd VLOOK TYP]])</f>
        <v>70.978987924882446</v>
      </c>
      <c r="AP9" s="20">
        <f>INDEX(Table9[Temperature], (MATCH(Table10[[#This Row],[Closest VLOOK TYP]], Table9[Vnom (%)],1)))</f>
        <v>5</v>
      </c>
      <c r="AQ9" s="20">
        <f>Table13[[#This Row],[Max]]</f>
        <v>70.995999999999995</v>
      </c>
      <c r="AR9" s="20">
        <f>INDEX(Table9[Vmax (%)], (MATCH(Table10[[#This Row],[Target (MAX)]], Table9[Vmax (%)],1)))</f>
        <v>70.72066872574905</v>
      </c>
      <c r="AS9" s="20">
        <f>INDEX(Table9[Vmax (%)], (MATCH(Table10[[#This Row],[Target (Typ)]], Table9[Vmax (%)],1)+1))</f>
        <v>71.221858964574551</v>
      </c>
      <c r="AT9" s="20">
        <f>ABS(Table10[[#This Row],[Target (MAX)]]-Table10[[#This Row],[1st VLOOK MAX]])</f>
        <v>0.27533127425094506</v>
      </c>
      <c r="AU9" s="20">
        <f>ABS(Table10[[#This Row],[Target (MAX)]]-Table10[[#This Row],[2nd VLOOK MAX]])</f>
        <v>0.2258589645745559</v>
      </c>
      <c r="AV9" s="20">
        <f>IF(Table10[[#This Row],[1st Diff MAX]]&lt;Table10[[#This Row],[2nd Diff MAX]],Table10[[#This Row],[1st VLOOK MAX]],Table10[[#This Row],[2nd VLOOK MAX]])</f>
        <v>71.221858964574551</v>
      </c>
      <c r="AW9" s="20">
        <f>INDEX(Table9[Temperature], (MATCH(Table10[[#This Row],[Closest VLOOK MAX]], Table9[Vmax (%)],1)))</f>
        <v>5</v>
      </c>
      <c r="AX9" s="19"/>
      <c r="AY9" s="187" t="s">
        <v>306</v>
      </c>
      <c r="AZ9" s="187">
        <f>IF(T2_S=T2_5_TEMP,BE$10, IF(T2_S=T2_10_TEMP,BE$11, IF(T2_S=T2_15_TEMP,BE$12, IF(T2_S=T2_20_TEMP,BE$13, "ERROR"))) )</f>
        <v>70.798000000000002</v>
      </c>
      <c r="BA9" s="187">
        <f>IF(T2_S=T2_5_TEMP,BF$10, IF(T2_S=T2_10_TEMP,BF$11, IF(T2_S=T2_15_TEMP,BF$12, IF(T2_S=T2_20_TEMP,BF$13, "ERROR"))) )</f>
        <v>70.88</v>
      </c>
      <c r="BB9" s="187">
        <f>IF(T2_S=T2_5_TEMP,BG$10, IF(T2_S=T2_10_TEMP,BG$11, IF(T2_S=T2_15_TEMP,BG$12, IF(T2_S=T2_20_TEMP,BG$13, "ERROR"))) )</f>
        <v>70.995999999999995</v>
      </c>
      <c r="BC9" s="19"/>
      <c r="BD9" s="187">
        <f>V38</f>
        <v>0</v>
      </c>
      <c r="BE9" s="187">
        <v>73.302000000000007</v>
      </c>
      <c r="BF9" s="187">
        <v>73.25</v>
      </c>
      <c r="BG9" s="187">
        <v>73.543000000000006</v>
      </c>
      <c r="BH9" s="187">
        <v>72.096000000000004</v>
      </c>
      <c r="BI9" s="187">
        <v>72</v>
      </c>
      <c r="BJ9" s="187">
        <v>72.293999999999997</v>
      </c>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c r="EP9" s="19"/>
      <c r="EQ9" s="19"/>
      <c r="ER9" s="19"/>
      <c r="ES9" s="19"/>
      <c r="ET9" s="19"/>
      <c r="EU9" s="19"/>
      <c r="EV9" s="19"/>
      <c r="EW9" s="19"/>
      <c r="EX9" s="19"/>
      <c r="EY9" s="19"/>
      <c r="EZ9" s="19"/>
      <c r="FA9" s="19"/>
      <c r="FB9" s="19"/>
      <c r="FC9" s="19"/>
      <c r="FD9" s="19"/>
      <c r="FE9" s="19"/>
      <c r="FF9" s="19"/>
      <c r="FG9" s="19"/>
      <c r="FH9" s="19"/>
      <c r="FI9" s="19"/>
      <c r="FJ9" s="19"/>
      <c r="FK9" s="19"/>
      <c r="FL9" s="19"/>
      <c r="FM9" s="19"/>
      <c r="FN9" s="19"/>
      <c r="FO9" s="19"/>
      <c r="FP9" s="19"/>
      <c r="FQ9" s="19"/>
      <c r="FR9" s="19"/>
      <c r="FS9" s="19"/>
      <c r="FT9" s="19"/>
      <c r="FU9" s="19"/>
      <c r="FV9" s="19"/>
      <c r="FW9" s="19"/>
      <c r="FX9" s="19"/>
      <c r="FY9" s="19"/>
      <c r="FZ9" s="19"/>
      <c r="GA9" s="19"/>
      <c r="GB9" s="19"/>
      <c r="GC9" s="19"/>
      <c r="GD9" s="19"/>
      <c r="GE9" s="19"/>
      <c r="GF9" s="19"/>
      <c r="GG9" s="19"/>
      <c r="GH9" s="19"/>
      <c r="GI9" s="19"/>
      <c r="GJ9" s="19"/>
      <c r="GK9" s="19"/>
      <c r="GL9" s="19"/>
      <c r="GM9" s="19"/>
      <c r="GN9" s="19"/>
      <c r="GO9" s="19"/>
      <c r="GP9" s="19"/>
      <c r="GQ9" s="19"/>
      <c r="GR9" s="19"/>
      <c r="GS9" s="19"/>
      <c r="GT9" s="19"/>
      <c r="GU9" s="19"/>
      <c r="GV9" s="19"/>
      <c r="GW9" s="19"/>
      <c r="GX9" s="19"/>
      <c r="GY9" s="19"/>
      <c r="GZ9" s="19"/>
      <c r="HA9" s="19"/>
      <c r="HB9" s="19"/>
    </row>
    <row r="10" spans="1:210" ht="15.75" x14ac:dyDescent="0.25">
      <c r="A10" s="31"/>
      <c r="B10" s="13"/>
      <c r="C10" s="13"/>
      <c r="D10" s="32" t="s">
        <v>307</v>
      </c>
      <c r="E10" s="13">
        <f>IF(T1_S=T1_N10_TEMP,F140,IF(T1_S=T1_N_TEMP,F135, IF(T1_S=T1_0_TEMP,F130,IF(T1_S=T1_5_TEMP,F125, "ERROR"))))</f>
        <v>42.47</v>
      </c>
      <c r="F10" s="130" t="s">
        <v>18</v>
      </c>
      <c r="G10" s="157" t="str">
        <f>_xlfn.CONCAT(FIXED(E10,2), " ",F10)</f>
        <v>42.47 kΩ</v>
      </c>
      <c r="H10" s="13"/>
      <c r="I10" s="13"/>
      <c r="J10" s="29"/>
      <c r="K10" s="29"/>
      <c r="L10" s="29"/>
      <c r="M10" s="29"/>
      <c r="N10" s="29"/>
      <c r="O10" s="29"/>
      <c r="P10" s="29"/>
      <c r="Q10" s="29"/>
      <c r="R10" s="29"/>
      <c r="S10" s="29"/>
      <c r="T10" s="179" t="s">
        <v>308</v>
      </c>
      <c r="U10" s="182">
        <f>Table10[[#This Row],[MIN Temp]]</f>
        <v>7</v>
      </c>
      <c r="V10" s="182">
        <f>Table10[[#This Row],[TYP Temp]]</f>
        <v>7</v>
      </c>
      <c r="W10" s="182">
        <f>Table10[[#This Row],[MAX Temp]]</f>
        <v>7</v>
      </c>
      <c r="X10" s="180" t="s">
        <v>299</v>
      </c>
      <c r="Y10" s="30"/>
      <c r="Z10" s="18"/>
      <c r="AA10" s="19"/>
      <c r="AB10" s="19"/>
      <c r="AC10" s="20">
        <f>Table13[[#This Row],[Min]]</f>
        <v>69.832999999999998</v>
      </c>
      <c r="AD10" s="20">
        <f>INDEX(Table9[Vmin (%)], (MATCH(Table10[[#This Row],[Target (MIN)]], Table9[Vmin (%)],1)))</f>
        <v>69.712894927642139</v>
      </c>
      <c r="AE10" s="20">
        <f>INDEX(Table9[Vmin (%)], (MATCH(Table10[[#This Row],[Target (MIN)]], Table9[Vmin (%)],1)+1))</f>
        <v>70.22633153118916</v>
      </c>
      <c r="AF10" s="20">
        <f>ABS(Table10[[#This Row],[Target (MIN)]]-Table10[[#This Row],[1st VLOOK MIN]])</f>
        <v>0.12010507235785894</v>
      </c>
      <c r="AG10" s="20">
        <f>ABS(Table10[[#This Row],[Target (MIN)]]-Table10[[#This Row],[2nd VLOOK MIN]])</f>
        <v>0.39333153118916186</v>
      </c>
      <c r="AH10" s="20">
        <f>IF(Table10[[#This Row],[1st Diff]]&lt;Table10[[#This Row],[2nd Diff]],Table10[[#This Row],[1st VLOOK MIN]],Table10[[#This Row],[2nd VLOOK MIN]])</f>
        <v>69.712894927642139</v>
      </c>
      <c r="AI10" s="20">
        <f>INDEX(Table9[Temperature], (MATCH(Table10[[#This Row],[Closest VLOOK MIN]], Table9[Vmin (%)],1)))</f>
        <v>7</v>
      </c>
      <c r="AJ10" s="20">
        <f>Table13[[#This Row],[Typ]]</f>
        <v>69.8</v>
      </c>
      <c r="AK10" s="20">
        <f>INDEX(Table9[Vnom (%)], (MATCH(Table10[[#This Row],[Target (Typ)]], Table9[Vnom (%)],1)))</f>
        <v>69.435869496527033</v>
      </c>
      <c r="AL10" s="20">
        <f>INDEX(Table9[Vnom (%)], (MATCH(Table10[[#This Row],[Target (Typ)]], Table9[Vnom (%)],1)+1))</f>
        <v>69.963015917980456</v>
      </c>
      <c r="AM10" s="20">
        <f>ABS(Table10[[#This Row],[Target (Typ)]]-Table10[[#This Row],[1st VLOOK TYP]])</f>
        <v>0.36413050347296405</v>
      </c>
      <c r="AN10" s="20">
        <f>ABS(Table10[[#This Row],[Target (Typ)]]-Table10[[#This Row],[2nd VLOOK TYP]])</f>
        <v>0.16301591798045934</v>
      </c>
      <c r="AO10" s="20">
        <f>IF(Table10[[#This Row],[1st Diff Typ]]&lt;Table10[[#This Row],[2nd Diff TYP]],Table10[[#This Row],[1st VLOOK TYP]],Table10[[#This Row],[2nd VLOOK TYP]])</f>
        <v>69.963015917980456</v>
      </c>
      <c r="AP10" s="20">
        <f>INDEX(Table9[Temperature], (MATCH(Table10[[#This Row],[Closest VLOOK TYP]], Table9[Vnom (%)],1)))</f>
        <v>7</v>
      </c>
      <c r="AQ10" s="20">
        <f>Table13[[#This Row],[Max]]</f>
        <v>70.037000000000006</v>
      </c>
      <c r="AR10" s="20">
        <f>INDEX(Table9[Vmax (%)], (MATCH(Table10[[#This Row],[Target (MAX)]], Table9[Vmax (%)],1)))</f>
        <v>69.681751736355622</v>
      </c>
      <c r="AS10" s="20">
        <f>INDEX(Table9[Vmax (%)], (MATCH(Table10[[#This Row],[Target (Typ)]], Table9[Vmax (%)],1)+1))</f>
        <v>70.200863566955363</v>
      </c>
      <c r="AT10" s="20">
        <f>ABS(Table10[[#This Row],[Target (MAX)]]-Table10[[#This Row],[1st VLOOK MAX]])</f>
        <v>0.35524826364438411</v>
      </c>
      <c r="AU10" s="20">
        <f>ABS(Table10[[#This Row],[Target (MAX)]]-Table10[[#This Row],[2nd VLOOK MAX]])</f>
        <v>0.16386356695535653</v>
      </c>
      <c r="AV10" s="20">
        <f>IF(Table10[[#This Row],[1st Diff MAX]]&lt;Table10[[#This Row],[2nd Diff MAX]],Table10[[#This Row],[1st VLOOK MAX]],Table10[[#This Row],[2nd VLOOK MAX]])</f>
        <v>70.200863566955363</v>
      </c>
      <c r="AW10" s="20">
        <f>INDEX(Table9[Temperature], (MATCH(Table10[[#This Row],[Closest VLOOK MAX]], Table9[Vmax (%)],1)))</f>
        <v>7</v>
      </c>
      <c r="AX10" s="19"/>
      <c r="AY10" t="s">
        <v>309</v>
      </c>
      <c r="AZ10">
        <f>IF(T2_S=T2_5_TEMP,BH$10, IF(T2_S=T2_10_TEMP,BH$11, IF(T2_S=T2_15_TEMP,BH$12, IF(T2_S=T2_20_TEMP,BH$13, "ERROR"))) )</f>
        <v>69.832999999999998</v>
      </c>
      <c r="BA10">
        <f>IF(T2_S=T2_5_TEMP,BI$10, IF(T2_S=T2_10_TEMP,BI$11, IF(T2_S=T2_15_TEMP,BI$12, IF(T2_S=T2_20_TEMP,BI$13, "ERROR"))) )</f>
        <v>69.8</v>
      </c>
      <c r="BB10">
        <f>IF(T2_S=T2_5_TEMP,BJ$10, IF(T2_S=T2_10_TEMP,BJ$11, IF(T2_S=T2_15_TEMP,BJ$12, IF(T2_S=T2_20_TEMP,BJ$13, "ERROR"))) )</f>
        <v>70.037000000000006</v>
      </c>
      <c r="BC10" s="19"/>
      <c r="BD10">
        <v>5</v>
      </c>
      <c r="BE10">
        <v>70.798000000000002</v>
      </c>
      <c r="BF10">
        <v>70.88</v>
      </c>
      <c r="BG10">
        <v>70.995999999999995</v>
      </c>
      <c r="BH10">
        <v>69.832999999999998</v>
      </c>
      <c r="BI10">
        <v>69.8</v>
      </c>
      <c r="BJ10">
        <v>70.037000000000006</v>
      </c>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c r="EP10" s="19"/>
      <c r="EQ10" s="19"/>
      <c r="ER10" s="19"/>
      <c r="ES10" s="19"/>
      <c r="ET10" s="19"/>
      <c r="EU10" s="19"/>
      <c r="EV10" s="19"/>
      <c r="EW10" s="19"/>
      <c r="EX10" s="19"/>
      <c r="EY10" s="19"/>
      <c r="EZ10" s="19"/>
      <c r="FA10" s="19"/>
      <c r="FB10" s="19"/>
      <c r="FC10" s="19"/>
      <c r="FD10" s="19"/>
      <c r="FE10" s="19"/>
      <c r="FF10" s="19"/>
      <c r="FG10" s="19"/>
      <c r="FH10" s="19"/>
      <c r="FI10" s="19"/>
      <c r="FJ10" s="19"/>
      <c r="FK10" s="19"/>
      <c r="FL10" s="19"/>
      <c r="FM10" s="19"/>
      <c r="FN10" s="19"/>
      <c r="FO10" s="19"/>
      <c r="FP10" s="19"/>
      <c r="FQ10" s="19"/>
      <c r="FR10" s="19"/>
      <c r="FS10" s="19"/>
      <c r="FT10" s="19"/>
      <c r="FU10" s="19"/>
      <c r="FV10" s="19"/>
      <c r="FW10" s="19"/>
      <c r="FX10" s="19"/>
      <c r="FY10" s="19"/>
      <c r="FZ10" s="19"/>
      <c r="GA10" s="19"/>
      <c r="GB10" s="19"/>
      <c r="GC10" s="19"/>
      <c r="GD10" s="19"/>
      <c r="GE10" s="19"/>
      <c r="GF10" s="19"/>
      <c r="GG10" s="19"/>
      <c r="GH10" s="19"/>
      <c r="GI10" s="19"/>
      <c r="GJ10" s="19"/>
      <c r="GK10" s="19"/>
      <c r="GL10" s="19"/>
      <c r="GM10" s="19"/>
      <c r="GN10" s="19"/>
      <c r="GO10" s="19"/>
      <c r="GP10" s="19"/>
      <c r="GQ10" s="19"/>
      <c r="GR10" s="19"/>
      <c r="GS10" s="19"/>
      <c r="GT10" s="19"/>
      <c r="GU10" s="19"/>
      <c r="GV10" s="19"/>
      <c r="GW10" s="19"/>
      <c r="GX10" s="19"/>
      <c r="GY10" s="19"/>
      <c r="GZ10" s="19"/>
      <c r="HA10" s="19"/>
      <c r="HB10" s="19"/>
    </row>
    <row r="11" spans="1:210" ht="15.75" x14ac:dyDescent="0.25">
      <c r="A11" s="31"/>
      <c r="B11" s="13"/>
      <c r="C11" s="13"/>
      <c r="D11" s="32" t="s">
        <v>310</v>
      </c>
      <c r="E11" s="13">
        <f>IF(T5_S=T5_50_TEMP,$F$80, IF(T5_S=T5_55_TEMP,$F$75, IF(T5_S=T5_60_TEMP,$F$70,IF(T5_S=T5_65_TEMP,$F$65, "ERROR"))))</f>
        <v>3.02</v>
      </c>
      <c r="F11" s="130" t="s">
        <v>18</v>
      </c>
      <c r="G11" s="157" t="str">
        <f>_xlfn.CONCAT(FIXED(E11,2), " ",F11)</f>
        <v>3.02 kΩ</v>
      </c>
      <c r="H11" s="13"/>
      <c r="I11" s="13"/>
      <c r="J11" s="29"/>
      <c r="K11" s="29"/>
      <c r="L11" s="29"/>
      <c r="M11" s="29"/>
      <c r="N11" s="29"/>
      <c r="O11" s="29"/>
      <c r="P11" s="29"/>
      <c r="Q11" s="29"/>
      <c r="R11" s="29"/>
      <c r="S11" s="29"/>
      <c r="T11" s="179" t="s">
        <v>311</v>
      </c>
      <c r="U11" s="182">
        <f>Table10[[#This Row],[MIN Temp]]</f>
        <v>48</v>
      </c>
      <c r="V11" s="182">
        <f>Table10[[#This Row],[TYP Temp]]</f>
        <v>48</v>
      </c>
      <c r="W11" s="182">
        <f>Table10[[#This Row],[MAX Temp]]</f>
        <v>49</v>
      </c>
      <c r="X11" s="180" t="s">
        <v>299</v>
      </c>
      <c r="Y11" s="30"/>
      <c r="Z11" s="18"/>
      <c r="AA11" s="19"/>
      <c r="AB11" s="19"/>
      <c r="AC11" s="20">
        <f>Table13[[#This Row],[Min]]</f>
        <v>42.338000000000001</v>
      </c>
      <c r="AD11" s="20">
        <f>INDEX(Table9[Vmin (%)], (MATCH(Table10[[#This Row],[Target (MIN)]], Table9[Vmin (%)],1)))</f>
        <v>42.14983242076066</v>
      </c>
      <c r="AE11" s="20">
        <f>INDEX(Table9[Vmin (%)], (MATCH(Table10[[#This Row],[Target (MIN)]], Table9[Vmin (%)],1)+1))</f>
        <v>42.861456325317214</v>
      </c>
      <c r="AF11" s="20">
        <f>ABS(Table10[[#This Row],[Target (MIN)]]-Table10[[#This Row],[1st VLOOK MIN]])</f>
        <v>0.18816757923934091</v>
      </c>
      <c r="AG11" s="20">
        <f>ABS(Table10[[#This Row],[Target (MIN)]]-Table10[[#This Row],[2nd VLOOK MIN]])</f>
        <v>0.52345632531721265</v>
      </c>
      <c r="AH11" s="20">
        <f>IF(Table10[[#This Row],[1st Diff]]&lt;Table10[[#This Row],[2nd Diff]],Table10[[#This Row],[1st VLOOK MIN]],Table10[[#This Row],[2nd VLOOK MIN]])</f>
        <v>42.14983242076066</v>
      </c>
      <c r="AI11" s="20">
        <f>INDEX(Table9[Temperature], (MATCH(Table10[[#This Row],[Closest VLOOK MIN]], Table9[Vmin (%)],1)))</f>
        <v>48</v>
      </c>
      <c r="AJ11" s="20">
        <f>Table13[[#This Row],[Typ]]</f>
        <v>42.5</v>
      </c>
      <c r="AK11" s="20">
        <f>INDEX(Table9[Vnom (%)], (MATCH(Table10[[#This Row],[Target (Typ)]], Table9[Vnom (%)],1)))</f>
        <v>41.861995467625505</v>
      </c>
      <c r="AL11" s="20">
        <f>INDEX(Table9[Vnom (%)], (MATCH(Table10[[#This Row],[Target (Typ)]], Table9[Vnom (%)],1)+1))</f>
        <v>42.564972304499207</v>
      </c>
      <c r="AM11" s="20">
        <f>ABS(Table10[[#This Row],[Target (Typ)]]-Table10[[#This Row],[1st VLOOK TYP]])</f>
        <v>0.63800453237449517</v>
      </c>
      <c r="AN11" s="20">
        <f>ABS(Table10[[#This Row],[Target (Typ)]]-Table10[[#This Row],[2nd VLOOK TYP]])</f>
        <v>6.4972304499207212E-2</v>
      </c>
      <c r="AO11" s="20">
        <f>IF(Table10[[#This Row],[1st Diff Typ]]&lt;Table10[[#This Row],[2nd Diff TYP]],Table10[[#This Row],[1st VLOOK TYP]],Table10[[#This Row],[2nd VLOOK TYP]])</f>
        <v>42.564972304499207</v>
      </c>
      <c r="AP11" s="20">
        <f>INDEX(Table9[Temperature], (MATCH(Table10[[#This Row],[Closest VLOOK TYP]], Table9[Vnom (%)],1)))</f>
        <v>48</v>
      </c>
      <c r="AQ11" s="20">
        <f>Table13[[#This Row],[Max]]</f>
        <v>42.622</v>
      </c>
      <c r="AR11" s="20">
        <f>INDEX(Table9[Vmax (%)], (MATCH(Table10[[#This Row],[Target (MAX)]], Table9[Vmax (%)],1)))</f>
        <v>42.282838656374608</v>
      </c>
      <c r="AS11" s="20">
        <f>INDEX(Table9[Vmax (%)], (MATCH(Table10[[#This Row],[Target (Typ)]], Table9[Vmax (%)],1)+1))</f>
        <v>42.978180086200872</v>
      </c>
      <c r="AT11" s="20">
        <f>ABS(Table10[[#This Row],[Target (MAX)]]-Table10[[#This Row],[1st VLOOK MAX]])</f>
        <v>0.33916134362539196</v>
      </c>
      <c r="AU11" s="20">
        <f>ABS(Table10[[#This Row],[Target (MAX)]]-Table10[[#This Row],[2nd VLOOK MAX]])</f>
        <v>0.35618008620087238</v>
      </c>
      <c r="AV11" s="20">
        <f>IF(Table10[[#This Row],[1st Diff MAX]]&lt;Table10[[#This Row],[2nd Diff MAX]],Table10[[#This Row],[1st VLOOK MAX]],Table10[[#This Row],[2nd VLOOK MAX]])</f>
        <v>42.282838656374608</v>
      </c>
      <c r="AW11" s="20">
        <f>INDEX(Table9[Temperature], (MATCH(Table10[[#This Row],[Closest VLOOK MAX]], Table9[Vmax (%)],1)))</f>
        <v>49</v>
      </c>
      <c r="AX11" s="19"/>
      <c r="AY11" s="187" t="s">
        <v>312</v>
      </c>
      <c r="AZ11">
        <f>IF(T3_S=T3_40_TEMP,BE$14, IF(T3_S=T3_45_TEMP,BE$15, IF(T3_S=T3_50_TEMP,BE$16, IF(T3_55_TEMP,BE$17, "ERROR"))))</f>
        <v>42.338000000000001</v>
      </c>
      <c r="BA11">
        <f>IF(T3_S=T3_40_TEMP,BF$14, IF(T3_S=T3_45_TEMP,BF$15, IF(T3_S=T3_50_TEMP,BF$16, IF(T3_55_TEMP,BF$17, "ERROR"))))</f>
        <v>42.5</v>
      </c>
      <c r="BB11">
        <f>IF(T3_S=T3_40_TEMP,BG$14, IF(T3_S=T3_45_TEMP,BG$15, IF(T3_S=T3_50_TEMP,BG$16, IF(T3_55_TEMP,BG$17, "ERROR"))))</f>
        <v>42.622</v>
      </c>
      <c r="BC11" s="19"/>
      <c r="BD11" s="187">
        <v>10</v>
      </c>
      <c r="BE11" s="187">
        <v>68.152000000000001</v>
      </c>
      <c r="BF11" s="187">
        <v>68.25</v>
      </c>
      <c r="BG11" s="187">
        <v>68.349999999999994</v>
      </c>
      <c r="BH11" s="187">
        <v>66.983000000000004</v>
      </c>
      <c r="BI11" s="187">
        <v>66.95</v>
      </c>
      <c r="BJ11" s="187">
        <v>67.144000000000005</v>
      </c>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c r="ES11" s="19"/>
      <c r="ET11" s="19"/>
      <c r="EU11" s="19"/>
      <c r="EV11" s="19"/>
      <c r="EW11" s="19"/>
      <c r="EX11" s="19"/>
      <c r="EY11" s="19"/>
      <c r="EZ11" s="19"/>
      <c r="FA11" s="19"/>
      <c r="FB11" s="19"/>
      <c r="FC11" s="19"/>
      <c r="FD11" s="19"/>
      <c r="FE11" s="19"/>
      <c r="FF11" s="19"/>
      <c r="FG11" s="19"/>
      <c r="FH11" s="19"/>
      <c r="FI11" s="19"/>
      <c r="FJ11" s="19"/>
      <c r="FK11" s="19"/>
      <c r="FL11" s="19"/>
      <c r="FM11" s="19"/>
      <c r="FN11" s="19"/>
      <c r="FO11" s="19"/>
      <c r="FP11" s="19"/>
      <c r="FQ11" s="19"/>
      <c r="FR11" s="19"/>
      <c r="FS11" s="19"/>
      <c r="FT11" s="19"/>
      <c r="FU11" s="19"/>
      <c r="FV11" s="19"/>
      <c r="FW11" s="19"/>
      <c r="FX11" s="19"/>
      <c r="FY11" s="19"/>
      <c r="FZ11" s="19"/>
      <c r="GA11" s="19"/>
      <c r="GB11" s="19"/>
      <c r="GC11" s="19"/>
      <c r="GD11" s="19"/>
      <c r="GE11" s="19"/>
      <c r="GF11" s="19"/>
      <c r="GG11" s="19"/>
      <c r="GH11" s="19"/>
      <c r="GI11" s="19"/>
      <c r="GJ11" s="19"/>
      <c r="GK11" s="19"/>
      <c r="GL11" s="19"/>
      <c r="GM11" s="19"/>
      <c r="GN11" s="19"/>
      <c r="GO11" s="19"/>
      <c r="GP11" s="19"/>
      <c r="GQ11" s="19"/>
      <c r="GR11" s="19"/>
      <c r="GS11" s="19"/>
      <c r="GT11" s="19"/>
      <c r="GU11" s="19"/>
      <c r="GV11" s="19"/>
      <c r="GW11" s="19"/>
      <c r="GX11" s="19"/>
      <c r="GY11" s="19"/>
      <c r="GZ11" s="19"/>
      <c r="HA11" s="19"/>
      <c r="HB11" s="19"/>
    </row>
    <row r="12" spans="1:210" ht="15.75" x14ac:dyDescent="0.25">
      <c r="A12" s="31"/>
      <c r="B12" s="13"/>
      <c r="C12" s="13"/>
      <c r="D12" s="39" t="s">
        <v>313</v>
      </c>
      <c r="E12" s="41">
        <f>(1/$Q$6-1)/(1/(RT2_Ideal_TH*10^3)+1/(RTHCOLD_TH*10^3))/10^3</f>
        <v>5.243890052769264</v>
      </c>
      <c r="F12" s="128" t="s">
        <v>18</v>
      </c>
      <c r="G12" s="157" t="str">
        <f>_xlfn.CONCAT(FIXED(E12,2), " ",F12)</f>
        <v>5.24 kΩ</v>
      </c>
      <c r="H12" s="13"/>
      <c r="I12" s="13"/>
      <c r="J12" s="29"/>
      <c r="K12" s="29"/>
      <c r="L12" s="29"/>
      <c r="M12" s="29"/>
      <c r="N12" s="29"/>
      <c r="O12" s="29"/>
      <c r="P12" s="29"/>
      <c r="Q12" s="29"/>
      <c r="R12" s="29"/>
      <c r="S12" s="29"/>
      <c r="T12" s="179" t="s">
        <v>314</v>
      </c>
      <c r="U12" s="182">
        <f>Table10[[#This Row],[MIN Temp]]</f>
        <v>49</v>
      </c>
      <c r="V12" s="182">
        <f>Table10[[#This Row],[TYP Temp]]</f>
        <v>50</v>
      </c>
      <c r="W12" s="182">
        <f>Table10[[#This Row],[MAX Temp]]</f>
        <v>50</v>
      </c>
      <c r="X12" s="180" t="s">
        <v>299</v>
      </c>
      <c r="Y12" s="30"/>
      <c r="Z12" s="18"/>
      <c r="AA12" s="19"/>
      <c r="AB12" s="19"/>
      <c r="AC12" s="20">
        <f>Table13[[#This Row],[Min]]</f>
        <v>41.174999999999997</v>
      </c>
      <c r="AD12" s="20">
        <f>INDEX(Table9[Vmin (%)], (MATCH(Table10[[#This Row],[Target (MIN)]], Table9[Vmin (%)],1)))</f>
        <v>40.730930527210518</v>
      </c>
      <c r="AE12" s="20">
        <f>INDEX(Table9[Vmin (%)], (MATCH(Table10[[#This Row],[Target (MIN)]], Table9[Vmin (%)],1)+1))</f>
        <v>41.439224695246004</v>
      </c>
      <c r="AF12" s="20">
        <f>ABS(Table10[[#This Row],[Target (MIN)]]-Table10[[#This Row],[1st VLOOK MIN]])</f>
        <v>0.44406947278947939</v>
      </c>
      <c r="AG12" s="20">
        <f>ABS(Table10[[#This Row],[Target (MIN)]]-Table10[[#This Row],[2nd VLOOK MIN]])</f>
        <v>0.264224695246007</v>
      </c>
      <c r="AH12" s="20">
        <f>IF(Table10[[#This Row],[1st Diff]]&lt;Table10[[#This Row],[2nd Diff]],Table10[[#This Row],[1st VLOOK MIN]],Table10[[#This Row],[2nd VLOOK MIN]])</f>
        <v>41.439224695246004</v>
      </c>
      <c r="AI12" s="20">
        <f>INDEX(Table9[Temperature], (MATCH(Table10[[#This Row],[Closest VLOOK MIN]], Table9[Vmin (%)],1)))</f>
        <v>49</v>
      </c>
      <c r="AJ12" s="20">
        <f>Table13[[#This Row],[Typ]]</f>
        <v>41.2</v>
      </c>
      <c r="AK12" s="20">
        <f>INDEX(Table9[Vnom (%)], (MATCH(Table10[[#This Row],[Target (Typ)]], Table9[Vnom (%)],1)))</f>
        <v>41.161167165530948</v>
      </c>
      <c r="AL12" s="20">
        <f>INDEX(Table9[Vnom (%)], (MATCH(Table10[[#This Row],[Target (Typ)]], Table9[Vnom (%)],1)+1))</f>
        <v>41.861995467625505</v>
      </c>
      <c r="AM12" s="20">
        <f>ABS(Table10[[#This Row],[Target (Typ)]]-Table10[[#This Row],[1st VLOOK TYP]])</f>
        <v>3.8832834469054944E-2</v>
      </c>
      <c r="AN12" s="20">
        <f>ABS(Table10[[#This Row],[Target (Typ)]]-Table10[[#This Row],[2nd VLOOK TYP]])</f>
        <v>0.66199546762550199</v>
      </c>
      <c r="AO12" s="20">
        <f>IF(Table10[[#This Row],[1st Diff Typ]]&lt;Table10[[#This Row],[2nd Diff TYP]],Table10[[#This Row],[1st VLOOK TYP]],Table10[[#This Row],[2nd VLOOK TYP]])</f>
        <v>41.161167165530948</v>
      </c>
      <c r="AP12" s="20">
        <f>INDEX(Table9[Temperature], (MATCH(Table10[[#This Row],[Closest VLOOK TYP]], Table9[Vnom (%)],1)))</f>
        <v>50</v>
      </c>
      <c r="AQ12" s="20">
        <f>Table13[[#This Row],[Max]]</f>
        <v>41.415999999999997</v>
      </c>
      <c r="AR12" s="20">
        <f>INDEX(Table9[Vmax (%)], (MATCH(Table10[[#This Row],[Target (MAX)]], Table9[Vmax (%)],1)))</f>
        <v>40.894247282992708</v>
      </c>
      <c r="AS12" s="20">
        <f>INDEX(Table9[Vmax (%)], (MATCH(Table10[[#This Row],[Target (Typ)]], Table9[Vmax (%)],1)+1))</f>
        <v>41.589488092713708</v>
      </c>
      <c r="AT12" s="20">
        <f>ABS(Table10[[#This Row],[Target (MAX)]]-Table10[[#This Row],[1st VLOOK MAX]])</f>
        <v>0.52175271700728842</v>
      </c>
      <c r="AU12" s="20">
        <f>ABS(Table10[[#This Row],[Target (MAX)]]-Table10[[#This Row],[2nd VLOOK MAX]])</f>
        <v>0.17348809271371124</v>
      </c>
      <c r="AV12" s="20">
        <f>IF(Table10[[#This Row],[1st Diff MAX]]&lt;Table10[[#This Row],[2nd Diff MAX]],Table10[[#This Row],[1st VLOOK MAX]],Table10[[#This Row],[2nd VLOOK MAX]])</f>
        <v>41.589488092713708</v>
      </c>
      <c r="AW12" s="20">
        <f>INDEX(Table9[Temperature], (MATCH(Table10[[#This Row],[Closest VLOOK MAX]], Table9[Vmax (%)],1)))</f>
        <v>50</v>
      </c>
      <c r="AX12" s="19"/>
      <c r="AY12" t="s">
        <v>315</v>
      </c>
      <c r="AZ12">
        <f>IF(T3_S=T3_40_TEMP,BH$14, IF(T3_S=T3_45_TEMP,BH$15, IF(T3_S=T3_50_TEMP,BH$16, IF(T3_55_TEMP,BH$17, "ERROR"))))</f>
        <v>41.174999999999997</v>
      </c>
      <c r="BA12">
        <f>IF(T3_S=T3_40_TEMP,BI$14, IF(T3_S=T3_45_TEMP,BI$15, IF(T3_S=T3_50_TEMP,BI$16, IF(T3_55_TEMP,BI$17, "ERROR"))))</f>
        <v>41.2</v>
      </c>
      <c r="BB12">
        <f>IF(T3_S=T3_40_TEMP,BJ$14, IF(T3_S=T3_45_TEMP,BJ$15, IF(T3_S=T3_50_TEMP,BJ$16, IF(T3_55_TEMP,BJ$17, "ERROR"))))</f>
        <v>41.415999999999997</v>
      </c>
      <c r="BC12" s="19"/>
      <c r="BD12">
        <v>15</v>
      </c>
      <c r="BE12">
        <v>65.301000000000002</v>
      </c>
      <c r="BF12">
        <v>65.349999999999994</v>
      </c>
      <c r="BG12">
        <v>65.462000000000003</v>
      </c>
      <c r="BH12">
        <v>64.096000000000004</v>
      </c>
      <c r="BI12">
        <v>64.2</v>
      </c>
      <c r="BJ12">
        <v>64.256</v>
      </c>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c r="EP12" s="19"/>
      <c r="EQ12" s="19"/>
      <c r="ER12" s="19"/>
      <c r="ES12" s="19"/>
      <c r="ET12" s="19"/>
      <c r="EU12" s="19"/>
      <c r="EV12" s="19"/>
      <c r="EW12" s="19"/>
      <c r="EX12" s="19"/>
      <c r="EY12" s="19"/>
      <c r="EZ12" s="19"/>
      <c r="FA12" s="19"/>
      <c r="FB12" s="19"/>
      <c r="FC12" s="19"/>
      <c r="FD12" s="19"/>
      <c r="FE12" s="19"/>
      <c r="FF12" s="19"/>
      <c r="FG12" s="19"/>
      <c r="FH12" s="19"/>
      <c r="FI12" s="19"/>
      <c r="FJ12" s="19"/>
      <c r="FK12" s="19"/>
      <c r="FL12" s="19"/>
      <c r="FM12" s="19"/>
      <c r="FN12" s="19"/>
      <c r="FO12" s="19"/>
      <c r="FP12" s="19"/>
      <c r="FQ12" s="19"/>
      <c r="FR12" s="19"/>
      <c r="FS12" s="19"/>
      <c r="FT12" s="19"/>
      <c r="FU12" s="19"/>
      <c r="FV12" s="19"/>
      <c r="FW12" s="19"/>
      <c r="FX12" s="19"/>
      <c r="FY12" s="19"/>
      <c r="FZ12" s="19"/>
      <c r="GA12" s="19"/>
      <c r="GB12" s="19"/>
      <c r="GC12" s="19"/>
      <c r="GD12" s="19"/>
      <c r="GE12" s="19"/>
      <c r="GF12" s="19"/>
      <c r="GG12" s="19"/>
      <c r="GH12" s="19"/>
      <c r="GI12" s="19"/>
      <c r="GJ12" s="19"/>
      <c r="GK12" s="19"/>
      <c r="GL12" s="19"/>
      <c r="GM12" s="19"/>
      <c r="GN12" s="19"/>
      <c r="GO12" s="19"/>
      <c r="GP12" s="19"/>
      <c r="GQ12" s="19"/>
      <c r="GR12" s="19"/>
      <c r="GS12" s="19"/>
      <c r="GT12" s="19"/>
      <c r="GU12" s="19"/>
      <c r="GV12" s="19"/>
      <c r="GW12" s="19"/>
      <c r="GX12" s="19"/>
      <c r="GY12" s="19"/>
      <c r="GZ12" s="19"/>
      <c r="HA12" s="19"/>
      <c r="HB12" s="19"/>
    </row>
    <row r="13" spans="1:210" ht="16.5" thickBot="1" x14ac:dyDescent="0.3">
      <c r="A13" s="33"/>
      <c r="B13" s="34"/>
      <c r="C13" s="34"/>
      <c r="D13" s="43" t="s">
        <v>316</v>
      </c>
      <c r="E13" s="44">
        <f>(RTHCOLD_TH*10^3*RTHHOT_TH*10^3*(1/$Q$6-1/$Q$9))/(RTHHOT_TH*10^3*(1/$Q$9-1)-RTHCOLD_TH*10^3*(1/$Q$6-1))/10^3</f>
        <v>30.363546946665231</v>
      </c>
      <c r="F13" s="134" t="s">
        <v>18</v>
      </c>
      <c r="G13" s="157" t="str">
        <f>_xlfn.CONCAT(FIXED(E13,2), " ",F13)</f>
        <v>30.36 kΩ</v>
      </c>
      <c r="H13" s="13"/>
      <c r="I13" s="13"/>
      <c r="J13" s="29"/>
      <c r="K13" s="29"/>
      <c r="L13" s="29"/>
      <c r="M13" s="29"/>
      <c r="N13" s="29"/>
      <c r="O13" s="29"/>
      <c r="P13" s="29"/>
      <c r="Q13" s="29"/>
      <c r="R13" s="29"/>
      <c r="S13" s="29"/>
      <c r="T13" s="179" t="s">
        <v>317</v>
      </c>
      <c r="U13" s="182">
        <f>Table10[[#This Row],[MIN Temp]]</f>
        <v>58</v>
      </c>
      <c r="V13" s="182">
        <f>Table10[[#This Row],[TYP Temp]]</f>
        <v>58</v>
      </c>
      <c r="W13" s="182">
        <f>Table10[[#This Row],[MAX Temp]]</f>
        <v>59</v>
      </c>
      <c r="X13" s="180" t="s">
        <v>299</v>
      </c>
      <c r="Y13" s="30"/>
      <c r="Z13" s="18"/>
      <c r="AA13" s="19"/>
      <c r="AB13" s="19"/>
      <c r="AC13" s="20">
        <f>Table13[[#This Row],[Min]]</f>
        <v>35.393999999999998</v>
      </c>
      <c r="AD13" s="20">
        <f>INDEX(Table9[Vmin (%)], (MATCH(Table10[[#This Row],[Target (MIN)]], Table9[Vmin (%)],1)))</f>
        <v>35.24937344100195</v>
      </c>
      <c r="AE13" s="20">
        <f>INDEX(Table9[Vmin (%)], (MATCH(Table10[[#This Row],[Target (MIN)]], Table9[Vmin (%)],1)+1))</f>
        <v>35.911272411410891</v>
      </c>
      <c r="AF13" s="20">
        <f>ABS(Table10[[#This Row],[Target (MIN)]]-Table10[[#This Row],[1st VLOOK MIN]])</f>
        <v>0.14462655899804844</v>
      </c>
      <c r="AG13" s="20">
        <f>ABS(Table10[[#This Row],[Target (MIN)]]-Table10[[#This Row],[2nd VLOOK MIN]])</f>
        <v>0.51727241141089308</v>
      </c>
      <c r="AH13" s="20">
        <f>IF(Table10[[#This Row],[1st Diff]]&lt;Table10[[#This Row],[2nd Diff]],Table10[[#This Row],[1st VLOOK MIN]],Table10[[#This Row],[2nd VLOOK MIN]])</f>
        <v>35.24937344100195</v>
      </c>
      <c r="AI13" s="20">
        <f>INDEX(Table9[Temperature], (MATCH(Table10[[#This Row],[Closest VLOOK MIN]], Table9[Vmin (%)],1)))</f>
        <v>58</v>
      </c>
      <c r="AJ13" s="20">
        <f>Table13[[#This Row],[Typ]]</f>
        <v>35.5</v>
      </c>
      <c r="AK13" s="20">
        <f>INDEX(Table9[Vnom (%)], (MATCH(Table10[[#This Row],[Target (Typ)]], Table9[Vnom (%)],1)))</f>
        <v>35.076179717322717</v>
      </c>
      <c r="AL13" s="20">
        <f>INDEX(Table9[Vnom (%)], (MATCH(Table10[[#This Row],[Target (Typ)]], Table9[Vnom (%)],1)+1))</f>
        <v>35.724189313224691</v>
      </c>
      <c r="AM13" s="20">
        <f>ABS(Table10[[#This Row],[Target (Typ)]]-Table10[[#This Row],[1st VLOOK TYP]])</f>
        <v>0.42382028267728344</v>
      </c>
      <c r="AN13" s="20">
        <f>ABS(Table10[[#This Row],[Target (Typ)]]-Table10[[#This Row],[2nd VLOOK TYP]])</f>
        <v>0.22418931322469149</v>
      </c>
      <c r="AO13" s="20">
        <f>IF(Table10[[#This Row],[1st Diff Typ]]&lt;Table10[[#This Row],[2nd Diff TYP]],Table10[[#This Row],[1st VLOOK TYP]],Table10[[#This Row],[2nd VLOOK TYP]])</f>
        <v>35.724189313224691</v>
      </c>
      <c r="AP13" s="20">
        <f>INDEX(Table9[Temperature], (MATCH(Table10[[#This Row],[Closest VLOOK TYP]], Table9[Vnom (%)],1)))</f>
        <v>58</v>
      </c>
      <c r="AQ13" s="20">
        <f>Table13[[#This Row],[Max]]</f>
        <v>35.636000000000003</v>
      </c>
      <c r="AR13" s="20">
        <f>INDEX(Table9[Vmax (%)], (MATCH(Table10[[#This Row],[Target (MAX)]], Table9[Vmax (%)],1)))</f>
        <v>35.548162957558937</v>
      </c>
      <c r="AS13" s="20">
        <f>INDEX(Table9[Vmax (%)], (MATCH(Table10[[#This Row],[Target (Typ)]], Table9[Vmax (%)],1)+1))</f>
        <v>35.548162957558937</v>
      </c>
      <c r="AT13" s="20">
        <f>ABS(Table10[[#This Row],[Target (MAX)]]-Table10[[#This Row],[1st VLOOK MAX]])</f>
        <v>8.783704244106616E-2</v>
      </c>
      <c r="AU13" s="20">
        <f>ABS(Table10[[#This Row],[Target (MAX)]]-Table10[[#This Row],[2nd VLOOK MAX]])</f>
        <v>8.783704244106616E-2</v>
      </c>
      <c r="AV13" s="20">
        <f>IF(Table10[[#This Row],[1st Diff MAX]]&lt;Table10[[#This Row],[2nd Diff MAX]],Table10[[#This Row],[1st VLOOK MAX]],Table10[[#This Row],[2nd VLOOK MAX]])</f>
        <v>35.548162957558937</v>
      </c>
      <c r="AW13" s="20">
        <f>INDEX(Table9[Temperature], (MATCH(Table10[[#This Row],[Closest VLOOK MAX]], Table9[Vmax (%)],1)))</f>
        <v>59</v>
      </c>
      <c r="AX13" s="19"/>
      <c r="AY13" s="187" t="s">
        <v>318</v>
      </c>
      <c r="AZ13">
        <f>IF(T5_S=T5_50_TEMP,BE$16, IF(T5_S=T5_55_TEMP,BE$17,IF(T5_S=T5_60_TEMP,BE$18,IF(T5_S=T5_65_TEMP,BE$19, "ERROR"))))</f>
        <v>35.393999999999998</v>
      </c>
      <c r="BA13">
        <f>IF(T5_S=T5_50_TEMP,BF$16, IF(T5_S=T5_55_TEMP,BF$17,IF(T5_S=T5_60_TEMP,BF$18,IF(T5_S=T5_65_TEMP,BF$19, "ERROR"))))</f>
        <v>35.5</v>
      </c>
      <c r="BB13">
        <f>IF(T5_S=T5_50_TEMP,BG$16, IF(T5_S=T5_55_TEMP,BG$17,IF(T5_S=T5_60_TEMP,BG$18,IF(T5_S=T5_65_TEMP,BG$19, "ERROR"))))</f>
        <v>35.636000000000003</v>
      </c>
      <c r="BC13" s="19"/>
      <c r="BD13" s="187">
        <v>20</v>
      </c>
      <c r="BE13" s="187">
        <v>62.173000000000002</v>
      </c>
      <c r="BF13" s="187">
        <v>62.25</v>
      </c>
      <c r="BG13" s="187">
        <v>62.371000000000002</v>
      </c>
      <c r="BH13" s="187">
        <v>60.966999999999999</v>
      </c>
      <c r="BI13" s="187">
        <v>61.1</v>
      </c>
      <c r="BJ13" s="187">
        <v>61.170999999999999</v>
      </c>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c r="CW13" s="19"/>
      <c r="CX13" s="19"/>
      <c r="CY13" s="19"/>
      <c r="CZ13" s="19"/>
      <c r="DA13" s="19"/>
      <c r="DB13" s="19"/>
      <c r="DC13" s="19"/>
      <c r="DD13" s="19"/>
      <c r="DE13" s="19"/>
      <c r="DF13" s="19"/>
      <c r="DG13" s="19"/>
      <c r="DH13" s="19"/>
      <c r="DI13" s="19"/>
      <c r="DJ13" s="19"/>
      <c r="DK13" s="19"/>
      <c r="DL13" s="19"/>
      <c r="DM13" s="19"/>
      <c r="DN13" s="19"/>
      <c r="DO13" s="19"/>
      <c r="DP13" s="19"/>
      <c r="DQ13" s="19"/>
      <c r="DR13" s="19"/>
      <c r="DS13" s="19"/>
      <c r="DT13" s="19"/>
      <c r="DU13" s="19"/>
      <c r="DV13" s="19"/>
      <c r="DW13" s="19"/>
      <c r="DX13" s="19"/>
      <c r="DY13" s="19"/>
      <c r="DZ13" s="19"/>
      <c r="EA13" s="19"/>
      <c r="EB13" s="19"/>
      <c r="EC13" s="19"/>
      <c r="ED13" s="19"/>
      <c r="EE13" s="19"/>
      <c r="EF13" s="19"/>
      <c r="EG13" s="19"/>
      <c r="EH13" s="19"/>
      <c r="EI13" s="19"/>
      <c r="EJ13" s="19"/>
      <c r="EK13" s="19"/>
      <c r="EL13" s="19"/>
      <c r="EM13" s="19"/>
      <c r="EN13" s="19"/>
      <c r="EO13" s="19"/>
      <c r="EP13" s="19"/>
      <c r="EQ13" s="19"/>
      <c r="ER13" s="19"/>
      <c r="ES13" s="19"/>
      <c r="ET13" s="19"/>
      <c r="EU13" s="19"/>
      <c r="EV13" s="19"/>
      <c r="EW13" s="19"/>
      <c r="EX13" s="19"/>
      <c r="EY13" s="19"/>
      <c r="EZ13" s="19"/>
      <c r="FA13" s="19"/>
      <c r="FB13" s="19"/>
      <c r="FC13" s="19"/>
      <c r="FD13" s="19"/>
      <c r="FE13" s="19"/>
      <c r="FF13" s="19"/>
      <c r="FG13" s="19"/>
      <c r="FH13" s="19"/>
      <c r="FI13" s="19"/>
      <c r="FJ13" s="19"/>
      <c r="FK13" s="19"/>
      <c r="FL13" s="19"/>
      <c r="FM13" s="19"/>
      <c r="FN13" s="19"/>
      <c r="FO13" s="19"/>
      <c r="FP13" s="19"/>
      <c r="FQ13" s="19"/>
      <c r="FR13" s="19"/>
      <c r="FS13" s="19"/>
      <c r="FT13" s="19"/>
      <c r="FU13" s="19"/>
      <c r="FV13" s="19"/>
      <c r="FW13" s="19"/>
      <c r="FX13" s="19"/>
      <c r="FY13" s="19"/>
      <c r="FZ13" s="19"/>
      <c r="GA13" s="19"/>
      <c r="GB13" s="19"/>
      <c r="GC13" s="19"/>
      <c r="GD13" s="19"/>
      <c r="GE13" s="19"/>
      <c r="GF13" s="19"/>
      <c r="GG13" s="19"/>
      <c r="GH13" s="19"/>
      <c r="GI13" s="19"/>
      <c r="GJ13" s="19"/>
      <c r="GK13" s="19"/>
      <c r="GL13" s="19"/>
      <c r="GM13" s="19"/>
      <c r="GN13" s="19"/>
      <c r="GO13" s="19"/>
      <c r="GP13" s="19"/>
      <c r="GQ13" s="19"/>
      <c r="GR13" s="19"/>
      <c r="GS13" s="19"/>
      <c r="GT13" s="19"/>
      <c r="GU13" s="19"/>
      <c r="GV13" s="19"/>
      <c r="GW13" s="19"/>
      <c r="GX13" s="19"/>
      <c r="GY13" s="19"/>
      <c r="GZ13" s="19"/>
      <c r="HA13" s="19"/>
      <c r="HB13" s="19"/>
    </row>
    <row r="14" spans="1:210" ht="16.5" thickBot="1" x14ac:dyDescent="0.3">
      <c r="A14" s="170"/>
      <c r="B14" s="163"/>
      <c r="C14" s="163"/>
      <c r="D14" s="163"/>
      <c r="E14" s="163"/>
      <c r="F14" s="163"/>
      <c r="G14" s="29"/>
      <c r="H14" s="29"/>
      <c r="I14" s="29"/>
      <c r="J14" s="29"/>
      <c r="K14" s="29"/>
      <c r="L14" s="29"/>
      <c r="M14" s="29"/>
      <c r="N14" s="29"/>
      <c r="O14" s="29"/>
      <c r="P14" s="29"/>
      <c r="Q14" s="29"/>
      <c r="R14" s="29"/>
      <c r="S14" s="29"/>
      <c r="T14" s="179" t="s">
        <v>319</v>
      </c>
      <c r="U14" s="182">
        <f>Table10[[#This Row],[MIN Temp]]</f>
        <v>59</v>
      </c>
      <c r="V14" s="182">
        <f>Table10[[#This Row],[TYP Temp]]</f>
        <v>60</v>
      </c>
      <c r="W14" s="182">
        <f>Table10[[#This Row],[MAX Temp]]</f>
        <v>61</v>
      </c>
      <c r="X14" s="180" t="s">
        <v>299</v>
      </c>
      <c r="Y14" s="30"/>
      <c r="Z14" s="18"/>
      <c r="AA14" s="19"/>
      <c r="AB14" s="19"/>
      <c r="AC14" s="20">
        <f>Table13[[#This Row],[Min]]</f>
        <v>34.305999999999997</v>
      </c>
      <c r="AD14" s="20">
        <f>INDEX(Table9[Vmin (%)], (MATCH(Table10[[#This Row],[Target (MIN)]], Table9[Vmin (%)],1)))</f>
        <v>33.954104994515497</v>
      </c>
      <c r="AE14" s="20">
        <f>INDEX(Table9[Vmin (%)], (MATCH(Table10[[#This Row],[Target (MIN)]], Table9[Vmin (%)],1)+1))</f>
        <v>34.59651322396364</v>
      </c>
      <c r="AF14" s="20">
        <f>ABS(Table10[[#This Row],[Target (MIN)]]-Table10[[#This Row],[1st VLOOK MIN]])</f>
        <v>0.3518950054845007</v>
      </c>
      <c r="AG14" s="20">
        <f>ABS(Table10[[#This Row],[Target (MIN)]]-Table10[[#This Row],[2nd VLOOK MIN]])</f>
        <v>0.29051322396364299</v>
      </c>
      <c r="AH14" s="20">
        <f>IF(Table10[[#This Row],[1st Diff]]&lt;Table10[[#This Row],[2nd Diff]],Table10[[#This Row],[1st VLOOK MIN]],Table10[[#This Row],[2nd VLOOK MIN]])</f>
        <v>34.59651322396364</v>
      </c>
      <c r="AI14" s="20">
        <f>INDEX(Table9[Temperature], (MATCH(Table10[[#This Row],[Closest VLOOK MIN]], Table9[Vmin (%)],1)))</f>
        <v>59</v>
      </c>
      <c r="AJ14" s="20">
        <f>Table13[[#This Row],[Typ]]</f>
        <v>34.375</v>
      </c>
      <c r="AK14" s="20">
        <f>INDEX(Table9[Vnom (%)], (MATCH(Table10[[#This Row],[Target (Typ)]], Table9[Vnom (%)],1)))</f>
        <v>33.790882824445816</v>
      </c>
      <c r="AL14" s="20">
        <f>INDEX(Table9[Vnom (%)], (MATCH(Table10[[#This Row],[Target (Typ)]], Table9[Vnom (%)],1)+1))</f>
        <v>34.431440161144813</v>
      </c>
      <c r="AM14" s="20">
        <f>ABS(Table10[[#This Row],[Target (Typ)]]-Table10[[#This Row],[1st VLOOK TYP]])</f>
        <v>0.58411717555418363</v>
      </c>
      <c r="AN14" s="20">
        <f>ABS(Table10[[#This Row],[Target (Typ)]]-Table10[[#This Row],[2nd VLOOK TYP]])</f>
        <v>5.6440161144813317E-2</v>
      </c>
      <c r="AO14" s="20">
        <f>IF(Table10[[#This Row],[1st Diff Typ]]&lt;Table10[[#This Row],[2nd Diff TYP]],Table10[[#This Row],[1st VLOOK TYP]],Table10[[#This Row],[2nd VLOOK TYP]])</f>
        <v>34.431440161144813</v>
      </c>
      <c r="AP14" s="20">
        <f>INDEX(Table9[Temperature], (MATCH(Table10[[#This Row],[Closest VLOOK TYP]], Table9[Vnom (%)],1)))</f>
        <v>60</v>
      </c>
      <c r="AQ14" s="20">
        <f>Table13[[#This Row],[Max]]</f>
        <v>34.546999999999997</v>
      </c>
      <c r="AR14" s="20">
        <f>INDEX(Table9[Vmax (%)], (MATCH(Table10[[#This Row],[Target (MAX)]], Table9[Vmax (%)],1)))</f>
        <v>34.271661254715148</v>
      </c>
      <c r="AS14" s="20">
        <f>INDEX(Table9[Vmax (%)], (MATCH(Table10[[#This Row],[Target (Typ)]], Table9[Vmax (%)],1)+1))</f>
        <v>34.907957843361622</v>
      </c>
      <c r="AT14" s="20">
        <f>ABS(Table10[[#This Row],[Target (MAX)]]-Table10[[#This Row],[1st VLOOK MAX]])</f>
        <v>0.27533874528484859</v>
      </c>
      <c r="AU14" s="20">
        <f>ABS(Table10[[#This Row],[Target (MAX)]]-Table10[[#This Row],[2nd VLOOK MAX]])</f>
        <v>0.36095784336162495</v>
      </c>
      <c r="AV14" s="20">
        <f>IF(Table10[[#This Row],[1st Diff MAX]]&lt;Table10[[#This Row],[2nd Diff MAX]],Table10[[#This Row],[1st VLOOK MAX]],Table10[[#This Row],[2nd VLOOK MAX]])</f>
        <v>34.271661254715148</v>
      </c>
      <c r="AW14" s="20">
        <f>INDEX(Table9[Temperature], (MATCH(Table10[[#This Row],[Closest VLOOK MAX]], Table9[Vmax (%)],1)))</f>
        <v>61</v>
      </c>
      <c r="AX14" s="19"/>
      <c r="AY14" t="s">
        <v>320</v>
      </c>
      <c r="AZ14">
        <f>IF(T5_S=T5_50_TEMP,BH$16, IF(T5_S=T5_55_TEMP,BH$17,IF(T5_S=T5_60_TEMP,BH$18,IF(T5_S=T5_65_TEMP,BH$19, "ERROR"))))</f>
        <v>34.305999999999997</v>
      </c>
      <c r="BA14">
        <f>IF(T5_S=T5_50_TEMP,BI$16, IF(T5_S=T5_55_TEMP,BI$17,IF(T5_S=T5_60_TEMP,BI$18,IF(T5_S=T5_65_TEMP,BI$19, "ERROR"))))</f>
        <v>34.375</v>
      </c>
      <c r="BB14">
        <f>IF(T5_S=T5_50_TEMP,BJ$16, IF(T5_S=T5_55_TEMP,BJ$17,IF(T5_S=T5_60_TEMP,BJ$18,IF(T5_S=T5_65_TEMP,BJ$19, "ERROR"))))</f>
        <v>34.546999999999997</v>
      </c>
      <c r="BC14" s="19"/>
      <c r="BD14">
        <v>40</v>
      </c>
      <c r="BE14">
        <v>49.634</v>
      </c>
      <c r="BF14">
        <v>49.7</v>
      </c>
      <c r="BG14">
        <v>49.838000000000001</v>
      </c>
      <c r="BH14">
        <v>48.390999999999998</v>
      </c>
      <c r="BI14">
        <v>48.4</v>
      </c>
      <c r="BJ14">
        <v>48.631999999999998</v>
      </c>
      <c r="BK14" s="19"/>
      <c r="BL14" s="19"/>
      <c r="BM14" s="19"/>
      <c r="BN14" s="19"/>
      <c r="BO14" s="19"/>
      <c r="BP14" s="19"/>
      <c r="BQ14" s="19"/>
      <c r="BR14" s="19"/>
      <c r="BS14" s="19"/>
      <c r="BT14" s="19"/>
      <c r="BU14" s="19"/>
      <c r="BV14" s="19"/>
      <c r="BW14" s="19"/>
      <c r="BX14" s="19"/>
      <c r="BY14" s="19"/>
      <c r="BZ14" s="19"/>
      <c r="CA14" s="19"/>
      <c r="CB14" s="19"/>
      <c r="CC14" s="19"/>
      <c r="CD14" s="19"/>
      <c r="CE14" s="19"/>
      <c r="CF14" s="19"/>
      <c r="CG14" s="19"/>
      <c r="CH14" s="19"/>
      <c r="CI14" s="19"/>
      <c r="CJ14" s="19"/>
      <c r="CK14" s="19"/>
      <c r="CL14" s="19"/>
      <c r="CM14" s="19"/>
      <c r="CN14" s="19"/>
      <c r="CO14" s="19"/>
      <c r="CP14" s="19"/>
      <c r="CQ14" s="19"/>
      <c r="CR14" s="19"/>
      <c r="CS14" s="19"/>
      <c r="CT14" s="19"/>
      <c r="CU14" s="19"/>
      <c r="CV14" s="19"/>
      <c r="CW14" s="19"/>
      <c r="CX14" s="19"/>
      <c r="CY14" s="19"/>
      <c r="CZ14" s="19"/>
      <c r="DA14" s="19"/>
      <c r="DB14" s="19"/>
      <c r="DC14" s="19"/>
      <c r="DD14" s="19"/>
      <c r="DE14" s="19"/>
      <c r="DF14" s="19"/>
      <c r="DG14" s="19"/>
      <c r="DH14" s="19"/>
      <c r="DI14" s="19"/>
      <c r="DJ14" s="19"/>
      <c r="DK14" s="19"/>
      <c r="DL14" s="19"/>
      <c r="DM14" s="19"/>
      <c r="DN14" s="19"/>
      <c r="DO14" s="19"/>
      <c r="DP14" s="19"/>
      <c r="DQ14" s="19"/>
      <c r="DR14" s="19"/>
      <c r="DS14" s="19"/>
      <c r="DT14" s="19"/>
      <c r="DU14" s="19"/>
      <c r="DV14" s="19"/>
      <c r="DW14" s="19"/>
      <c r="DX14" s="19"/>
      <c r="DY14" s="19"/>
      <c r="DZ14" s="19"/>
      <c r="EA14" s="19"/>
      <c r="EB14" s="19"/>
      <c r="EC14" s="19"/>
      <c r="ED14" s="19"/>
      <c r="EE14" s="19"/>
      <c r="EF14" s="19"/>
      <c r="EG14" s="19"/>
      <c r="EH14" s="19"/>
      <c r="EI14" s="19"/>
      <c r="EJ14" s="19"/>
      <c r="EK14" s="19"/>
      <c r="EL14" s="19"/>
      <c r="EM14" s="19"/>
      <c r="EN14" s="19"/>
      <c r="EO14" s="19"/>
      <c r="EP14" s="19"/>
      <c r="EQ14" s="19"/>
      <c r="ER14" s="19"/>
      <c r="ES14" s="19"/>
      <c r="ET14" s="19"/>
      <c r="EU14" s="19"/>
      <c r="EV14" s="19"/>
      <c r="EW14" s="19"/>
      <c r="EX14" s="19"/>
      <c r="EY14" s="19"/>
      <c r="EZ14" s="19"/>
      <c r="FA14" s="19"/>
      <c r="FB14" s="19"/>
      <c r="FC14" s="19"/>
      <c r="FD14" s="19"/>
      <c r="FE14" s="19"/>
      <c r="FF14" s="19"/>
      <c r="FG14" s="19"/>
      <c r="FH14" s="19"/>
      <c r="FI14" s="19"/>
      <c r="FJ14" s="19"/>
      <c r="FK14" s="19"/>
      <c r="FL14" s="19"/>
      <c r="FM14" s="19"/>
      <c r="FN14" s="19"/>
      <c r="FO14" s="19"/>
      <c r="FP14" s="19"/>
      <c r="FQ14" s="19"/>
      <c r="FR14" s="19"/>
      <c r="FS14" s="19"/>
      <c r="FT14" s="19"/>
      <c r="FU14" s="19"/>
      <c r="FV14" s="19"/>
      <c r="FW14" s="19"/>
      <c r="FX14" s="19"/>
      <c r="FY14" s="19"/>
      <c r="FZ14" s="19"/>
      <c r="GA14" s="19"/>
      <c r="GB14" s="19"/>
      <c r="GC14" s="19"/>
      <c r="GD14" s="19"/>
      <c r="GE14" s="19"/>
      <c r="GF14" s="19"/>
      <c r="GG14" s="19"/>
      <c r="GH14" s="19"/>
      <c r="GI14" s="19"/>
      <c r="GJ14" s="19"/>
      <c r="GK14" s="19"/>
      <c r="GL14" s="19"/>
      <c r="GM14" s="19"/>
      <c r="GN14" s="19"/>
      <c r="GO14" s="19"/>
      <c r="GP14" s="19"/>
      <c r="GQ14" s="19"/>
      <c r="GR14" s="19"/>
      <c r="GS14" s="19"/>
      <c r="GT14" s="19"/>
      <c r="GU14" s="19"/>
      <c r="GV14" s="19"/>
      <c r="GW14" s="19"/>
      <c r="GX14" s="19"/>
      <c r="GY14" s="19"/>
      <c r="GZ14" s="19"/>
      <c r="HA14" s="19"/>
      <c r="HB14" s="19"/>
    </row>
    <row r="15" spans="1:210" ht="15.75" thickBot="1" x14ac:dyDescent="0.3">
      <c r="A15" s="234" t="s">
        <v>321</v>
      </c>
      <c r="B15" s="235"/>
      <c r="C15" s="235"/>
      <c r="D15" s="163"/>
      <c r="E15" s="167" t="s">
        <v>265</v>
      </c>
      <c r="F15" s="168" t="s">
        <v>266</v>
      </c>
      <c r="G15" s="169" t="s">
        <v>267</v>
      </c>
      <c r="H15" s="29"/>
      <c r="I15" s="29"/>
      <c r="J15" s="29"/>
      <c r="K15" s="29"/>
      <c r="L15" s="29"/>
      <c r="M15" s="29"/>
      <c r="N15" s="29"/>
      <c r="O15" s="29"/>
      <c r="P15" s="29"/>
      <c r="Q15" s="29"/>
      <c r="R15" s="29"/>
      <c r="S15" s="29"/>
      <c r="T15" s="29"/>
      <c r="U15" s="29"/>
      <c r="V15" s="29"/>
      <c r="W15" s="29"/>
      <c r="X15" s="29"/>
      <c r="Y15" s="30"/>
      <c r="Z15" s="18"/>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v>45</v>
      </c>
      <c r="BE15">
        <v>45.868000000000002</v>
      </c>
      <c r="BF15">
        <v>46.05</v>
      </c>
      <c r="BG15">
        <v>46.109000000000002</v>
      </c>
      <c r="BH15">
        <v>44.662999999999997</v>
      </c>
      <c r="BI15">
        <v>44.75</v>
      </c>
      <c r="BJ15">
        <v>44.904000000000003</v>
      </c>
      <c r="BK15" s="19"/>
      <c r="BL15" s="19"/>
      <c r="BM15" s="19"/>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19"/>
      <c r="CM15" s="19"/>
      <c r="CN15" s="19"/>
      <c r="CO15" s="19"/>
      <c r="CP15" s="19"/>
      <c r="CQ15" s="19"/>
      <c r="CR15" s="19"/>
      <c r="CS15" s="19"/>
      <c r="CT15" s="19"/>
      <c r="CU15" s="19"/>
      <c r="CV15" s="19"/>
      <c r="CW15" s="19"/>
      <c r="CX15" s="19"/>
      <c r="CY15" s="19"/>
      <c r="CZ15" s="19"/>
      <c r="DA15" s="19"/>
      <c r="DB15" s="19"/>
      <c r="DC15" s="19"/>
      <c r="DD15" s="19"/>
      <c r="DE15" s="19"/>
      <c r="DF15" s="19"/>
      <c r="DG15" s="19"/>
      <c r="DH15" s="19"/>
      <c r="DI15" s="19"/>
      <c r="DJ15" s="19"/>
      <c r="DK15" s="19"/>
      <c r="DL15" s="19"/>
      <c r="DM15" s="19"/>
      <c r="DN15" s="19"/>
      <c r="DO15" s="19"/>
      <c r="DP15" s="19"/>
      <c r="DQ15" s="19"/>
      <c r="DR15" s="19"/>
      <c r="DS15" s="19"/>
      <c r="DT15" s="19"/>
      <c r="DU15" s="19"/>
      <c r="DV15" s="19"/>
      <c r="DW15" s="19"/>
      <c r="DX15" s="19"/>
      <c r="DY15" s="19"/>
      <c r="DZ15" s="19"/>
      <c r="EA15" s="19"/>
      <c r="EB15" s="19"/>
      <c r="EC15" s="19"/>
      <c r="ED15" s="19"/>
      <c r="EE15" s="19"/>
      <c r="EF15" s="19"/>
      <c r="EG15" s="19"/>
      <c r="EH15" s="19"/>
      <c r="EI15" s="19"/>
      <c r="EJ15" s="19"/>
      <c r="EK15" s="19"/>
      <c r="EL15" s="19"/>
      <c r="EM15" s="19"/>
      <c r="EN15" s="19"/>
      <c r="EO15" s="19"/>
      <c r="EP15" s="19"/>
      <c r="EQ15" s="19"/>
      <c r="ER15" s="19"/>
      <c r="ES15" s="19"/>
      <c r="ET15" s="19"/>
      <c r="EU15" s="19"/>
      <c r="EV15" s="19"/>
      <c r="EW15" s="19"/>
      <c r="EX15" s="19"/>
      <c r="EY15" s="19"/>
      <c r="EZ15" s="19"/>
      <c r="FA15" s="19"/>
      <c r="FB15" s="19"/>
      <c r="FC15" s="19"/>
      <c r="FD15" s="19"/>
      <c r="FE15" s="19"/>
      <c r="FF15" s="19"/>
      <c r="FG15" s="19"/>
      <c r="FH15" s="19"/>
      <c r="FI15" s="19"/>
      <c r="FJ15" s="19"/>
      <c r="FK15" s="19"/>
      <c r="FL15" s="19"/>
      <c r="FM15" s="19"/>
      <c r="FN15" s="19"/>
      <c r="FO15" s="19"/>
      <c r="FP15" s="19"/>
      <c r="FQ15" s="19"/>
      <c r="FR15" s="19"/>
      <c r="FS15" s="19"/>
      <c r="FT15" s="19"/>
      <c r="FU15" s="19"/>
      <c r="FV15" s="19"/>
      <c r="FW15" s="19"/>
      <c r="FX15" s="19"/>
      <c r="FY15" s="19"/>
      <c r="FZ15" s="19"/>
      <c r="GA15" s="19"/>
      <c r="GB15" s="19"/>
      <c r="GC15" s="19"/>
      <c r="GD15" s="19"/>
      <c r="GE15" s="19"/>
      <c r="GF15" s="19"/>
      <c r="GG15" s="19"/>
      <c r="GH15" s="19"/>
      <c r="GI15" s="19"/>
      <c r="GJ15" s="19"/>
      <c r="GK15" s="19"/>
      <c r="GL15" s="19"/>
      <c r="GM15" s="19"/>
      <c r="GN15" s="19"/>
      <c r="GO15" s="19"/>
      <c r="GP15" s="19"/>
      <c r="GQ15" s="19"/>
      <c r="GR15" s="19"/>
      <c r="GS15" s="19"/>
      <c r="GT15" s="19"/>
      <c r="GU15" s="19"/>
      <c r="GV15" s="19"/>
      <c r="GW15" s="19"/>
      <c r="GX15" s="19"/>
      <c r="GY15" s="19"/>
      <c r="GZ15" s="19"/>
      <c r="HA15" s="19"/>
      <c r="HB15" s="19"/>
    </row>
    <row r="16" spans="1:210" x14ac:dyDescent="0.25">
      <c r="A16" s="159"/>
      <c r="B16" s="160"/>
      <c r="C16" s="160"/>
      <c r="D16" s="37" t="s">
        <v>322</v>
      </c>
      <c r="E16" s="188">
        <f>F16*0.999</f>
        <v>5.2277581556681332</v>
      </c>
      <c r="F16" s="189">
        <f>IF($L$16&lt;$M$16,$J$16,$K$16)</f>
        <v>5.2329911468149479</v>
      </c>
      <c r="G16" s="184">
        <f>F16*1.001</f>
        <v>5.2382241379617627</v>
      </c>
      <c r="H16" s="132" t="s">
        <v>18</v>
      </c>
      <c r="I16" s="29"/>
      <c r="J16" s="29">
        <f>INDEX(stdres_0p1pct[Resistance], (MATCH($E$12*10^3, stdres_0p1pct[Resistance],1)))/10^3</f>
        <v>5.2329911468149479</v>
      </c>
      <c r="K16" s="29">
        <f>INDEX(stdres_0p1pct[Resistance], (MATCH($E$12*10^3, stdres_0p1pct[Resistance],1)+1))/10^3</f>
        <v>5.2961262986468043</v>
      </c>
      <c r="L16" s="29">
        <f>ABS($E$12-$J$16)</f>
        <v>1.0898905954316085E-2</v>
      </c>
      <c r="M16" s="29">
        <f>ABS($E$12-$K$16)</f>
        <v>5.2236245877540277E-2</v>
      </c>
      <c r="N16" s="29"/>
      <c r="O16" s="29"/>
      <c r="P16" s="29"/>
      <c r="Q16" s="29"/>
      <c r="R16" s="29"/>
      <c r="S16" s="29"/>
      <c r="T16" s="29"/>
      <c r="U16" s="29"/>
      <c r="V16" s="29"/>
      <c r="W16" s="29"/>
      <c r="X16" s="29"/>
      <c r="Y16" s="30"/>
      <c r="Z16" s="18"/>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v>50</v>
      </c>
      <c r="BE16">
        <v>42.338000000000001</v>
      </c>
      <c r="BF16">
        <v>42.5</v>
      </c>
      <c r="BG16">
        <v>42.622</v>
      </c>
      <c r="BH16">
        <v>41.174999999999997</v>
      </c>
      <c r="BI16">
        <v>41.2</v>
      </c>
      <c r="BJ16">
        <v>41.415999999999997</v>
      </c>
      <c r="BK16" s="19"/>
      <c r="BL16" s="19"/>
      <c r="BM16" s="19"/>
      <c r="BN16" s="19"/>
      <c r="BO16" s="19"/>
      <c r="BP16" s="19"/>
      <c r="BQ16" s="19"/>
      <c r="BR16" s="19"/>
      <c r="BS16" s="19"/>
      <c r="BT16" s="19"/>
      <c r="BU16" s="19"/>
      <c r="BV16" s="19"/>
      <c r="BW16" s="19"/>
      <c r="BX16" s="19"/>
      <c r="BY16" s="19"/>
      <c r="BZ16" s="19"/>
      <c r="CA16" s="19"/>
      <c r="CB16" s="19"/>
      <c r="CC16" s="19"/>
      <c r="CD16" s="19"/>
      <c r="CE16" s="19"/>
      <c r="CF16" s="19"/>
      <c r="CG16" s="19"/>
      <c r="CH16" s="19"/>
      <c r="CI16" s="19"/>
      <c r="CJ16" s="19"/>
      <c r="CK16" s="19"/>
      <c r="CL16" s="19"/>
      <c r="CM16" s="19"/>
      <c r="CN16" s="19"/>
      <c r="CO16" s="19"/>
      <c r="CP16" s="19"/>
      <c r="CQ16" s="19"/>
      <c r="CR16" s="19"/>
      <c r="CS16" s="19"/>
      <c r="CT16" s="19"/>
      <c r="CU16" s="19"/>
      <c r="CV16" s="19"/>
      <c r="CW16" s="19"/>
      <c r="CX16" s="19"/>
      <c r="CY16" s="19"/>
      <c r="CZ16" s="19"/>
      <c r="DA16" s="19"/>
      <c r="DB16" s="19"/>
      <c r="DC16" s="19"/>
      <c r="DD16" s="19"/>
      <c r="DE16" s="19"/>
      <c r="DF16" s="19"/>
      <c r="DG16" s="19"/>
      <c r="DH16" s="19"/>
      <c r="DI16" s="19"/>
      <c r="DJ16" s="19"/>
      <c r="DK16" s="19"/>
      <c r="DL16" s="19"/>
      <c r="DM16" s="19"/>
      <c r="DN16" s="19"/>
      <c r="DO16" s="19"/>
      <c r="DP16" s="19"/>
      <c r="DQ16" s="19"/>
      <c r="DR16" s="19"/>
      <c r="DS16" s="19"/>
      <c r="DT16" s="19"/>
      <c r="DU16" s="19"/>
      <c r="DV16" s="19"/>
      <c r="DW16" s="19"/>
      <c r="DX16" s="19"/>
      <c r="DY16" s="19"/>
      <c r="DZ16" s="19"/>
      <c r="EA16" s="19"/>
      <c r="EB16" s="19"/>
      <c r="EC16" s="19"/>
      <c r="ED16" s="19"/>
      <c r="EE16" s="19"/>
      <c r="EF16" s="19"/>
      <c r="EG16" s="19"/>
      <c r="EH16" s="19"/>
      <c r="EI16" s="19"/>
      <c r="EJ16" s="19"/>
      <c r="EK16" s="19"/>
      <c r="EL16" s="19"/>
      <c r="EM16" s="19"/>
      <c r="EN16" s="19"/>
      <c r="EO16" s="19"/>
      <c r="EP16" s="19"/>
      <c r="EQ16" s="19"/>
      <c r="ER16" s="19"/>
      <c r="ES16" s="19"/>
      <c r="ET16" s="19"/>
      <c r="EU16" s="19"/>
      <c r="EV16" s="19"/>
      <c r="EW16" s="19"/>
      <c r="EX16" s="19"/>
      <c r="EY16" s="19"/>
      <c r="EZ16" s="19"/>
      <c r="FA16" s="19"/>
      <c r="FB16" s="19"/>
      <c r="FC16" s="19"/>
      <c r="FD16" s="19"/>
      <c r="FE16" s="19"/>
      <c r="FF16" s="19"/>
      <c r="FG16" s="19"/>
      <c r="FH16" s="19"/>
      <c r="FI16" s="19"/>
      <c r="FJ16" s="19"/>
      <c r="FK16" s="19"/>
      <c r="FL16" s="19"/>
      <c r="FM16" s="19"/>
      <c r="FN16" s="19"/>
      <c r="FO16" s="19"/>
      <c r="FP16" s="19"/>
      <c r="FQ16" s="19"/>
      <c r="FR16" s="19"/>
      <c r="FS16" s="19"/>
      <c r="FT16" s="19"/>
      <c r="FU16" s="19"/>
      <c r="FV16" s="19"/>
      <c r="FW16" s="19"/>
      <c r="FX16" s="19"/>
      <c r="FY16" s="19"/>
      <c r="FZ16" s="19"/>
      <c r="GA16" s="19"/>
      <c r="GB16" s="19"/>
      <c r="GC16" s="19"/>
      <c r="GD16" s="19"/>
      <c r="GE16" s="19"/>
      <c r="GF16" s="19"/>
      <c r="GG16" s="19"/>
      <c r="GH16" s="19"/>
      <c r="GI16" s="19"/>
      <c r="GJ16" s="19"/>
      <c r="GK16" s="19"/>
      <c r="GL16" s="19"/>
      <c r="GM16" s="19"/>
      <c r="GN16" s="19"/>
      <c r="GO16" s="19"/>
      <c r="GP16" s="19"/>
      <c r="GQ16" s="19"/>
      <c r="GR16" s="19"/>
      <c r="GS16" s="19"/>
      <c r="GT16" s="19"/>
      <c r="GU16" s="19"/>
      <c r="GV16" s="19"/>
      <c r="GW16" s="19"/>
      <c r="GX16" s="19"/>
      <c r="GY16" s="19"/>
      <c r="GZ16" s="19"/>
      <c r="HA16" s="19"/>
      <c r="HB16" s="19"/>
    </row>
    <row r="17" spans="1:210" ht="15.75" thickBot="1" x14ac:dyDescent="0.3">
      <c r="A17" s="161"/>
      <c r="B17" s="162"/>
      <c r="C17" s="162"/>
      <c r="D17" s="43" t="s">
        <v>323</v>
      </c>
      <c r="E17" s="190">
        <f>F17*0.999</f>
        <v>30.474773623767586</v>
      </c>
      <c r="F17" s="191">
        <f>IF($L$17&lt;$M$17,$J$17,$K$17)</f>
        <v>30.505278902670256</v>
      </c>
      <c r="G17" s="185">
        <f>F17*1.001</f>
        <v>30.535784181572922</v>
      </c>
      <c r="H17" s="115" t="s">
        <v>18</v>
      </c>
      <c r="I17" s="29"/>
      <c r="J17" s="29">
        <f>INDEX(stdres_0p1pct[Resistance], (MATCH($E$13*10^3, stdres_0p1pct[Resistance],1)))/10^3</f>
        <v>30.141625298773906</v>
      </c>
      <c r="K17" s="29">
        <f>INDEX(stdres_0p1pct[Resistance], (MATCH($E$13*10^3, stdres_0p1pct[Resistance],1)+1))/10^3</f>
        <v>30.505278902670256</v>
      </c>
      <c r="L17" s="29">
        <f>ABS($E$13-$J$17)</f>
        <v>0.22192164789132462</v>
      </c>
      <c r="M17" s="29">
        <f>ABS($E$13-$K$17)</f>
        <v>0.14173195600502453</v>
      </c>
      <c r="N17" s="29"/>
      <c r="O17" s="29"/>
      <c r="P17" s="29"/>
      <c r="Q17" s="29"/>
      <c r="R17" s="29"/>
      <c r="S17" s="29"/>
      <c r="T17" s="29"/>
      <c r="U17" s="29"/>
      <c r="V17" s="29"/>
      <c r="W17" s="29"/>
      <c r="X17" s="29"/>
      <c r="Y17" s="30"/>
      <c r="Z17" s="18"/>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v>55</v>
      </c>
      <c r="BE17">
        <v>38.856999999999999</v>
      </c>
      <c r="BF17">
        <v>39</v>
      </c>
      <c r="BG17">
        <v>39.134999999999998</v>
      </c>
      <c r="BH17">
        <v>37.651000000000003</v>
      </c>
      <c r="BI17">
        <v>37.700000000000003</v>
      </c>
      <c r="BJ17">
        <v>37.892000000000003</v>
      </c>
      <c r="BK17" s="19"/>
      <c r="BL17" s="19"/>
      <c r="BM17" s="19"/>
      <c r="BN17" s="19"/>
      <c r="BO17" s="19"/>
      <c r="BP17" s="19"/>
      <c r="BQ17" s="19"/>
      <c r="BR17" s="19"/>
      <c r="BS17" s="19"/>
      <c r="BT17" s="19"/>
      <c r="BU17" s="19"/>
      <c r="BV17" s="19"/>
      <c r="BW17" s="19"/>
      <c r="BX17" s="19"/>
      <c r="BY17" s="19"/>
      <c r="BZ17" s="19"/>
      <c r="CA17" s="19"/>
      <c r="CB17" s="19"/>
      <c r="CC17" s="19"/>
      <c r="CD17" s="19"/>
      <c r="CE17" s="19"/>
      <c r="CF17" s="19"/>
      <c r="CG17" s="19"/>
      <c r="CH17" s="19"/>
      <c r="CI17" s="19"/>
      <c r="CJ17" s="19"/>
      <c r="CK17" s="19"/>
      <c r="CL17" s="19"/>
      <c r="CM17" s="19"/>
      <c r="CN17" s="19"/>
      <c r="CO17" s="19"/>
      <c r="CP17" s="19"/>
      <c r="CQ17" s="19"/>
      <c r="CR17" s="19"/>
      <c r="CS17" s="19"/>
      <c r="CT17" s="19"/>
      <c r="CU17" s="19"/>
      <c r="CV17" s="19"/>
      <c r="CW17" s="19"/>
      <c r="CX17" s="19"/>
      <c r="CY17" s="19"/>
      <c r="CZ17" s="19"/>
      <c r="DA17" s="19"/>
      <c r="DB17" s="19"/>
      <c r="DC17" s="19"/>
      <c r="DD17" s="19"/>
      <c r="DE17" s="19"/>
      <c r="DF17" s="19"/>
      <c r="DG17" s="19"/>
      <c r="DH17" s="19"/>
      <c r="DI17" s="19"/>
      <c r="DJ17" s="19"/>
      <c r="DK17" s="19"/>
      <c r="DL17" s="19"/>
      <c r="DM17" s="19"/>
      <c r="DN17" s="19"/>
      <c r="DO17" s="19"/>
      <c r="DP17" s="19"/>
      <c r="DQ17" s="19"/>
      <c r="DR17" s="19"/>
      <c r="DS17" s="19"/>
      <c r="DT17" s="19"/>
      <c r="DU17" s="19"/>
      <c r="DV17" s="19"/>
      <c r="DW17" s="19"/>
      <c r="DX17" s="19"/>
      <c r="DY17" s="19"/>
      <c r="DZ17" s="19"/>
      <c r="EA17" s="19"/>
      <c r="EB17" s="19"/>
      <c r="EC17" s="19"/>
      <c r="ED17" s="19"/>
      <c r="EE17" s="19"/>
      <c r="EF17" s="19"/>
      <c r="EG17" s="19"/>
      <c r="EH17" s="19"/>
      <c r="EI17" s="19"/>
      <c r="EJ17" s="19"/>
      <c r="EK17" s="19"/>
      <c r="EL17" s="19"/>
      <c r="EM17" s="19"/>
      <c r="EN17" s="19"/>
      <c r="EO17" s="19"/>
      <c r="EP17" s="19"/>
      <c r="EQ17" s="19"/>
      <c r="ER17" s="19"/>
      <c r="ES17" s="19"/>
      <c r="ET17" s="19"/>
      <c r="EU17" s="19"/>
      <c r="EV17" s="19"/>
      <c r="EW17" s="19"/>
      <c r="EX17" s="19"/>
      <c r="EY17" s="19"/>
      <c r="EZ17" s="19"/>
      <c r="FA17" s="19"/>
      <c r="FB17" s="19"/>
      <c r="FC17" s="19"/>
      <c r="FD17" s="19"/>
      <c r="FE17" s="19"/>
      <c r="FF17" s="19"/>
      <c r="FG17" s="19"/>
      <c r="FH17" s="19"/>
      <c r="FI17" s="19"/>
      <c r="FJ17" s="19"/>
      <c r="FK17" s="19"/>
      <c r="FL17" s="19"/>
      <c r="FM17" s="19"/>
      <c r="FN17" s="19"/>
      <c r="FO17" s="19"/>
      <c r="FP17" s="19"/>
      <c r="FQ17" s="19"/>
      <c r="FR17" s="19"/>
      <c r="FS17" s="19"/>
      <c r="FT17" s="19"/>
      <c r="FU17" s="19"/>
      <c r="FV17" s="19"/>
      <c r="FW17" s="19"/>
      <c r="FX17" s="19"/>
      <c r="FY17" s="19"/>
      <c r="FZ17" s="19"/>
      <c r="GA17" s="19"/>
      <c r="GB17" s="19"/>
      <c r="GC17" s="19"/>
      <c r="GD17" s="19"/>
      <c r="GE17" s="19"/>
      <c r="GF17" s="19"/>
      <c r="GG17" s="19"/>
      <c r="GH17" s="19"/>
      <c r="GI17" s="19"/>
      <c r="GJ17" s="19"/>
      <c r="GK17" s="19"/>
      <c r="GL17" s="19"/>
      <c r="GM17" s="19"/>
      <c r="GN17" s="19"/>
      <c r="GO17" s="19"/>
      <c r="GP17" s="19"/>
      <c r="GQ17" s="19"/>
      <c r="GR17" s="19"/>
      <c r="GS17" s="19"/>
      <c r="GT17" s="19"/>
      <c r="GU17" s="19"/>
      <c r="GV17" s="19"/>
      <c r="GW17" s="19"/>
      <c r="GX17" s="19"/>
      <c r="GY17" s="19"/>
      <c r="GZ17" s="19"/>
      <c r="HA17" s="19"/>
      <c r="HB17" s="19"/>
    </row>
    <row r="18" spans="1:210" ht="15.75" thickBot="1" x14ac:dyDescent="0.3">
      <c r="A18" s="170"/>
      <c r="B18" s="163"/>
      <c r="C18" s="163"/>
      <c r="D18" s="163"/>
      <c r="E18" s="163"/>
      <c r="F18" s="163"/>
      <c r="G18" s="29"/>
      <c r="H18" s="29"/>
      <c r="I18" s="29"/>
      <c r="J18" s="29"/>
      <c r="K18" s="29"/>
      <c r="L18" s="29"/>
      <c r="M18" s="29"/>
      <c r="N18" s="29"/>
      <c r="O18" s="29"/>
      <c r="P18" s="29"/>
      <c r="Q18" s="29"/>
      <c r="R18" s="29"/>
      <c r="S18" s="29"/>
      <c r="T18" s="29"/>
      <c r="U18" s="29"/>
      <c r="V18" s="29"/>
      <c r="W18" s="29"/>
      <c r="X18" s="29"/>
      <c r="Y18" s="30"/>
      <c r="Z18" s="18"/>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v>60</v>
      </c>
      <c r="BE18">
        <v>35.393999999999998</v>
      </c>
      <c r="BF18">
        <v>35.5</v>
      </c>
      <c r="BG18">
        <v>35.636000000000003</v>
      </c>
      <c r="BH18">
        <v>34.305999999999997</v>
      </c>
      <c r="BI18">
        <v>34.375</v>
      </c>
      <c r="BJ18">
        <v>34.546999999999997</v>
      </c>
      <c r="BK18" s="19"/>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c r="CM18" s="19"/>
      <c r="CN18" s="19"/>
      <c r="CO18" s="19"/>
      <c r="CP18" s="19"/>
      <c r="CQ18" s="19"/>
      <c r="CR18" s="19"/>
      <c r="CS18" s="19"/>
      <c r="CT18" s="19"/>
      <c r="CU18" s="19"/>
      <c r="CV18" s="19"/>
      <c r="CW18" s="19"/>
      <c r="CX18" s="19"/>
      <c r="CY18" s="19"/>
      <c r="CZ18" s="19"/>
      <c r="DA18" s="19"/>
      <c r="DB18" s="19"/>
      <c r="DC18" s="19"/>
      <c r="DD18" s="19"/>
      <c r="DE18" s="19"/>
      <c r="DF18" s="19"/>
      <c r="DG18" s="19"/>
      <c r="DH18" s="19"/>
      <c r="DI18" s="19"/>
      <c r="DJ18" s="19"/>
      <c r="DK18" s="19"/>
      <c r="DL18" s="19"/>
      <c r="DM18" s="19"/>
      <c r="DN18" s="19"/>
      <c r="DO18" s="19"/>
      <c r="DP18" s="19"/>
      <c r="DQ18" s="19"/>
      <c r="DR18" s="19"/>
      <c r="DS18" s="19"/>
      <c r="DT18" s="19"/>
      <c r="DU18" s="19"/>
      <c r="DV18" s="19"/>
      <c r="DW18" s="19"/>
      <c r="DX18" s="19"/>
      <c r="DY18" s="19"/>
      <c r="DZ18" s="19"/>
      <c r="EA18" s="19"/>
      <c r="EB18" s="19"/>
      <c r="EC18" s="19"/>
      <c r="ED18" s="19"/>
      <c r="EE18" s="19"/>
      <c r="EF18" s="19"/>
      <c r="EG18" s="19"/>
      <c r="EH18" s="19"/>
      <c r="EI18" s="19"/>
      <c r="EJ18" s="19"/>
      <c r="EK18" s="19"/>
      <c r="EL18" s="19"/>
      <c r="EM18" s="19"/>
      <c r="EN18" s="19"/>
      <c r="EO18" s="19"/>
      <c r="EP18" s="19"/>
      <c r="EQ18" s="19"/>
      <c r="ER18" s="19"/>
      <c r="ES18" s="19"/>
      <c r="ET18" s="19"/>
      <c r="EU18" s="19"/>
      <c r="EV18" s="19"/>
      <c r="EW18" s="19"/>
      <c r="EX18" s="19"/>
      <c r="EY18" s="19"/>
      <c r="EZ18" s="19"/>
      <c r="FA18" s="19"/>
      <c r="FB18" s="19"/>
      <c r="FC18" s="19"/>
      <c r="FD18" s="19"/>
      <c r="FE18" s="19"/>
      <c r="FF18" s="19"/>
      <c r="FG18" s="19"/>
      <c r="FH18" s="19"/>
      <c r="FI18" s="19"/>
      <c r="FJ18" s="19"/>
      <c r="FK18" s="19"/>
      <c r="FL18" s="19"/>
      <c r="FM18" s="19"/>
      <c r="FN18" s="19"/>
      <c r="FO18" s="19"/>
      <c r="FP18" s="19"/>
      <c r="FQ18" s="19"/>
      <c r="FR18" s="19"/>
      <c r="FS18" s="19"/>
      <c r="FT18" s="19"/>
      <c r="FU18" s="19"/>
      <c r="FV18" s="19"/>
      <c r="FW18" s="19"/>
      <c r="FX18" s="19"/>
      <c r="FY18" s="19"/>
      <c r="FZ18" s="19"/>
      <c r="GA18" s="19"/>
      <c r="GB18" s="19"/>
      <c r="GC18" s="19"/>
      <c r="GD18" s="19"/>
      <c r="GE18" s="19"/>
      <c r="GF18" s="19"/>
      <c r="GG18" s="19"/>
      <c r="GH18" s="19"/>
      <c r="GI18" s="19"/>
      <c r="GJ18" s="19"/>
      <c r="GK18" s="19"/>
      <c r="GL18" s="19"/>
      <c r="GM18" s="19"/>
      <c r="GN18" s="19"/>
      <c r="GO18" s="19"/>
      <c r="GP18" s="19"/>
      <c r="GQ18" s="19"/>
      <c r="GR18" s="19"/>
      <c r="GS18" s="19"/>
      <c r="GT18" s="19"/>
      <c r="GU18" s="19"/>
      <c r="GV18" s="19"/>
      <c r="GW18" s="19"/>
      <c r="GX18" s="19"/>
      <c r="GY18" s="19"/>
      <c r="GZ18" s="19"/>
      <c r="HA18" s="19"/>
      <c r="HB18" s="19"/>
    </row>
    <row r="19" spans="1:210" ht="18.75" thickBot="1" x14ac:dyDescent="0.4">
      <c r="A19" s="101" t="s">
        <v>324</v>
      </c>
      <c r="B19" s="203"/>
      <c r="C19" s="203"/>
      <c r="D19" s="175" t="s">
        <v>325</v>
      </c>
      <c r="E19" s="164" t="s">
        <v>265</v>
      </c>
      <c r="F19" s="165" t="s">
        <v>266</v>
      </c>
      <c r="G19" s="166" t="s">
        <v>267</v>
      </c>
      <c r="H19" s="114"/>
      <c r="I19" s="29"/>
      <c r="J19" s="29"/>
      <c r="K19" s="29"/>
      <c r="L19" s="29"/>
      <c r="M19" s="29"/>
      <c r="N19" s="29"/>
      <c r="O19" s="29"/>
      <c r="P19" s="29"/>
      <c r="Q19" s="29"/>
      <c r="R19" s="29"/>
      <c r="S19" s="29"/>
      <c r="T19" s="29"/>
      <c r="U19" s="29"/>
      <c r="V19" s="29"/>
      <c r="W19" s="29"/>
      <c r="X19" s="29"/>
      <c r="Y19" s="30"/>
      <c r="Z19" s="18"/>
      <c r="AA19" s="19"/>
      <c r="AB19" s="19"/>
      <c r="AC19" s="20" t="s">
        <v>326</v>
      </c>
      <c r="AD19" s="178" t="s">
        <v>327</v>
      </c>
      <c r="AE19" s="178" t="s">
        <v>328</v>
      </c>
      <c r="AF19" s="178" t="s">
        <v>329</v>
      </c>
      <c r="AG19" s="20" t="s">
        <v>330</v>
      </c>
      <c r="AH19" s="20" t="s">
        <v>331</v>
      </c>
      <c r="AI19" s="20" t="s">
        <v>332</v>
      </c>
      <c r="AJ19" s="178" t="s">
        <v>333</v>
      </c>
      <c r="AK19" s="178" t="s">
        <v>334</v>
      </c>
      <c r="AL19" s="178" t="s">
        <v>335</v>
      </c>
      <c r="AM19" s="20" t="s">
        <v>336</v>
      </c>
      <c r="AN19" s="20" t="s">
        <v>337</v>
      </c>
      <c r="AO19" s="20" t="s">
        <v>338</v>
      </c>
      <c r="AP19" s="19"/>
      <c r="AQ19" s="19"/>
      <c r="AR19" s="19"/>
      <c r="AS19" s="19"/>
      <c r="AT19" s="19"/>
      <c r="AU19" s="19"/>
      <c r="AV19" s="19"/>
      <c r="AW19" s="19"/>
      <c r="AX19" s="19"/>
      <c r="AY19" s="19"/>
      <c r="AZ19" s="19"/>
      <c r="BA19" s="19"/>
      <c r="BB19" s="19"/>
      <c r="BC19" s="19"/>
      <c r="BD19">
        <v>65</v>
      </c>
      <c r="BE19">
        <v>32.377000000000002</v>
      </c>
      <c r="BF19">
        <v>32.5</v>
      </c>
      <c r="BG19">
        <v>32.618000000000002</v>
      </c>
      <c r="BH19">
        <v>31.209</v>
      </c>
      <c r="BI19">
        <v>31.25</v>
      </c>
      <c r="BJ19">
        <v>31.405999999999999</v>
      </c>
      <c r="BK19" s="19"/>
      <c r="BL19" s="19"/>
      <c r="BM19" s="19"/>
      <c r="BN19" s="19"/>
      <c r="BO19" s="19"/>
      <c r="BP19" s="19"/>
      <c r="BQ19" s="19"/>
      <c r="BR19" s="19"/>
      <c r="BS19" s="19"/>
      <c r="BT19" s="19"/>
      <c r="BU19" s="19"/>
      <c r="BV19" s="19"/>
      <c r="BW19" s="19"/>
      <c r="BX19" s="19"/>
      <c r="BY19" s="19"/>
      <c r="BZ19" s="19"/>
      <c r="CA19" s="19"/>
      <c r="CB19" s="19"/>
      <c r="CC19" s="19"/>
      <c r="CD19" s="19"/>
      <c r="CE19" s="19"/>
      <c r="CF19" s="19"/>
      <c r="CG19" s="19"/>
      <c r="CH19" s="19"/>
      <c r="CI19" s="19"/>
      <c r="CJ19" s="19"/>
      <c r="CK19" s="19"/>
      <c r="CL19" s="19"/>
      <c r="CM19" s="19"/>
      <c r="CN19" s="19"/>
      <c r="CO19" s="19"/>
      <c r="CP19" s="19"/>
      <c r="CQ19" s="19"/>
      <c r="CR19" s="19"/>
      <c r="CS19" s="19"/>
      <c r="CT19" s="19"/>
      <c r="CU19" s="19"/>
      <c r="CV19" s="19"/>
      <c r="CW19" s="19"/>
      <c r="CX19" s="19"/>
      <c r="CY19" s="19"/>
      <c r="CZ19" s="19"/>
      <c r="DA19" s="19"/>
      <c r="DB19" s="19"/>
      <c r="DC19" s="19"/>
      <c r="DD19" s="19"/>
      <c r="DE19" s="19"/>
      <c r="DF19" s="19"/>
      <c r="DG19" s="19"/>
      <c r="DH19" s="19"/>
      <c r="DI19" s="19"/>
      <c r="DJ19" s="19"/>
      <c r="DK19" s="19"/>
      <c r="DL19" s="19"/>
      <c r="DM19" s="19"/>
      <c r="DN19" s="19"/>
      <c r="DO19" s="19"/>
      <c r="DP19" s="19"/>
      <c r="DQ19" s="19"/>
      <c r="DR19" s="19"/>
      <c r="DS19" s="19"/>
      <c r="DT19" s="19"/>
      <c r="DU19" s="19"/>
      <c r="DV19" s="19"/>
      <c r="DW19" s="19"/>
      <c r="DX19" s="19"/>
      <c r="DY19" s="19"/>
      <c r="DZ19" s="19"/>
      <c r="EA19" s="19"/>
      <c r="EB19" s="19"/>
      <c r="EC19" s="19"/>
      <c r="ED19" s="19"/>
      <c r="EE19" s="19"/>
      <c r="EF19" s="19"/>
      <c r="EG19" s="19"/>
      <c r="EH19" s="19"/>
      <c r="EI19" s="19"/>
      <c r="EJ19" s="19"/>
      <c r="EK19" s="19"/>
      <c r="EL19" s="19"/>
      <c r="EM19" s="19"/>
      <c r="EN19" s="19"/>
      <c r="EO19" s="19"/>
      <c r="EP19" s="19"/>
      <c r="EQ19" s="19"/>
      <c r="ER19" s="19"/>
      <c r="ES19" s="19"/>
      <c r="ET19" s="19"/>
      <c r="EU19" s="19"/>
      <c r="EV19" s="19"/>
      <c r="EW19" s="19"/>
      <c r="EX19" s="19"/>
      <c r="EY19" s="19"/>
      <c r="EZ19" s="19"/>
      <c r="FA19" s="19"/>
      <c r="FB19" s="19"/>
      <c r="FC19" s="19"/>
      <c r="FD19" s="19"/>
      <c r="FE19" s="19"/>
      <c r="FF19" s="19"/>
      <c r="FG19" s="19"/>
      <c r="FH19" s="19"/>
      <c r="FI19" s="19"/>
      <c r="FJ19" s="19"/>
      <c r="FK19" s="19"/>
      <c r="FL19" s="19"/>
      <c r="FM19" s="19"/>
      <c r="FN19" s="19"/>
      <c r="FO19" s="19"/>
      <c r="FP19" s="19"/>
      <c r="FQ19" s="19"/>
      <c r="FR19" s="19"/>
      <c r="FS19" s="19"/>
      <c r="FT19" s="19"/>
      <c r="FU19" s="19"/>
      <c r="FV19" s="19"/>
      <c r="FW19" s="19"/>
      <c r="FX19" s="19"/>
      <c r="FY19" s="19"/>
      <c r="FZ19" s="19"/>
      <c r="GA19" s="19"/>
      <c r="GB19" s="19"/>
      <c r="GC19" s="19"/>
      <c r="GD19" s="19"/>
      <c r="GE19" s="19"/>
      <c r="GF19" s="19"/>
      <c r="GG19" s="19"/>
      <c r="GH19" s="19"/>
      <c r="GI19" s="19"/>
      <c r="GJ19" s="19"/>
      <c r="GK19" s="19"/>
      <c r="GL19" s="19"/>
      <c r="GM19" s="19"/>
      <c r="GN19" s="19"/>
      <c r="GO19" s="19"/>
      <c r="GP19" s="19"/>
      <c r="GQ19" s="19"/>
      <c r="GR19" s="19"/>
      <c r="GS19" s="19"/>
      <c r="GT19" s="19"/>
      <c r="GU19" s="19"/>
      <c r="GV19" s="19"/>
      <c r="GW19" s="19"/>
      <c r="GX19" s="19"/>
      <c r="GY19" s="19"/>
      <c r="GZ19" s="19"/>
      <c r="HA19" s="19"/>
      <c r="HB19" s="19"/>
    </row>
    <row r="20" spans="1:210" hidden="1" x14ac:dyDescent="0.25">
      <c r="A20" s="112">
        <v>110</v>
      </c>
      <c r="B20" s="160"/>
      <c r="C20" s="171" t="str">
        <f t="shared" ref="C20:C51" si="0">_xlfn.CONCAT("RTH at ",A20, " °C")</f>
        <v>RTH at 110 °C</v>
      </c>
      <c r="D20" s="192">
        <v>3.5</v>
      </c>
      <c r="E20" s="193">
        <v>0</v>
      </c>
      <c r="F20" s="194">
        <v>0</v>
      </c>
      <c r="G20" s="195">
        <v>0</v>
      </c>
      <c r="H20" s="132" t="s">
        <v>18</v>
      </c>
      <c r="I20" s="29"/>
      <c r="J20" s="29">
        <v>0.78510000000000002</v>
      </c>
      <c r="K20" s="29">
        <v>0.75760000000000005</v>
      </c>
      <c r="L20" s="29">
        <v>0.73080000000000001</v>
      </c>
      <c r="M20" s="29"/>
      <c r="N20" s="29"/>
      <c r="O20" s="29"/>
      <c r="P20" s="29"/>
      <c r="Q20" s="29"/>
      <c r="R20" s="29"/>
      <c r="S20" s="29"/>
      <c r="T20" s="29"/>
      <c r="U20" s="29"/>
      <c r="V20" s="29"/>
      <c r="W20" s="29"/>
      <c r="X20" s="29"/>
      <c r="Y20" s="30"/>
      <c r="Z20" s="18"/>
      <c r="AA20" s="19"/>
      <c r="AB20" s="19"/>
      <c r="AC20" s="20">
        <f t="shared" ref="AC20:AC51" si="1">A20</f>
        <v>110</v>
      </c>
      <c r="AD20" s="20">
        <f t="shared" ref="AD20:AD51" si="2">E20</f>
        <v>0</v>
      </c>
      <c r="AE20" s="20">
        <f t="shared" ref="AE20:AE51" si="3">F20</f>
        <v>0</v>
      </c>
      <c r="AF20" s="20">
        <f t="shared" ref="AF20:AF51" si="4">G20</f>
        <v>0</v>
      </c>
      <c r="AG20" s="20">
        <f>Table9[[#This Row],[RTH(min) (kΩ)]]*RT2_TH_MIN/(RT2_TH_MIN+Table9[[#This Row],[RTH(min) (kΩ)]])</f>
        <v>0</v>
      </c>
      <c r="AH20" s="20">
        <f>Table9[[#This Row],[RTH(nom) (kΩ)]]*RT2_TH_S/(RT2_TH_S+Table9[[#This Row],[RTH(nom) (kΩ)]])</f>
        <v>0</v>
      </c>
      <c r="AI20" s="20">
        <f>Table9[[#This Row],[RTH(max) (kΩ)]]*RT2_TH_S_MAX/(RT2_TH_S_MAX+Table9[[#This Row],[RTH(max) (kΩ)]])</f>
        <v>0</v>
      </c>
      <c r="AJ20" s="20">
        <f>Table9[[#This Row],[RLower(min) (kΩ)]]/(Table9[[#This Row],[RLower(min) (kΩ)]]+RT1_TH_S_MAX)*100</f>
        <v>0</v>
      </c>
      <c r="AK20" s="20">
        <f>Table9[[#This Row],[RLower(nom) (kΩ)]]/(Table9[[#This Row],[RLower(nom) (kΩ)]]+RT1_TH_S)*100</f>
        <v>0</v>
      </c>
      <c r="AL20" s="20">
        <f>Table9[[#This Row],[RLower(max) (kΩ)]]/(Table9[[#This Row],[RLower(max) (kΩ)]]+RT1_TH_S_MIN)*100</f>
        <v>0</v>
      </c>
      <c r="AM20" s="20">
        <f>IF(Table9[[#This Row],[Vmin (%)]]&lt;$BA$14, 0, IF(Table9[[#This Row],[Vmin (%)]]&lt;$BA$12, 4, IF(Table9[[#This Row],[Vmin (%)]]&lt;$BA$9, 3, IF(Table9[[#This Row],[Vmin (%)]]&lt;$BA$7, 2, 0))))</f>
        <v>0</v>
      </c>
      <c r="AN20" s="20">
        <f>IF(Table9[[#This Row],[Vmin (%)]]&lt;$BA$13, 0, IF(Table9[[#This Row],[Vmin (%)]]&lt;$BA$11, 4, IF(Table9[[#This Row],[Vmin (%)]]&lt;$BA$10, 3, IF(Table9[[#This Row],[Vmin (%)]]&lt;$BA$8, 2, 0))))</f>
        <v>0</v>
      </c>
      <c r="AO20" s="76" t="str">
        <f>IF(Table9[[#This Row],[Vmin (%)]]&lt;$BA$14, "Hot", IF(Table9[[#This Row],[Vmin (%)]]&lt;$BA$12, "Warm", IF(Table9[[#This Row],[Vmin (%)]]&lt;$BA$9, "Normal", IF(Table9[[#This Row],[Vmin (%)]]&lt;$BA$7, "Cool", "Cold"))))</f>
        <v>Hot</v>
      </c>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c r="BU20" s="19"/>
      <c r="BV20" s="19"/>
      <c r="BW20" s="19"/>
      <c r="BX20" s="19"/>
      <c r="BY20" s="19"/>
      <c r="BZ20" s="19"/>
      <c r="CA20" s="19"/>
      <c r="CB20" s="19"/>
      <c r="CC20" s="19"/>
      <c r="CD20" s="19"/>
      <c r="CE20" s="19"/>
      <c r="CF20" s="19"/>
      <c r="CG20" s="19"/>
      <c r="CH20" s="19"/>
      <c r="CI20" s="19"/>
      <c r="CJ20" s="19"/>
      <c r="CK20" s="19"/>
      <c r="CL20" s="19"/>
      <c r="CM20" s="19"/>
      <c r="CN20" s="19"/>
      <c r="CO20" s="19"/>
      <c r="CP20" s="19"/>
      <c r="CQ20" s="19"/>
      <c r="CR20" s="19"/>
      <c r="CS20" s="19"/>
      <c r="CT20" s="19"/>
      <c r="CU20" s="19"/>
      <c r="CV20" s="19"/>
      <c r="CW20" s="19"/>
      <c r="CX20" s="19"/>
      <c r="CY20" s="19"/>
      <c r="CZ20" s="19"/>
      <c r="DA20" s="19"/>
      <c r="DB20" s="19"/>
      <c r="DC20" s="19"/>
      <c r="DD20" s="19"/>
      <c r="DE20" s="19"/>
      <c r="DF20" s="19"/>
      <c r="DG20" s="19"/>
      <c r="DH20" s="19"/>
      <c r="DI20" s="19"/>
      <c r="DJ20" s="19"/>
      <c r="DK20" s="19"/>
      <c r="DL20" s="19"/>
      <c r="DM20" s="19"/>
      <c r="DN20" s="19"/>
      <c r="DO20" s="19"/>
      <c r="DP20" s="19"/>
      <c r="DQ20" s="19"/>
      <c r="DR20" s="19"/>
      <c r="DS20" s="19"/>
      <c r="DT20" s="19"/>
      <c r="DU20" s="19"/>
      <c r="DV20" s="19"/>
      <c r="DW20" s="19"/>
      <c r="DX20" s="19"/>
      <c r="DY20" s="19"/>
      <c r="DZ20" s="19"/>
      <c r="EA20" s="19"/>
      <c r="EB20" s="19"/>
      <c r="EC20" s="19"/>
      <c r="ED20" s="19"/>
      <c r="EE20" s="19"/>
      <c r="EF20" s="19"/>
      <c r="EG20" s="19"/>
      <c r="EH20" s="19"/>
      <c r="EI20" s="19"/>
      <c r="EJ20" s="19"/>
      <c r="EK20" s="19"/>
      <c r="EL20" s="19"/>
      <c r="EM20" s="19"/>
      <c r="EN20" s="19"/>
      <c r="EO20" s="19"/>
      <c r="EP20" s="19"/>
      <c r="EQ20" s="19"/>
      <c r="ER20" s="19"/>
      <c r="ES20" s="19"/>
      <c r="ET20" s="19"/>
      <c r="EU20" s="19"/>
      <c r="EV20" s="19"/>
      <c r="EW20" s="19"/>
      <c r="EX20" s="19"/>
      <c r="EY20" s="19"/>
      <c r="EZ20" s="19"/>
      <c r="FA20" s="19"/>
      <c r="FB20" s="19"/>
      <c r="FC20" s="19"/>
      <c r="FD20" s="19"/>
      <c r="FE20" s="19"/>
      <c r="FF20" s="19"/>
      <c r="FG20" s="19"/>
      <c r="FH20" s="19"/>
      <c r="FI20" s="19"/>
      <c r="FJ20" s="19"/>
      <c r="FK20" s="19"/>
      <c r="FL20" s="19"/>
      <c r="FM20" s="19"/>
      <c r="FN20" s="19"/>
      <c r="FO20" s="19"/>
      <c r="FP20" s="19"/>
      <c r="FQ20" s="19"/>
      <c r="FR20" s="19"/>
      <c r="FS20" s="19"/>
      <c r="FT20" s="19"/>
      <c r="FU20" s="19"/>
      <c r="FV20" s="19"/>
      <c r="FW20" s="19"/>
      <c r="FX20" s="19"/>
      <c r="FY20" s="19"/>
      <c r="FZ20" s="19"/>
      <c r="GA20" s="19"/>
      <c r="GB20" s="19"/>
      <c r="GC20" s="19"/>
      <c r="GD20" s="19"/>
      <c r="GE20" s="19"/>
      <c r="GF20" s="19"/>
      <c r="GG20" s="19"/>
      <c r="GH20" s="19"/>
      <c r="GI20" s="19"/>
      <c r="GJ20" s="19"/>
      <c r="GK20" s="19"/>
      <c r="GL20" s="19"/>
      <c r="GM20" s="19"/>
      <c r="GN20" s="19"/>
      <c r="GO20" s="19"/>
      <c r="GP20" s="19"/>
      <c r="GQ20" s="19"/>
      <c r="GR20" s="19"/>
      <c r="GS20" s="19"/>
      <c r="GT20" s="19"/>
      <c r="GU20" s="19"/>
      <c r="GV20" s="19"/>
      <c r="GW20" s="19"/>
      <c r="GX20" s="19"/>
      <c r="GY20" s="19"/>
      <c r="GZ20" s="19"/>
      <c r="HA20" s="19"/>
      <c r="HB20" s="19"/>
    </row>
    <row r="21" spans="1:210" hidden="1" x14ac:dyDescent="0.25">
      <c r="A21" s="113">
        <f>A20-1</f>
        <v>109</v>
      </c>
      <c r="B21" s="163"/>
      <c r="C21" s="172" t="str">
        <f t="shared" si="0"/>
        <v>RTH at 109 °C</v>
      </c>
      <c r="D21" s="196">
        <f>$D$20-(ROW(D21)-ROW($D$20))*($D$20-$D$105)/(ROW($D$105)-ROW($D$20))</f>
        <v>3.4705882352941178</v>
      </c>
      <c r="E21" s="197">
        <v>0</v>
      </c>
      <c r="F21" s="198">
        <v>0</v>
      </c>
      <c r="G21" s="199">
        <v>0</v>
      </c>
      <c r="H21" s="128" t="s">
        <v>18</v>
      </c>
      <c r="I21" s="29"/>
      <c r="J21" s="29">
        <v>0.8044</v>
      </c>
      <c r="K21" s="29">
        <v>0.77629999999999999</v>
      </c>
      <c r="L21" s="29">
        <v>0.74909999999999999</v>
      </c>
      <c r="M21" s="29"/>
      <c r="N21" s="29"/>
      <c r="O21" s="29"/>
      <c r="P21" s="29"/>
      <c r="Q21" s="29"/>
      <c r="R21" s="29"/>
      <c r="S21" s="29"/>
      <c r="T21" s="29"/>
      <c r="U21" s="29"/>
      <c r="V21" s="29"/>
      <c r="W21" s="29"/>
      <c r="X21" s="29"/>
      <c r="Y21" s="30"/>
      <c r="Z21" s="18"/>
      <c r="AA21" s="19"/>
      <c r="AB21" s="19"/>
      <c r="AC21" s="20">
        <f t="shared" si="1"/>
        <v>109</v>
      </c>
      <c r="AD21" s="20">
        <f t="shared" si="2"/>
        <v>0</v>
      </c>
      <c r="AE21" s="20">
        <f t="shared" si="3"/>
        <v>0</v>
      </c>
      <c r="AF21" s="20">
        <f t="shared" si="4"/>
        <v>0</v>
      </c>
      <c r="AG21" s="20">
        <f>Table9[[#This Row],[RTH(min) (kΩ)]]*RT2_TH_MIN/(RT2_TH_MIN+Table9[[#This Row],[RTH(min) (kΩ)]])</f>
        <v>0</v>
      </c>
      <c r="AH21" s="20">
        <f>Table9[[#This Row],[RTH(nom) (kΩ)]]*RT2_TH_S/(RT2_TH_S+Table9[[#This Row],[RTH(nom) (kΩ)]])</f>
        <v>0</v>
      </c>
      <c r="AI21" s="20">
        <f>Table9[[#This Row],[RTH(max) (kΩ)]]*RT2_TH_S_MAX/(RT2_TH_S_MAX+Table9[[#This Row],[RTH(max) (kΩ)]])</f>
        <v>0</v>
      </c>
      <c r="AJ21" s="20">
        <f>Table9[[#This Row],[RLower(min) (kΩ)]]/(Table9[[#This Row],[RLower(min) (kΩ)]]+RT1_TH_S_MAX)*100</f>
        <v>0</v>
      </c>
      <c r="AK21" s="20">
        <f>Table9[[#This Row],[RLower(nom) (kΩ)]]/(Table9[[#This Row],[RLower(nom) (kΩ)]]+RT1_TH_S)*100</f>
        <v>0</v>
      </c>
      <c r="AL21" s="20">
        <f>Table9[[#This Row],[RLower(max) (kΩ)]]/(Table9[[#This Row],[RLower(max) (kΩ)]]+RT1_TH_S_MIN)*100</f>
        <v>0</v>
      </c>
      <c r="AM21" s="20">
        <f>IF(Table9[[#This Row],[Vmin (%)]]&lt;$BA$14, 0, IF(Table9[[#This Row],[Vmin (%)]]&lt;$BA$12, 4, IF(Table9[[#This Row],[Vmin (%)]]&lt;$BA$9, 3, IF(Table9[[#This Row],[Vmin (%)]]&lt;$BA$7, 2, 0))))</f>
        <v>0</v>
      </c>
      <c r="AN21" s="20">
        <f>IF(Table9[[#This Row],[Vmin (%)]]&lt;$BA$13, 0, IF(Table9[[#This Row],[Vmin (%)]]&lt;$BA$11, 4, IF(Table9[[#This Row],[Vmin (%)]]&lt;$BA$10, 3, IF(Table9[[#This Row],[Vmin (%)]]&lt;$BA$8, 2, 0))))</f>
        <v>0</v>
      </c>
      <c r="AO21" s="76" t="str">
        <f>IF(Table9[[#This Row],[Vmin (%)]]&lt;$BA$14, "Hot", IF(Table9[[#This Row],[Vmin (%)]]&lt;$BA$12, "Warm", IF(Table9[[#This Row],[Vmin (%)]]&lt;$BA$9, "Normal", IF(Table9[[#This Row],[Vmin (%)]]&lt;$BA$7, "Cool", "Cold"))))</f>
        <v>Hot</v>
      </c>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c r="BU21" s="19"/>
      <c r="BV21" s="19"/>
      <c r="BW21" s="19"/>
      <c r="BX21" s="19"/>
      <c r="BY21" s="19"/>
      <c r="BZ21" s="19"/>
      <c r="CA21" s="19"/>
      <c r="CB21" s="19"/>
      <c r="CC21" s="19"/>
      <c r="CD21" s="19"/>
      <c r="CE21" s="19"/>
      <c r="CF21" s="19"/>
      <c r="CG21" s="19"/>
      <c r="CH21" s="19"/>
      <c r="CI21" s="19"/>
      <c r="CJ21" s="19"/>
      <c r="CK21" s="19"/>
      <c r="CL21" s="19"/>
      <c r="CM21" s="19"/>
      <c r="CN21" s="19"/>
      <c r="CO21" s="19"/>
      <c r="CP21" s="19"/>
      <c r="CQ21" s="19"/>
      <c r="CR21" s="19"/>
      <c r="CS21" s="19"/>
      <c r="CT21" s="19"/>
      <c r="CU21" s="19"/>
      <c r="CV21" s="19"/>
      <c r="CW21" s="19"/>
      <c r="CX21" s="19"/>
      <c r="CY21" s="19"/>
      <c r="CZ21" s="19"/>
      <c r="DA21" s="19"/>
      <c r="DB21" s="19"/>
      <c r="DC21" s="19"/>
      <c r="DD21" s="19"/>
      <c r="DE21" s="19"/>
      <c r="DF21" s="19"/>
      <c r="DG21" s="19"/>
      <c r="DH21" s="19"/>
      <c r="DI21" s="19"/>
      <c r="DJ21" s="19"/>
      <c r="DK21" s="19"/>
      <c r="DL21" s="19"/>
      <c r="DM21" s="19"/>
      <c r="DN21" s="19"/>
      <c r="DO21" s="19"/>
      <c r="DP21" s="19"/>
      <c r="DQ21" s="19"/>
      <c r="DR21" s="19"/>
      <c r="DS21" s="19"/>
      <c r="DT21" s="19"/>
      <c r="DU21" s="19"/>
      <c r="DV21" s="19"/>
      <c r="DW21" s="19"/>
      <c r="DX21" s="19"/>
      <c r="DY21" s="19"/>
      <c r="DZ21" s="19"/>
      <c r="EA21" s="19"/>
      <c r="EB21" s="19"/>
      <c r="EC21" s="19"/>
      <c r="ED21" s="19"/>
      <c r="EE21" s="19"/>
      <c r="EF21" s="19"/>
      <c r="EG21" s="19"/>
      <c r="EH21" s="19"/>
      <c r="EI21" s="19"/>
      <c r="EJ21" s="19"/>
      <c r="EK21" s="19"/>
      <c r="EL21" s="19"/>
      <c r="EM21" s="19"/>
      <c r="EN21" s="19"/>
      <c r="EO21" s="19"/>
      <c r="EP21" s="19"/>
      <c r="EQ21" s="19"/>
      <c r="ER21" s="19"/>
      <c r="ES21" s="19"/>
      <c r="ET21" s="19"/>
      <c r="EU21" s="19"/>
      <c r="EV21" s="19"/>
      <c r="EW21" s="19"/>
      <c r="EX21" s="19"/>
      <c r="EY21" s="19"/>
      <c r="EZ21" s="19"/>
      <c r="FA21" s="19"/>
      <c r="FB21" s="19"/>
      <c r="FC21" s="19"/>
      <c r="FD21" s="19"/>
      <c r="FE21" s="19"/>
      <c r="FF21" s="19"/>
      <c r="FG21" s="19"/>
      <c r="FH21" s="19"/>
      <c r="FI21" s="19"/>
      <c r="FJ21" s="19"/>
      <c r="FK21" s="19"/>
      <c r="FL21" s="19"/>
      <c r="FM21" s="19"/>
      <c r="FN21" s="19"/>
      <c r="FO21" s="19"/>
      <c r="FP21" s="19"/>
      <c r="FQ21" s="19"/>
      <c r="FR21" s="19"/>
      <c r="FS21" s="19"/>
      <c r="FT21" s="19"/>
      <c r="FU21" s="19"/>
      <c r="FV21" s="19"/>
      <c r="FW21" s="19"/>
      <c r="FX21" s="19"/>
      <c r="FY21" s="19"/>
      <c r="FZ21" s="19"/>
      <c r="GA21" s="19"/>
      <c r="GB21" s="19"/>
      <c r="GC21" s="19"/>
      <c r="GD21" s="19"/>
      <c r="GE21" s="19"/>
      <c r="GF21" s="19"/>
      <c r="GG21" s="19"/>
      <c r="GH21" s="19"/>
      <c r="GI21" s="19"/>
      <c r="GJ21" s="19"/>
      <c r="GK21" s="19"/>
      <c r="GL21" s="19"/>
      <c r="GM21" s="19"/>
      <c r="GN21" s="19"/>
      <c r="GO21" s="19"/>
      <c r="GP21" s="19"/>
      <c r="GQ21" s="19"/>
      <c r="GR21" s="19"/>
      <c r="GS21" s="19"/>
      <c r="GT21" s="19"/>
      <c r="GU21" s="19"/>
      <c r="GV21" s="19"/>
      <c r="GW21" s="19"/>
      <c r="GX21" s="19"/>
      <c r="GY21" s="19"/>
      <c r="GZ21" s="19"/>
      <c r="HA21" s="19"/>
      <c r="HB21" s="19"/>
    </row>
    <row r="22" spans="1:210" hidden="1" x14ac:dyDescent="0.25">
      <c r="A22" s="113">
        <f t="shared" ref="A22:A85" si="5">A21-1</f>
        <v>108</v>
      </c>
      <c r="B22" s="163"/>
      <c r="C22" s="172" t="str">
        <f t="shared" si="0"/>
        <v>RTH at 108 °C</v>
      </c>
      <c r="D22" s="196">
        <f>$D$20-(ROW(D22)-ROW($D$20))*($D$20-$D$105)/(ROW($D$105)-ROW($D$20))</f>
        <v>3.4411764705882355</v>
      </c>
      <c r="E22" s="197">
        <v>0</v>
      </c>
      <c r="F22" s="198">
        <v>0</v>
      </c>
      <c r="G22" s="199">
        <v>0</v>
      </c>
      <c r="H22" s="128" t="s">
        <v>18</v>
      </c>
      <c r="I22" s="29"/>
      <c r="J22" s="29">
        <v>0.82420000000000004</v>
      </c>
      <c r="K22" s="29">
        <v>0.79559999999999997</v>
      </c>
      <c r="L22" s="29">
        <v>0.76790000000000003</v>
      </c>
      <c r="M22" s="29"/>
      <c r="N22" s="29"/>
      <c r="O22" s="29"/>
      <c r="P22" s="29"/>
      <c r="Q22" s="29"/>
      <c r="R22" s="29"/>
      <c r="S22" s="29"/>
      <c r="T22" s="29"/>
      <c r="U22" s="29"/>
      <c r="V22" s="29"/>
      <c r="W22" s="29"/>
      <c r="X22" s="29"/>
      <c r="Y22" s="30"/>
      <c r="Z22" s="18"/>
      <c r="AA22" s="19"/>
      <c r="AB22" s="19"/>
      <c r="AC22" s="20">
        <f t="shared" si="1"/>
        <v>108</v>
      </c>
      <c r="AD22" s="20">
        <f t="shared" si="2"/>
        <v>0</v>
      </c>
      <c r="AE22" s="20">
        <f t="shared" si="3"/>
        <v>0</v>
      </c>
      <c r="AF22" s="20">
        <f t="shared" si="4"/>
        <v>0</v>
      </c>
      <c r="AG22" s="20">
        <f>Table9[[#This Row],[RTH(min) (kΩ)]]*RT2_TH_MIN/(RT2_TH_MIN+Table9[[#This Row],[RTH(min) (kΩ)]])</f>
        <v>0</v>
      </c>
      <c r="AH22" s="20">
        <f>Table9[[#This Row],[RTH(nom) (kΩ)]]*RT2_TH_S/(RT2_TH_S+Table9[[#This Row],[RTH(nom) (kΩ)]])</f>
        <v>0</v>
      </c>
      <c r="AI22" s="20">
        <f>Table9[[#This Row],[RTH(max) (kΩ)]]*RT2_TH_S_MAX/(RT2_TH_S_MAX+Table9[[#This Row],[RTH(max) (kΩ)]])</f>
        <v>0</v>
      </c>
      <c r="AJ22" s="20">
        <f>Table9[[#This Row],[RLower(min) (kΩ)]]/(Table9[[#This Row],[RLower(min) (kΩ)]]+RT1_TH_S_MAX)*100</f>
        <v>0</v>
      </c>
      <c r="AK22" s="20">
        <f>Table9[[#This Row],[RLower(nom) (kΩ)]]/(Table9[[#This Row],[RLower(nom) (kΩ)]]+RT1_TH_S)*100</f>
        <v>0</v>
      </c>
      <c r="AL22" s="20">
        <f>Table9[[#This Row],[RLower(max) (kΩ)]]/(Table9[[#This Row],[RLower(max) (kΩ)]]+RT1_TH_S_MIN)*100</f>
        <v>0</v>
      </c>
      <c r="AM22" s="20">
        <f>IF(Table9[[#This Row],[Vmin (%)]]&lt;$BA$14, 0, IF(Table9[[#This Row],[Vmin (%)]]&lt;$BA$12, 4, IF(Table9[[#This Row],[Vmin (%)]]&lt;$BA$9, 3, IF(Table9[[#This Row],[Vmin (%)]]&lt;$BA$7, 2, 0))))</f>
        <v>0</v>
      </c>
      <c r="AN22" s="20">
        <f>IF(Table9[[#This Row],[Vmin (%)]]&lt;$BA$13, 0, IF(Table9[[#This Row],[Vmin (%)]]&lt;$BA$11, 4, IF(Table9[[#This Row],[Vmin (%)]]&lt;$BA$10, 3, IF(Table9[[#This Row],[Vmin (%)]]&lt;$BA$8, 2, 0))))</f>
        <v>0</v>
      </c>
      <c r="AO22" s="76" t="str">
        <f>IF(Table9[[#This Row],[Vmin (%)]]&lt;$BA$14, "Hot", IF(Table9[[#This Row],[Vmin (%)]]&lt;$BA$12, "Warm", IF(Table9[[#This Row],[Vmin (%)]]&lt;$BA$9, "Normal", IF(Table9[[#This Row],[Vmin (%)]]&lt;$BA$7, "Cool", "Cold"))))</f>
        <v>Hot</v>
      </c>
      <c r="AP22" s="19"/>
      <c r="AQ22" s="19"/>
      <c r="AR22" s="19"/>
      <c r="AS22" s="19"/>
      <c r="AT22" s="19"/>
      <c r="AU22" s="19"/>
      <c r="AV22" s="19"/>
      <c r="AW22" s="19"/>
      <c r="AX22" s="19"/>
      <c r="AY22" s="19"/>
      <c r="AZ22" s="19"/>
      <c r="BA22" s="19"/>
      <c r="BB22" s="19"/>
      <c r="BC22" s="19"/>
      <c r="BD22" s="19"/>
      <c r="BE22" s="19"/>
      <c r="BF22" s="19"/>
      <c r="BG22" s="19"/>
      <c r="BH22" s="19"/>
      <c r="BI22" s="19"/>
      <c r="BJ22" s="19"/>
      <c r="BK22" s="19"/>
      <c r="BL22" s="19"/>
      <c r="BM22" s="19"/>
      <c r="BN22" s="19"/>
      <c r="BO22" s="19"/>
      <c r="BP22" s="19"/>
      <c r="BQ22" s="19"/>
      <c r="BR22" s="19"/>
      <c r="BS22" s="19"/>
      <c r="BT22" s="19"/>
      <c r="BU22" s="19"/>
      <c r="BV22" s="19"/>
      <c r="BW22" s="19"/>
      <c r="BX22" s="19"/>
      <c r="BY22" s="19"/>
      <c r="BZ22" s="19"/>
      <c r="CA22" s="19"/>
      <c r="CB22" s="19"/>
      <c r="CC22" s="19"/>
      <c r="CD22" s="19"/>
      <c r="CE22" s="19"/>
      <c r="CF22" s="19"/>
      <c r="CG22" s="19"/>
      <c r="CH22" s="19"/>
      <c r="CI22" s="19"/>
      <c r="CJ22" s="19"/>
      <c r="CK22" s="19"/>
      <c r="CL22" s="19"/>
      <c r="CM22" s="19"/>
      <c r="CN22" s="19"/>
      <c r="CO22" s="19"/>
      <c r="CP22" s="19"/>
      <c r="CQ22" s="19"/>
      <c r="CR22" s="19"/>
      <c r="CS22" s="19"/>
      <c r="CT22" s="19"/>
      <c r="CU22" s="19"/>
      <c r="CV22" s="19"/>
      <c r="CW22" s="19"/>
      <c r="CX22" s="19"/>
      <c r="CY22" s="19"/>
      <c r="CZ22" s="19"/>
      <c r="DA22" s="19"/>
      <c r="DB22" s="19"/>
      <c r="DC22" s="19"/>
      <c r="DD22" s="19"/>
      <c r="DE22" s="19"/>
      <c r="DF22" s="19"/>
      <c r="DG22" s="19"/>
      <c r="DH22" s="19"/>
      <c r="DI22" s="19"/>
      <c r="DJ22" s="19"/>
      <c r="DK22" s="19"/>
      <c r="DL22" s="19"/>
      <c r="DM22" s="19"/>
      <c r="DN22" s="19"/>
      <c r="DO22" s="19"/>
      <c r="DP22" s="19"/>
      <c r="DQ22" s="19"/>
      <c r="DR22" s="19"/>
      <c r="DS22" s="19"/>
      <c r="DT22" s="19"/>
      <c r="DU22" s="19"/>
      <c r="DV22" s="19"/>
      <c r="DW22" s="19"/>
      <c r="DX22" s="19"/>
      <c r="DY22" s="19"/>
      <c r="DZ22" s="19"/>
      <c r="EA22" s="19"/>
      <c r="EB22" s="19"/>
      <c r="EC22" s="19"/>
      <c r="ED22" s="19"/>
      <c r="EE22" s="19"/>
      <c r="EF22" s="19"/>
      <c r="EG22" s="19"/>
      <c r="EH22" s="19"/>
      <c r="EI22" s="19"/>
      <c r="EJ22" s="19"/>
      <c r="EK22" s="19"/>
      <c r="EL22" s="19"/>
      <c r="EM22" s="19"/>
      <c r="EN22" s="19"/>
      <c r="EO22" s="19"/>
      <c r="EP22" s="19"/>
      <c r="EQ22" s="19"/>
      <c r="ER22" s="19"/>
      <c r="ES22" s="19"/>
      <c r="ET22" s="19"/>
      <c r="EU22" s="19"/>
      <c r="EV22" s="19"/>
      <c r="EW22" s="19"/>
      <c r="EX22" s="19"/>
      <c r="EY22" s="19"/>
      <c r="EZ22" s="19"/>
      <c r="FA22" s="19"/>
      <c r="FB22" s="19"/>
      <c r="FC22" s="19"/>
      <c r="FD22" s="19"/>
      <c r="FE22" s="19"/>
      <c r="FF22" s="19"/>
      <c r="FG22" s="19"/>
      <c r="FH22" s="19"/>
      <c r="FI22" s="19"/>
      <c r="FJ22" s="19"/>
      <c r="FK22" s="19"/>
      <c r="FL22" s="19"/>
      <c r="FM22" s="19"/>
      <c r="FN22" s="19"/>
      <c r="FO22" s="19"/>
      <c r="FP22" s="19"/>
      <c r="FQ22" s="19"/>
      <c r="FR22" s="19"/>
      <c r="FS22" s="19"/>
      <c r="FT22" s="19"/>
      <c r="FU22" s="19"/>
      <c r="FV22" s="19"/>
      <c r="FW22" s="19"/>
      <c r="FX22" s="19"/>
      <c r="FY22" s="19"/>
      <c r="FZ22" s="19"/>
      <c r="GA22" s="19"/>
      <c r="GB22" s="19"/>
      <c r="GC22" s="19"/>
      <c r="GD22" s="19"/>
      <c r="GE22" s="19"/>
      <c r="GF22" s="19"/>
      <c r="GG22" s="19"/>
      <c r="GH22" s="19"/>
      <c r="GI22" s="19"/>
      <c r="GJ22" s="19"/>
      <c r="GK22" s="19"/>
      <c r="GL22" s="19"/>
      <c r="GM22" s="19"/>
      <c r="GN22" s="19"/>
      <c r="GO22" s="19"/>
      <c r="GP22" s="19"/>
      <c r="GQ22" s="19"/>
      <c r="GR22" s="19"/>
      <c r="GS22" s="19"/>
      <c r="GT22" s="19"/>
      <c r="GU22" s="19"/>
      <c r="GV22" s="19"/>
      <c r="GW22" s="19"/>
      <c r="GX22" s="19"/>
      <c r="GY22" s="19"/>
      <c r="GZ22" s="19"/>
      <c r="HA22" s="19"/>
      <c r="HB22" s="19"/>
    </row>
    <row r="23" spans="1:210" hidden="1" x14ac:dyDescent="0.25">
      <c r="A23" s="113">
        <f t="shared" si="5"/>
        <v>107</v>
      </c>
      <c r="B23" s="163"/>
      <c r="C23" s="172" t="str">
        <f t="shared" si="0"/>
        <v>RTH at 107 °C</v>
      </c>
      <c r="D23" s="196">
        <f t="shared" ref="D23:D85" si="6">$D$20-(ROW(D23)-ROW($D$20))*($D$20-$D$105)/(ROW($D$105)-ROW($D$20))</f>
        <v>3.4117647058823528</v>
      </c>
      <c r="E23" s="197">
        <v>0</v>
      </c>
      <c r="F23" s="198">
        <v>0</v>
      </c>
      <c r="G23" s="199">
        <v>0</v>
      </c>
      <c r="H23" s="128" t="s">
        <v>18</v>
      </c>
      <c r="I23" s="29"/>
      <c r="J23" s="29">
        <v>0.84460000000000002</v>
      </c>
      <c r="K23" s="29">
        <v>0.8155</v>
      </c>
      <c r="L23" s="29">
        <v>0.7873</v>
      </c>
      <c r="M23" s="29"/>
      <c r="N23" s="29"/>
      <c r="O23" s="29"/>
      <c r="P23" s="29"/>
      <c r="Q23" s="29"/>
      <c r="R23" s="29"/>
      <c r="S23" s="29"/>
      <c r="T23" s="29"/>
      <c r="U23" s="29"/>
      <c r="V23" s="29"/>
      <c r="W23" s="29"/>
      <c r="X23" s="29"/>
      <c r="Y23" s="30"/>
      <c r="Z23" s="18"/>
      <c r="AA23" s="19"/>
      <c r="AB23" s="19"/>
      <c r="AC23" s="20">
        <f t="shared" si="1"/>
        <v>107</v>
      </c>
      <c r="AD23" s="20">
        <f t="shared" si="2"/>
        <v>0</v>
      </c>
      <c r="AE23" s="20">
        <f t="shared" si="3"/>
        <v>0</v>
      </c>
      <c r="AF23" s="20">
        <f t="shared" si="4"/>
        <v>0</v>
      </c>
      <c r="AG23" s="20">
        <f>Table9[[#This Row],[RTH(min) (kΩ)]]*RT2_TH_MIN/(RT2_TH_MIN+Table9[[#This Row],[RTH(min) (kΩ)]])</f>
        <v>0</v>
      </c>
      <c r="AH23" s="20">
        <f>Table9[[#This Row],[RTH(nom) (kΩ)]]*RT2_TH_S/(RT2_TH_S+Table9[[#This Row],[RTH(nom) (kΩ)]])</f>
        <v>0</v>
      </c>
      <c r="AI23" s="20">
        <f>Table9[[#This Row],[RTH(max) (kΩ)]]*RT2_TH_S_MAX/(RT2_TH_S_MAX+Table9[[#This Row],[RTH(max) (kΩ)]])</f>
        <v>0</v>
      </c>
      <c r="AJ23" s="20">
        <f>Table9[[#This Row],[RLower(min) (kΩ)]]/(Table9[[#This Row],[RLower(min) (kΩ)]]+RT1_TH_S_MAX)*100</f>
        <v>0</v>
      </c>
      <c r="AK23" s="20">
        <f>Table9[[#This Row],[RLower(nom) (kΩ)]]/(Table9[[#This Row],[RLower(nom) (kΩ)]]+RT1_TH_S)*100</f>
        <v>0</v>
      </c>
      <c r="AL23" s="20">
        <f>Table9[[#This Row],[RLower(max) (kΩ)]]/(Table9[[#This Row],[RLower(max) (kΩ)]]+RT1_TH_S_MIN)*100</f>
        <v>0</v>
      </c>
      <c r="AM23" s="20">
        <f>IF(Table9[[#This Row],[Vmin (%)]]&lt;$BA$14, 0, IF(Table9[[#This Row],[Vmin (%)]]&lt;$BA$12, 4, IF(Table9[[#This Row],[Vmin (%)]]&lt;$BA$9, 3, IF(Table9[[#This Row],[Vmin (%)]]&lt;$BA$7, 2, 0))))</f>
        <v>0</v>
      </c>
      <c r="AN23" s="20">
        <f>IF(Table9[[#This Row],[Vmin (%)]]&lt;$BA$13, 0, IF(Table9[[#This Row],[Vmin (%)]]&lt;$BA$11, 4, IF(Table9[[#This Row],[Vmin (%)]]&lt;$BA$10, 3, IF(Table9[[#This Row],[Vmin (%)]]&lt;$BA$8, 2, 0))))</f>
        <v>0</v>
      </c>
      <c r="AO23" s="76" t="str">
        <f>IF(Table9[[#This Row],[Vmin (%)]]&lt;$BA$14, "Hot", IF(Table9[[#This Row],[Vmin (%)]]&lt;$BA$12, "Warm", IF(Table9[[#This Row],[Vmin (%)]]&lt;$BA$9, "Normal", IF(Table9[[#This Row],[Vmin (%)]]&lt;$BA$7, "Cool", "Cold"))))</f>
        <v>Hot</v>
      </c>
      <c r="AP23" s="19"/>
      <c r="AQ23" s="19"/>
      <c r="AR23" s="19"/>
      <c r="AS23" s="19"/>
      <c r="AT23" s="19"/>
      <c r="AU23" s="19"/>
      <c r="AV23" s="19"/>
      <c r="AW23" s="19"/>
      <c r="AX23" s="19"/>
      <c r="AY23" s="19"/>
      <c r="AZ23" s="19"/>
      <c r="BA23" s="19"/>
      <c r="BB23" s="19"/>
      <c r="BC23" s="19"/>
      <c r="BD23" s="19"/>
      <c r="BE23" s="19"/>
      <c r="BF23" s="19"/>
      <c r="BG23" s="19"/>
      <c r="BH23" s="19"/>
      <c r="BI23" s="19"/>
      <c r="BJ23" s="19"/>
      <c r="BK23" s="19"/>
      <c r="BL23" s="19"/>
      <c r="BM23" s="19"/>
      <c r="BN23" s="19"/>
      <c r="BO23" s="19"/>
      <c r="BP23" s="19"/>
      <c r="BQ23" s="19"/>
      <c r="BR23" s="19"/>
      <c r="BS23" s="19"/>
      <c r="BT23" s="19"/>
      <c r="BU23" s="19"/>
      <c r="BV23" s="19"/>
      <c r="BW23" s="19"/>
      <c r="BX23" s="19"/>
      <c r="BY23" s="19"/>
      <c r="BZ23" s="19"/>
      <c r="CA23" s="19"/>
      <c r="CB23" s="19"/>
      <c r="CC23" s="19"/>
      <c r="CD23" s="19"/>
      <c r="CE23" s="19"/>
      <c r="CF23" s="19"/>
      <c r="CG23" s="19"/>
      <c r="CH23" s="19"/>
      <c r="CI23" s="19"/>
      <c r="CJ23" s="19"/>
      <c r="CK23" s="19"/>
      <c r="CL23" s="19"/>
      <c r="CM23" s="19"/>
      <c r="CN23" s="19"/>
      <c r="CO23" s="19"/>
      <c r="CP23" s="19"/>
      <c r="CQ23" s="19"/>
      <c r="CR23" s="19"/>
      <c r="CS23" s="19"/>
      <c r="CT23" s="19"/>
      <c r="CU23" s="19"/>
      <c r="CV23" s="19"/>
      <c r="CW23" s="19"/>
      <c r="CX23" s="19"/>
      <c r="CY23" s="19"/>
      <c r="CZ23" s="19"/>
      <c r="DA23" s="19"/>
      <c r="DB23" s="19"/>
      <c r="DC23" s="19"/>
      <c r="DD23" s="19"/>
      <c r="DE23" s="19"/>
      <c r="DF23" s="19"/>
      <c r="DG23" s="19"/>
      <c r="DH23" s="19"/>
      <c r="DI23" s="19"/>
      <c r="DJ23" s="19"/>
      <c r="DK23" s="19"/>
      <c r="DL23" s="19"/>
      <c r="DM23" s="19"/>
      <c r="DN23" s="19"/>
      <c r="DO23" s="19"/>
      <c r="DP23" s="19"/>
      <c r="DQ23" s="19"/>
      <c r="DR23" s="19"/>
      <c r="DS23" s="19"/>
      <c r="DT23" s="19"/>
      <c r="DU23" s="19"/>
      <c r="DV23" s="19"/>
      <c r="DW23" s="19"/>
      <c r="DX23" s="19"/>
      <c r="DY23" s="19"/>
      <c r="DZ23" s="19"/>
      <c r="EA23" s="19"/>
      <c r="EB23" s="19"/>
      <c r="EC23" s="19"/>
      <c r="ED23" s="19"/>
      <c r="EE23" s="19"/>
      <c r="EF23" s="19"/>
      <c r="EG23" s="19"/>
      <c r="EH23" s="19"/>
      <c r="EI23" s="19"/>
      <c r="EJ23" s="19"/>
      <c r="EK23" s="19"/>
      <c r="EL23" s="19"/>
      <c r="EM23" s="19"/>
      <c r="EN23" s="19"/>
      <c r="EO23" s="19"/>
      <c r="EP23" s="19"/>
      <c r="EQ23" s="19"/>
      <c r="ER23" s="19"/>
      <c r="ES23" s="19"/>
      <c r="ET23" s="19"/>
      <c r="EU23" s="19"/>
      <c r="EV23" s="19"/>
      <c r="EW23" s="19"/>
      <c r="EX23" s="19"/>
      <c r="EY23" s="19"/>
      <c r="EZ23" s="19"/>
      <c r="FA23" s="19"/>
      <c r="FB23" s="19"/>
      <c r="FC23" s="19"/>
      <c r="FD23" s="19"/>
      <c r="FE23" s="19"/>
      <c r="FF23" s="19"/>
      <c r="FG23" s="19"/>
      <c r="FH23" s="19"/>
      <c r="FI23" s="19"/>
      <c r="FJ23" s="19"/>
      <c r="FK23" s="19"/>
      <c r="FL23" s="19"/>
      <c r="FM23" s="19"/>
      <c r="FN23" s="19"/>
      <c r="FO23" s="19"/>
      <c r="FP23" s="19"/>
      <c r="FQ23" s="19"/>
      <c r="FR23" s="19"/>
      <c r="FS23" s="19"/>
      <c r="FT23" s="19"/>
      <c r="FU23" s="19"/>
      <c r="FV23" s="19"/>
      <c r="FW23" s="19"/>
      <c r="FX23" s="19"/>
      <c r="FY23" s="19"/>
      <c r="FZ23" s="19"/>
      <c r="GA23" s="19"/>
      <c r="GB23" s="19"/>
      <c r="GC23" s="19"/>
      <c r="GD23" s="19"/>
      <c r="GE23" s="19"/>
      <c r="GF23" s="19"/>
      <c r="GG23" s="19"/>
      <c r="GH23" s="19"/>
      <c r="GI23" s="19"/>
      <c r="GJ23" s="19"/>
      <c r="GK23" s="19"/>
      <c r="GL23" s="19"/>
      <c r="GM23" s="19"/>
      <c r="GN23" s="19"/>
      <c r="GO23" s="19"/>
      <c r="GP23" s="19"/>
      <c r="GQ23" s="19"/>
      <c r="GR23" s="19"/>
      <c r="GS23" s="19"/>
      <c r="GT23" s="19"/>
      <c r="GU23" s="19"/>
      <c r="GV23" s="19"/>
      <c r="GW23" s="19"/>
      <c r="GX23" s="19"/>
      <c r="GY23" s="19"/>
      <c r="GZ23" s="19"/>
      <c r="HA23" s="19"/>
      <c r="HB23" s="19"/>
    </row>
    <row r="24" spans="1:210" hidden="1" x14ac:dyDescent="0.25">
      <c r="A24" s="113">
        <f t="shared" si="5"/>
        <v>106</v>
      </c>
      <c r="B24" s="163"/>
      <c r="C24" s="172" t="str">
        <f t="shared" si="0"/>
        <v>RTH at 106 °C</v>
      </c>
      <c r="D24" s="196">
        <f t="shared" si="6"/>
        <v>3.3823529411764706</v>
      </c>
      <c r="E24" s="197">
        <v>0</v>
      </c>
      <c r="F24" s="198">
        <v>0</v>
      </c>
      <c r="G24" s="199">
        <v>0</v>
      </c>
      <c r="H24" s="128" t="s">
        <v>18</v>
      </c>
      <c r="I24" s="29"/>
      <c r="J24" s="29">
        <v>0.86560000000000004</v>
      </c>
      <c r="K24" s="29">
        <v>0.83599999999999997</v>
      </c>
      <c r="L24" s="29">
        <v>0.80730000000000002</v>
      </c>
      <c r="M24" s="29"/>
      <c r="N24" s="29"/>
      <c r="O24" s="29"/>
      <c r="P24" s="29"/>
      <c r="Q24" s="29"/>
      <c r="R24" s="29"/>
      <c r="S24" s="29"/>
      <c r="T24" s="29"/>
      <c r="U24" s="29"/>
      <c r="V24" s="29"/>
      <c r="W24" s="29"/>
      <c r="X24" s="29"/>
      <c r="Y24" s="30"/>
      <c r="Z24" s="18"/>
      <c r="AA24" s="19"/>
      <c r="AB24" s="19"/>
      <c r="AC24" s="20">
        <f t="shared" si="1"/>
        <v>106</v>
      </c>
      <c r="AD24" s="20">
        <f t="shared" si="2"/>
        <v>0</v>
      </c>
      <c r="AE24" s="20">
        <f t="shared" si="3"/>
        <v>0</v>
      </c>
      <c r="AF24" s="20">
        <f t="shared" si="4"/>
        <v>0</v>
      </c>
      <c r="AG24" s="20">
        <f>Table9[[#This Row],[RTH(min) (kΩ)]]*RT2_TH_MIN/(RT2_TH_MIN+Table9[[#This Row],[RTH(min) (kΩ)]])</f>
        <v>0</v>
      </c>
      <c r="AH24" s="20">
        <f>Table9[[#This Row],[RTH(nom) (kΩ)]]*RT2_TH_S/(RT2_TH_S+Table9[[#This Row],[RTH(nom) (kΩ)]])</f>
        <v>0</v>
      </c>
      <c r="AI24" s="20">
        <f>Table9[[#This Row],[RTH(max) (kΩ)]]*RT2_TH_S_MAX/(RT2_TH_S_MAX+Table9[[#This Row],[RTH(max) (kΩ)]])</f>
        <v>0</v>
      </c>
      <c r="AJ24" s="20">
        <f>Table9[[#This Row],[RLower(min) (kΩ)]]/(Table9[[#This Row],[RLower(min) (kΩ)]]+RT1_TH_S_MAX)*100</f>
        <v>0</v>
      </c>
      <c r="AK24" s="20">
        <f>Table9[[#This Row],[RLower(nom) (kΩ)]]/(Table9[[#This Row],[RLower(nom) (kΩ)]]+RT1_TH_S)*100</f>
        <v>0</v>
      </c>
      <c r="AL24" s="20">
        <f>Table9[[#This Row],[RLower(max) (kΩ)]]/(Table9[[#This Row],[RLower(max) (kΩ)]]+RT1_TH_S_MIN)*100</f>
        <v>0</v>
      </c>
      <c r="AM24" s="20">
        <f>IF(Table9[[#This Row],[Vmin (%)]]&lt;$BA$14, 0, IF(Table9[[#This Row],[Vmin (%)]]&lt;$BA$12, 4, IF(Table9[[#This Row],[Vmin (%)]]&lt;$BA$9, 3, IF(Table9[[#This Row],[Vmin (%)]]&lt;$BA$7, 2, 0))))</f>
        <v>0</v>
      </c>
      <c r="AN24" s="20">
        <f>IF(Table9[[#This Row],[Vmin (%)]]&lt;$BA$13, 0, IF(Table9[[#This Row],[Vmin (%)]]&lt;$BA$11, 4, IF(Table9[[#This Row],[Vmin (%)]]&lt;$BA$10, 3, IF(Table9[[#This Row],[Vmin (%)]]&lt;$BA$8, 2, 0))))</f>
        <v>0</v>
      </c>
      <c r="AO24" s="76" t="str">
        <f>IF(Table9[[#This Row],[Vmin (%)]]&lt;$BA$14, "Hot", IF(Table9[[#This Row],[Vmin (%)]]&lt;$BA$12, "Warm", IF(Table9[[#This Row],[Vmin (%)]]&lt;$BA$9, "Normal", IF(Table9[[#This Row],[Vmin (%)]]&lt;$BA$7, "Cool", "Cold"))))</f>
        <v>Hot</v>
      </c>
      <c r="AP24" s="19"/>
      <c r="AQ24" s="19"/>
      <c r="AR24" s="19"/>
      <c r="AS24" s="19"/>
      <c r="AT24" s="19"/>
      <c r="AU24" s="19"/>
      <c r="AV24" s="19"/>
      <c r="AW24" s="19"/>
      <c r="AX24" s="19"/>
      <c r="AY24" s="19"/>
      <c r="AZ24" s="19"/>
      <c r="BA24" s="19"/>
      <c r="BB24" s="19"/>
      <c r="BC24" s="19"/>
      <c r="BD24" s="19"/>
      <c r="BE24" s="19"/>
      <c r="BF24" s="19"/>
      <c r="BG24" s="19"/>
      <c r="BH24" s="19"/>
      <c r="BI24" s="19"/>
      <c r="BJ24" s="19"/>
      <c r="BK24" s="19"/>
      <c r="BL24" s="19"/>
      <c r="BM24" s="19"/>
      <c r="BN24" s="19"/>
      <c r="BO24" s="19"/>
      <c r="BP24" s="19"/>
      <c r="BQ24" s="19"/>
      <c r="BR24" s="19"/>
      <c r="BS24" s="19"/>
      <c r="BT24" s="19"/>
      <c r="BU24" s="19"/>
      <c r="BV24" s="19"/>
      <c r="BW24" s="19"/>
      <c r="BX24" s="19"/>
      <c r="BY24" s="19"/>
      <c r="BZ24" s="19"/>
      <c r="CA24" s="19"/>
      <c r="CB24" s="19"/>
      <c r="CC24" s="19"/>
      <c r="CD24" s="19"/>
      <c r="CE24" s="19"/>
      <c r="CF24" s="19"/>
      <c r="CG24" s="19"/>
      <c r="CH24" s="19"/>
      <c r="CI24" s="19"/>
      <c r="CJ24" s="19"/>
      <c r="CK24" s="19"/>
      <c r="CL24" s="19"/>
      <c r="CM24" s="19"/>
      <c r="CN24" s="19"/>
      <c r="CO24" s="19"/>
      <c r="CP24" s="19"/>
      <c r="CQ24" s="19"/>
      <c r="CR24" s="19"/>
      <c r="CS24" s="19"/>
      <c r="CT24" s="19"/>
      <c r="CU24" s="19"/>
      <c r="CV24" s="19"/>
      <c r="CW24" s="19"/>
      <c r="CX24" s="19"/>
      <c r="CY24" s="19"/>
      <c r="CZ24" s="19"/>
      <c r="DA24" s="19"/>
      <c r="DB24" s="19"/>
      <c r="DC24" s="19"/>
      <c r="DD24" s="19"/>
      <c r="DE24" s="19"/>
      <c r="DF24" s="19"/>
      <c r="DG24" s="19"/>
      <c r="DH24" s="19"/>
      <c r="DI24" s="19"/>
      <c r="DJ24" s="19"/>
      <c r="DK24" s="19"/>
      <c r="DL24" s="19"/>
      <c r="DM24" s="19"/>
      <c r="DN24" s="19"/>
      <c r="DO24" s="19"/>
      <c r="DP24" s="19"/>
      <c r="DQ24" s="19"/>
      <c r="DR24" s="19"/>
      <c r="DS24" s="19"/>
      <c r="DT24" s="19"/>
      <c r="DU24" s="19"/>
      <c r="DV24" s="19"/>
      <c r="DW24" s="19"/>
      <c r="DX24" s="19"/>
      <c r="DY24" s="19"/>
      <c r="DZ24" s="19"/>
      <c r="EA24" s="19"/>
      <c r="EB24" s="19"/>
      <c r="EC24" s="19"/>
      <c r="ED24" s="19"/>
      <c r="EE24" s="19"/>
      <c r="EF24" s="19"/>
      <c r="EG24" s="19"/>
      <c r="EH24" s="19"/>
      <c r="EI24" s="19"/>
      <c r="EJ24" s="19"/>
      <c r="EK24" s="19"/>
      <c r="EL24" s="19"/>
      <c r="EM24" s="19"/>
      <c r="EN24" s="19"/>
      <c r="EO24" s="19"/>
      <c r="EP24" s="19"/>
      <c r="EQ24" s="19"/>
      <c r="ER24" s="19"/>
      <c r="ES24" s="19"/>
      <c r="ET24" s="19"/>
      <c r="EU24" s="19"/>
      <c r="EV24" s="19"/>
      <c r="EW24" s="19"/>
      <c r="EX24" s="19"/>
      <c r="EY24" s="19"/>
      <c r="EZ24" s="19"/>
      <c r="FA24" s="19"/>
      <c r="FB24" s="19"/>
      <c r="FC24" s="19"/>
      <c r="FD24" s="19"/>
      <c r="FE24" s="19"/>
      <c r="FF24" s="19"/>
      <c r="FG24" s="19"/>
      <c r="FH24" s="19"/>
      <c r="FI24" s="19"/>
      <c r="FJ24" s="19"/>
      <c r="FK24" s="19"/>
      <c r="FL24" s="19"/>
      <c r="FM24" s="19"/>
      <c r="FN24" s="19"/>
      <c r="FO24" s="19"/>
      <c r="FP24" s="19"/>
      <c r="FQ24" s="19"/>
      <c r="FR24" s="19"/>
      <c r="FS24" s="19"/>
      <c r="FT24" s="19"/>
      <c r="FU24" s="19"/>
      <c r="FV24" s="19"/>
      <c r="FW24" s="19"/>
      <c r="FX24" s="19"/>
      <c r="FY24" s="19"/>
      <c r="FZ24" s="19"/>
      <c r="GA24" s="19"/>
      <c r="GB24" s="19"/>
      <c r="GC24" s="19"/>
      <c r="GD24" s="19"/>
      <c r="GE24" s="19"/>
      <c r="GF24" s="19"/>
      <c r="GG24" s="19"/>
      <c r="GH24" s="19"/>
      <c r="GI24" s="19"/>
      <c r="GJ24" s="19"/>
      <c r="GK24" s="19"/>
      <c r="GL24" s="19"/>
      <c r="GM24" s="19"/>
      <c r="GN24" s="19"/>
      <c r="GO24" s="19"/>
      <c r="GP24" s="19"/>
      <c r="GQ24" s="19"/>
      <c r="GR24" s="19"/>
      <c r="GS24" s="19"/>
      <c r="GT24" s="19"/>
      <c r="GU24" s="19"/>
      <c r="GV24" s="19"/>
      <c r="GW24" s="19"/>
      <c r="GX24" s="19"/>
      <c r="GY24" s="19"/>
      <c r="GZ24" s="19"/>
      <c r="HA24" s="19"/>
      <c r="HB24" s="19"/>
    </row>
    <row r="25" spans="1:210" hidden="1" x14ac:dyDescent="0.25">
      <c r="A25" s="113">
        <f t="shared" si="5"/>
        <v>105</v>
      </c>
      <c r="B25" s="163"/>
      <c r="C25" s="172" t="str">
        <f t="shared" si="0"/>
        <v>RTH at 105 °C</v>
      </c>
      <c r="D25" s="196">
        <f t="shared" si="6"/>
        <v>3.3529411764705883</v>
      </c>
      <c r="E25" s="197">
        <v>0</v>
      </c>
      <c r="F25" s="198">
        <v>0</v>
      </c>
      <c r="G25" s="199">
        <v>0</v>
      </c>
      <c r="H25" s="128" t="s">
        <v>18</v>
      </c>
      <c r="I25" s="29"/>
      <c r="J25" s="29">
        <v>0.88729999999999998</v>
      </c>
      <c r="K25" s="29">
        <v>0.85719999999999996</v>
      </c>
      <c r="L25" s="29">
        <v>0.82789999999999997</v>
      </c>
      <c r="M25" s="29"/>
      <c r="N25" s="29"/>
      <c r="O25" s="29"/>
      <c r="P25" s="29"/>
      <c r="Q25" s="29"/>
      <c r="R25" s="29"/>
      <c r="S25" s="29"/>
      <c r="T25" s="29"/>
      <c r="U25" s="29"/>
      <c r="V25" s="29"/>
      <c r="W25" s="29"/>
      <c r="X25" s="29"/>
      <c r="Y25" s="30"/>
      <c r="Z25" s="18"/>
      <c r="AA25" s="19"/>
      <c r="AB25" s="19"/>
      <c r="AC25" s="20">
        <f t="shared" si="1"/>
        <v>105</v>
      </c>
      <c r="AD25" s="20">
        <f t="shared" si="2"/>
        <v>0</v>
      </c>
      <c r="AE25" s="20">
        <f t="shared" si="3"/>
        <v>0</v>
      </c>
      <c r="AF25" s="20">
        <f t="shared" si="4"/>
        <v>0</v>
      </c>
      <c r="AG25" s="20">
        <f>Table9[[#This Row],[RTH(min) (kΩ)]]*RT2_TH_MIN/(RT2_TH_MIN+Table9[[#This Row],[RTH(min) (kΩ)]])</f>
        <v>0</v>
      </c>
      <c r="AH25" s="20">
        <f>Table9[[#This Row],[RTH(nom) (kΩ)]]*RT2_TH_S/(RT2_TH_S+Table9[[#This Row],[RTH(nom) (kΩ)]])</f>
        <v>0</v>
      </c>
      <c r="AI25" s="20">
        <f>Table9[[#This Row],[RTH(max) (kΩ)]]*RT2_TH_S_MAX/(RT2_TH_S_MAX+Table9[[#This Row],[RTH(max) (kΩ)]])</f>
        <v>0</v>
      </c>
      <c r="AJ25" s="20">
        <f>Table9[[#This Row],[RLower(min) (kΩ)]]/(Table9[[#This Row],[RLower(min) (kΩ)]]+RT1_TH_S_MAX)*100</f>
        <v>0</v>
      </c>
      <c r="AK25" s="20">
        <f>Table9[[#This Row],[RLower(nom) (kΩ)]]/(Table9[[#This Row],[RLower(nom) (kΩ)]]+RT1_TH_S)*100</f>
        <v>0</v>
      </c>
      <c r="AL25" s="20">
        <f>Table9[[#This Row],[RLower(max) (kΩ)]]/(Table9[[#This Row],[RLower(max) (kΩ)]]+RT1_TH_S_MIN)*100</f>
        <v>0</v>
      </c>
      <c r="AM25" s="20">
        <f>IF(Table9[[#This Row],[Vmin (%)]]&lt;$BA$14, 0, IF(Table9[[#This Row],[Vmin (%)]]&lt;$BA$12, 4, IF(Table9[[#This Row],[Vmin (%)]]&lt;$BA$9, 3, IF(Table9[[#This Row],[Vmin (%)]]&lt;$BA$7, 2, 0))))</f>
        <v>0</v>
      </c>
      <c r="AN25" s="20">
        <f>IF(Table9[[#This Row],[Vmin (%)]]&lt;$BA$13, 0, IF(Table9[[#This Row],[Vmin (%)]]&lt;$BA$11, 4, IF(Table9[[#This Row],[Vmin (%)]]&lt;$BA$10, 3, IF(Table9[[#This Row],[Vmin (%)]]&lt;$BA$8, 2, 0))))</f>
        <v>0</v>
      </c>
      <c r="AO25" s="76" t="str">
        <f>IF(Table9[[#This Row],[Vmin (%)]]&lt;$BA$14, "Hot", IF(Table9[[#This Row],[Vmin (%)]]&lt;$BA$12, "Warm", IF(Table9[[#This Row],[Vmin (%)]]&lt;$BA$9, "Normal", IF(Table9[[#This Row],[Vmin (%)]]&lt;$BA$7, "Cool", "Cold"))))</f>
        <v>Hot</v>
      </c>
      <c r="AP25" s="19"/>
      <c r="AQ25" s="19"/>
      <c r="AR25" s="19"/>
      <c r="AS25" s="19"/>
      <c r="AT25" s="19"/>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c r="CJ25" s="19"/>
      <c r="CK25" s="19"/>
      <c r="CL25" s="19"/>
      <c r="CM25" s="19"/>
      <c r="CN25" s="19"/>
      <c r="CO25" s="19"/>
      <c r="CP25" s="19"/>
      <c r="CQ25" s="19"/>
      <c r="CR25" s="19"/>
      <c r="CS25" s="19"/>
      <c r="CT25" s="19"/>
      <c r="CU25" s="19"/>
      <c r="CV25" s="19"/>
      <c r="CW25" s="19"/>
      <c r="CX25" s="19"/>
      <c r="CY25" s="19"/>
      <c r="CZ25" s="19"/>
      <c r="DA25" s="19"/>
      <c r="DB25" s="19"/>
      <c r="DC25" s="19"/>
      <c r="DD25" s="19"/>
      <c r="DE25" s="19"/>
      <c r="DF25" s="19"/>
      <c r="DG25" s="19"/>
      <c r="DH25" s="19"/>
      <c r="DI25" s="19"/>
      <c r="DJ25" s="19"/>
      <c r="DK25" s="19"/>
      <c r="DL25" s="19"/>
      <c r="DM25" s="19"/>
      <c r="DN25" s="19"/>
      <c r="DO25" s="19"/>
      <c r="DP25" s="19"/>
      <c r="DQ25" s="19"/>
      <c r="DR25" s="19"/>
      <c r="DS25" s="19"/>
      <c r="DT25" s="19"/>
      <c r="DU25" s="19"/>
      <c r="DV25" s="19"/>
      <c r="DW25" s="19"/>
      <c r="DX25" s="19"/>
      <c r="DY25" s="19"/>
      <c r="DZ25" s="19"/>
      <c r="EA25" s="19"/>
      <c r="EB25" s="19"/>
      <c r="EC25" s="19"/>
      <c r="ED25" s="19"/>
      <c r="EE25" s="19"/>
      <c r="EF25" s="19"/>
      <c r="EG25" s="19"/>
      <c r="EH25" s="19"/>
      <c r="EI25" s="19"/>
      <c r="EJ25" s="19"/>
      <c r="EK25" s="19"/>
      <c r="EL25" s="19"/>
      <c r="EM25" s="19"/>
      <c r="EN25" s="19"/>
      <c r="EO25" s="19"/>
      <c r="EP25" s="19"/>
      <c r="EQ25" s="19"/>
      <c r="ER25" s="19"/>
      <c r="ES25" s="19"/>
      <c r="ET25" s="19"/>
      <c r="EU25" s="19"/>
      <c r="EV25" s="19"/>
      <c r="EW25" s="19"/>
      <c r="EX25" s="19"/>
      <c r="EY25" s="19"/>
      <c r="EZ25" s="19"/>
      <c r="FA25" s="19"/>
      <c r="FB25" s="19"/>
      <c r="FC25" s="19"/>
      <c r="FD25" s="19"/>
      <c r="FE25" s="19"/>
      <c r="FF25" s="19"/>
      <c r="FG25" s="19"/>
      <c r="FH25" s="19"/>
      <c r="FI25" s="19"/>
      <c r="FJ25" s="19"/>
      <c r="FK25" s="19"/>
      <c r="FL25" s="19"/>
      <c r="FM25" s="19"/>
      <c r="FN25" s="19"/>
      <c r="FO25" s="19"/>
      <c r="FP25" s="19"/>
      <c r="FQ25" s="19"/>
      <c r="FR25" s="19"/>
      <c r="FS25" s="19"/>
      <c r="FT25" s="19"/>
      <c r="FU25" s="19"/>
      <c r="FV25" s="19"/>
      <c r="FW25" s="19"/>
      <c r="FX25" s="19"/>
      <c r="FY25" s="19"/>
      <c r="FZ25" s="19"/>
      <c r="GA25" s="19"/>
      <c r="GB25" s="19"/>
      <c r="GC25" s="19"/>
      <c r="GD25" s="19"/>
      <c r="GE25" s="19"/>
      <c r="GF25" s="19"/>
      <c r="GG25" s="19"/>
      <c r="GH25" s="19"/>
      <c r="GI25" s="19"/>
      <c r="GJ25" s="19"/>
      <c r="GK25" s="19"/>
      <c r="GL25" s="19"/>
      <c r="GM25" s="19"/>
      <c r="GN25" s="19"/>
      <c r="GO25" s="19"/>
      <c r="GP25" s="19"/>
      <c r="GQ25" s="19"/>
      <c r="GR25" s="19"/>
      <c r="GS25" s="19"/>
      <c r="GT25" s="19"/>
      <c r="GU25" s="19"/>
      <c r="GV25" s="19"/>
      <c r="GW25" s="19"/>
      <c r="GX25" s="19"/>
      <c r="GY25" s="19"/>
      <c r="GZ25" s="19"/>
      <c r="HA25" s="19"/>
      <c r="HB25" s="19"/>
    </row>
    <row r="26" spans="1:210" hidden="1" x14ac:dyDescent="0.25">
      <c r="A26" s="113">
        <f t="shared" si="5"/>
        <v>104</v>
      </c>
      <c r="B26" s="163"/>
      <c r="C26" s="172" t="str">
        <f t="shared" si="0"/>
        <v>RTH at 104 °C</v>
      </c>
      <c r="D26" s="196">
        <f>$D$20-(ROW(D26)-ROW($D$20))*($D$20-$D$105)/(ROW($D$105)-ROW($D$20))</f>
        <v>3.3235294117647061</v>
      </c>
      <c r="E26" s="197">
        <v>0</v>
      </c>
      <c r="F26" s="198">
        <v>0</v>
      </c>
      <c r="G26" s="199">
        <v>0</v>
      </c>
      <c r="H26" s="128" t="s">
        <v>18</v>
      </c>
      <c r="I26" s="29"/>
      <c r="J26" s="29">
        <v>0.90959999999999996</v>
      </c>
      <c r="K26" s="29">
        <v>0.87890000000000001</v>
      </c>
      <c r="L26" s="29">
        <v>0.84919999999999995</v>
      </c>
      <c r="M26" s="29"/>
      <c r="N26" s="29"/>
      <c r="O26" s="29"/>
      <c r="P26" s="29"/>
      <c r="Q26" s="29"/>
      <c r="R26" s="29"/>
      <c r="S26" s="29"/>
      <c r="T26" s="29"/>
      <c r="U26" s="29"/>
      <c r="V26" s="29"/>
      <c r="W26" s="29"/>
      <c r="X26" s="29"/>
      <c r="Y26" s="30"/>
      <c r="Z26" s="18"/>
      <c r="AA26" s="19"/>
      <c r="AB26" s="19"/>
      <c r="AC26" s="20">
        <f t="shared" si="1"/>
        <v>104</v>
      </c>
      <c r="AD26" s="20">
        <f t="shared" si="2"/>
        <v>0</v>
      </c>
      <c r="AE26" s="20">
        <f t="shared" si="3"/>
        <v>0</v>
      </c>
      <c r="AF26" s="20">
        <f t="shared" si="4"/>
        <v>0</v>
      </c>
      <c r="AG26" s="20">
        <f>Table9[[#This Row],[RTH(min) (kΩ)]]*RT2_TH_MIN/(RT2_TH_MIN+Table9[[#This Row],[RTH(min) (kΩ)]])</f>
        <v>0</v>
      </c>
      <c r="AH26" s="20">
        <f>Table9[[#This Row],[RTH(nom) (kΩ)]]*RT2_TH_S/(RT2_TH_S+Table9[[#This Row],[RTH(nom) (kΩ)]])</f>
        <v>0</v>
      </c>
      <c r="AI26" s="20">
        <f>Table9[[#This Row],[RTH(max) (kΩ)]]*RT2_TH_S_MAX/(RT2_TH_S_MAX+Table9[[#This Row],[RTH(max) (kΩ)]])</f>
        <v>0</v>
      </c>
      <c r="AJ26" s="20">
        <f>Table9[[#This Row],[RLower(min) (kΩ)]]/(Table9[[#This Row],[RLower(min) (kΩ)]]+RT1_TH_S_MAX)*100</f>
        <v>0</v>
      </c>
      <c r="AK26" s="20">
        <f>Table9[[#This Row],[RLower(nom) (kΩ)]]/(Table9[[#This Row],[RLower(nom) (kΩ)]]+RT1_TH_S)*100</f>
        <v>0</v>
      </c>
      <c r="AL26" s="20">
        <f>Table9[[#This Row],[RLower(max) (kΩ)]]/(Table9[[#This Row],[RLower(max) (kΩ)]]+RT1_TH_S_MIN)*100</f>
        <v>0</v>
      </c>
      <c r="AM26" s="20">
        <f>IF(Table9[[#This Row],[Vmin (%)]]&lt;$BA$14, 0, IF(Table9[[#This Row],[Vmin (%)]]&lt;$BA$12, 4, IF(Table9[[#This Row],[Vmin (%)]]&lt;$BA$9, 3, IF(Table9[[#This Row],[Vmin (%)]]&lt;$BA$7, 2, 0))))</f>
        <v>0</v>
      </c>
      <c r="AN26" s="20">
        <f>IF(Table9[[#This Row],[Vmin (%)]]&lt;$BA$13, 0, IF(Table9[[#This Row],[Vmin (%)]]&lt;$BA$11, 4, IF(Table9[[#This Row],[Vmin (%)]]&lt;$BA$10, 3, IF(Table9[[#This Row],[Vmin (%)]]&lt;$BA$8, 2, 0))))</f>
        <v>0</v>
      </c>
      <c r="AO26" s="76" t="str">
        <f>IF(Table9[[#This Row],[Vmin (%)]]&lt;$BA$14, "Hot", IF(Table9[[#This Row],[Vmin (%)]]&lt;$BA$12, "Warm", IF(Table9[[#This Row],[Vmin (%)]]&lt;$BA$9, "Normal", IF(Table9[[#This Row],[Vmin (%)]]&lt;$BA$7, "Cool", "Cold"))))</f>
        <v>Hot</v>
      </c>
      <c r="AP26" s="19"/>
      <c r="AQ26" s="19"/>
      <c r="AR26" s="19"/>
      <c r="AS26" s="19"/>
      <c r="AT26" s="19"/>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c r="CJ26" s="19"/>
      <c r="CK26" s="19"/>
      <c r="CL26" s="19"/>
      <c r="CM26" s="19"/>
      <c r="CN26" s="19"/>
      <c r="CO26" s="19"/>
      <c r="CP26" s="19"/>
      <c r="CQ26" s="19"/>
      <c r="CR26" s="19"/>
      <c r="CS26" s="19"/>
      <c r="CT26" s="19"/>
      <c r="CU26" s="19"/>
      <c r="CV26" s="19"/>
      <c r="CW26" s="19"/>
      <c r="CX26" s="19"/>
      <c r="CY26" s="19"/>
      <c r="CZ26" s="19"/>
      <c r="DA26" s="19"/>
      <c r="DB26" s="19"/>
      <c r="DC26" s="19"/>
      <c r="DD26" s="19"/>
      <c r="DE26" s="19"/>
      <c r="DF26" s="19"/>
      <c r="DG26" s="19"/>
      <c r="DH26" s="19"/>
      <c r="DI26" s="19"/>
      <c r="DJ26" s="19"/>
      <c r="DK26" s="19"/>
      <c r="DL26" s="19"/>
      <c r="DM26" s="19"/>
      <c r="DN26" s="19"/>
      <c r="DO26" s="19"/>
      <c r="DP26" s="19"/>
      <c r="DQ26" s="19"/>
      <c r="DR26" s="19"/>
      <c r="DS26" s="19"/>
      <c r="DT26" s="19"/>
      <c r="DU26" s="19"/>
      <c r="DV26" s="19"/>
      <c r="DW26" s="19"/>
      <c r="DX26" s="19"/>
      <c r="DY26" s="19"/>
      <c r="DZ26" s="19"/>
      <c r="EA26" s="19"/>
      <c r="EB26" s="19"/>
      <c r="EC26" s="19"/>
      <c r="ED26" s="19"/>
      <c r="EE26" s="19"/>
      <c r="EF26" s="19"/>
      <c r="EG26" s="19"/>
      <c r="EH26" s="19"/>
      <c r="EI26" s="19"/>
      <c r="EJ26" s="19"/>
      <c r="EK26" s="19"/>
      <c r="EL26" s="19"/>
      <c r="EM26" s="19"/>
      <c r="EN26" s="19"/>
      <c r="EO26" s="19"/>
      <c r="EP26" s="19"/>
      <c r="EQ26" s="19"/>
      <c r="ER26" s="19"/>
      <c r="ES26" s="19"/>
      <c r="ET26" s="19"/>
      <c r="EU26" s="19"/>
      <c r="EV26" s="19"/>
      <c r="EW26" s="19"/>
      <c r="EX26" s="19"/>
      <c r="EY26" s="19"/>
      <c r="EZ26" s="19"/>
      <c r="FA26" s="19"/>
      <c r="FB26" s="19"/>
      <c r="FC26" s="19"/>
      <c r="FD26" s="19"/>
      <c r="FE26" s="19"/>
      <c r="FF26" s="19"/>
      <c r="FG26" s="19"/>
      <c r="FH26" s="19"/>
      <c r="FI26" s="19"/>
      <c r="FJ26" s="19"/>
      <c r="FK26" s="19"/>
      <c r="FL26" s="19"/>
      <c r="FM26" s="19"/>
      <c r="FN26" s="19"/>
      <c r="FO26" s="19"/>
      <c r="FP26" s="19"/>
      <c r="FQ26" s="19"/>
      <c r="FR26" s="19"/>
      <c r="FS26" s="19"/>
      <c r="FT26" s="19"/>
      <c r="FU26" s="19"/>
      <c r="FV26" s="19"/>
      <c r="FW26" s="19"/>
      <c r="FX26" s="19"/>
      <c r="FY26" s="19"/>
      <c r="FZ26" s="19"/>
      <c r="GA26" s="19"/>
      <c r="GB26" s="19"/>
      <c r="GC26" s="19"/>
      <c r="GD26" s="19"/>
      <c r="GE26" s="19"/>
      <c r="GF26" s="19"/>
      <c r="GG26" s="19"/>
      <c r="GH26" s="19"/>
      <c r="GI26" s="19"/>
      <c r="GJ26" s="19"/>
      <c r="GK26" s="19"/>
      <c r="GL26" s="19"/>
      <c r="GM26" s="19"/>
      <c r="GN26" s="19"/>
      <c r="GO26" s="19"/>
      <c r="GP26" s="19"/>
      <c r="GQ26" s="19"/>
      <c r="GR26" s="19"/>
      <c r="GS26" s="19"/>
      <c r="GT26" s="19"/>
      <c r="GU26" s="19"/>
      <c r="GV26" s="19"/>
      <c r="GW26" s="19"/>
      <c r="GX26" s="19"/>
      <c r="GY26" s="19"/>
      <c r="GZ26" s="19"/>
      <c r="HA26" s="19"/>
      <c r="HB26" s="19"/>
    </row>
    <row r="27" spans="1:210" hidden="1" x14ac:dyDescent="0.25">
      <c r="A27" s="113">
        <f t="shared" si="5"/>
        <v>103</v>
      </c>
      <c r="B27" s="163"/>
      <c r="C27" s="172" t="str">
        <f t="shared" si="0"/>
        <v>RTH at 103 °C</v>
      </c>
      <c r="D27" s="196">
        <f t="shared" si="6"/>
        <v>3.2941176470588234</v>
      </c>
      <c r="E27" s="197">
        <v>0</v>
      </c>
      <c r="F27" s="198">
        <v>0</v>
      </c>
      <c r="G27" s="199">
        <v>0</v>
      </c>
      <c r="H27" s="128" t="s">
        <v>18</v>
      </c>
      <c r="I27" s="29"/>
      <c r="J27" s="29">
        <v>0.93259999999999998</v>
      </c>
      <c r="K27" s="29">
        <v>0.90139999999999998</v>
      </c>
      <c r="L27" s="29">
        <v>0.87109999999999999</v>
      </c>
      <c r="M27" s="29"/>
      <c r="N27" s="29"/>
      <c r="O27" s="29"/>
      <c r="P27" s="29"/>
      <c r="Q27" s="29"/>
      <c r="R27" s="29"/>
      <c r="S27" s="29"/>
      <c r="T27" s="29"/>
      <c r="U27" s="29"/>
      <c r="V27" s="29"/>
      <c r="W27" s="29"/>
      <c r="X27" s="29"/>
      <c r="Y27" s="30"/>
      <c r="Z27" s="18"/>
      <c r="AA27" s="19"/>
      <c r="AB27" s="19"/>
      <c r="AC27" s="20">
        <f t="shared" si="1"/>
        <v>103</v>
      </c>
      <c r="AD27" s="20">
        <f t="shared" si="2"/>
        <v>0</v>
      </c>
      <c r="AE27" s="20">
        <f t="shared" si="3"/>
        <v>0</v>
      </c>
      <c r="AF27" s="20">
        <f t="shared" si="4"/>
        <v>0</v>
      </c>
      <c r="AG27" s="20">
        <f>Table9[[#This Row],[RTH(min) (kΩ)]]*RT2_TH_MIN/(RT2_TH_MIN+Table9[[#This Row],[RTH(min) (kΩ)]])</f>
        <v>0</v>
      </c>
      <c r="AH27" s="20">
        <f>Table9[[#This Row],[RTH(nom) (kΩ)]]*RT2_TH_S/(RT2_TH_S+Table9[[#This Row],[RTH(nom) (kΩ)]])</f>
        <v>0</v>
      </c>
      <c r="AI27" s="20">
        <f>Table9[[#This Row],[RTH(max) (kΩ)]]*RT2_TH_S_MAX/(RT2_TH_S_MAX+Table9[[#This Row],[RTH(max) (kΩ)]])</f>
        <v>0</v>
      </c>
      <c r="AJ27" s="20">
        <f>Table9[[#This Row],[RLower(min) (kΩ)]]/(Table9[[#This Row],[RLower(min) (kΩ)]]+RT1_TH_S_MAX)*100</f>
        <v>0</v>
      </c>
      <c r="AK27" s="20">
        <f>Table9[[#This Row],[RLower(nom) (kΩ)]]/(Table9[[#This Row],[RLower(nom) (kΩ)]]+RT1_TH_S)*100</f>
        <v>0</v>
      </c>
      <c r="AL27" s="20">
        <f>Table9[[#This Row],[RLower(max) (kΩ)]]/(Table9[[#This Row],[RLower(max) (kΩ)]]+RT1_TH_S_MIN)*100</f>
        <v>0</v>
      </c>
      <c r="AM27" s="20">
        <f>IF(Table9[[#This Row],[Vmin (%)]]&lt;$BA$14, 0, IF(Table9[[#This Row],[Vmin (%)]]&lt;$BA$12, 4, IF(Table9[[#This Row],[Vmin (%)]]&lt;$BA$9, 3, IF(Table9[[#This Row],[Vmin (%)]]&lt;$BA$7, 2, 0))))</f>
        <v>0</v>
      </c>
      <c r="AN27" s="20">
        <f>IF(Table9[[#This Row],[Vmin (%)]]&lt;$BA$13, 0, IF(Table9[[#This Row],[Vmin (%)]]&lt;$BA$11, 4, IF(Table9[[#This Row],[Vmin (%)]]&lt;$BA$10, 3, IF(Table9[[#This Row],[Vmin (%)]]&lt;$BA$8, 2, 0))))</f>
        <v>0</v>
      </c>
      <c r="AO27" s="76" t="str">
        <f>IF(Table9[[#This Row],[Vmin (%)]]&lt;$BA$14, "Hot", IF(Table9[[#This Row],[Vmin (%)]]&lt;$BA$12, "Warm", IF(Table9[[#This Row],[Vmin (%)]]&lt;$BA$9, "Normal", IF(Table9[[#This Row],[Vmin (%)]]&lt;$BA$7, "Cool", "Cold"))))</f>
        <v>Hot</v>
      </c>
      <c r="AP27" s="19"/>
      <c r="AQ27" s="19"/>
      <c r="AR27" s="19"/>
      <c r="AS27" s="19"/>
      <c r="AT27" s="19"/>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c r="CJ27" s="19"/>
      <c r="CK27" s="19"/>
      <c r="CL27" s="19"/>
      <c r="CM27" s="19"/>
      <c r="CN27" s="19"/>
      <c r="CO27" s="19"/>
      <c r="CP27" s="19"/>
      <c r="CQ27" s="19"/>
      <c r="CR27" s="19"/>
      <c r="CS27" s="19"/>
      <c r="CT27" s="19"/>
      <c r="CU27" s="19"/>
      <c r="CV27" s="19"/>
      <c r="CW27" s="19"/>
      <c r="CX27" s="19"/>
      <c r="CY27" s="19"/>
      <c r="CZ27" s="19"/>
      <c r="DA27" s="19"/>
      <c r="DB27" s="19"/>
      <c r="DC27" s="19"/>
      <c r="DD27" s="19"/>
      <c r="DE27" s="19"/>
      <c r="DF27" s="19"/>
      <c r="DG27" s="19"/>
      <c r="DH27" s="19"/>
      <c r="DI27" s="19"/>
      <c r="DJ27" s="19"/>
      <c r="DK27" s="19"/>
      <c r="DL27" s="19"/>
      <c r="DM27" s="19"/>
      <c r="DN27" s="19"/>
      <c r="DO27" s="19"/>
      <c r="DP27" s="19"/>
      <c r="DQ27" s="19"/>
      <c r="DR27" s="19"/>
      <c r="DS27" s="19"/>
      <c r="DT27" s="19"/>
      <c r="DU27" s="19"/>
      <c r="DV27" s="19"/>
      <c r="DW27" s="19"/>
      <c r="DX27" s="19"/>
      <c r="DY27" s="19"/>
      <c r="DZ27" s="19"/>
      <c r="EA27" s="19"/>
      <c r="EB27" s="19"/>
      <c r="EC27" s="19"/>
      <c r="ED27" s="19"/>
      <c r="EE27" s="19"/>
      <c r="EF27" s="19"/>
      <c r="EG27" s="19"/>
      <c r="EH27" s="19"/>
      <c r="EI27" s="19"/>
      <c r="EJ27" s="19"/>
      <c r="EK27" s="19"/>
      <c r="EL27" s="19"/>
      <c r="EM27" s="19"/>
      <c r="EN27" s="19"/>
      <c r="EO27" s="19"/>
      <c r="EP27" s="19"/>
      <c r="EQ27" s="19"/>
      <c r="ER27" s="19"/>
      <c r="ES27" s="19"/>
      <c r="ET27" s="19"/>
      <c r="EU27" s="19"/>
      <c r="EV27" s="19"/>
      <c r="EW27" s="19"/>
      <c r="EX27" s="19"/>
      <c r="EY27" s="19"/>
      <c r="EZ27" s="19"/>
      <c r="FA27" s="19"/>
      <c r="FB27" s="19"/>
      <c r="FC27" s="19"/>
      <c r="FD27" s="19"/>
      <c r="FE27" s="19"/>
      <c r="FF27" s="19"/>
      <c r="FG27" s="19"/>
      <c r="FH27" s="19"/>
      <c r="FI27" s="19"/>
      <c r="FJ27" s="19"/>
      <c r="FK27" s="19"/>
      <c r="FL27" s="19"/>
      <c r="FM27" s="19"/>
      <c r="FN27" s="19"/>
      <c r="FO27" s="19"/>
      <c r="FP27" s="19"/>
      <c r="FQ27" s="19"/>
      <c r="FR27" s="19"/>
      <c r="FS27" s="19"/>
      <c r="FT27" s="19"/>
      <c r="FU27" s="19"/>
      <c r="FV27" s="19"/>
      <c r="FW27" s="19"/>
      <c r="FX27" s="19"/>
      <c r="FY27" s="19"/>
      <c r="FZ27" s="19"/>
      <c r="GA27" s="19"/>
      <c r="GB27" s="19"/>
      <c r="GC27" s="19"/>
      <c r="GD27" s="19"/>
      <c r="GE27" s="19"/>
      <c r="GF27" s="19"/>
      <c r="GG27" s="19"/>
      <c r="GH27" s="19"/>
      <c r="GI27" s="19"/>
      <c r="GJ27" s="19"/>
      <c r="GK27" s="19"/>
      <c r="GL27" s="19"/>
      <c r="GM27" s="19"/>
      <c r="GN27" s="19"/>
      <c r="GO27" s="19"/>
      <c r="GP27" s="19"/>
      <c r="GQ27" s="19"/>
      <c r="GR27" s="19"/>
      <c r="GS27" s="19"/>
      <c r="GT27" s="19"/>
      <c r="GU27" s="19"/>
      <c r="GV27" s="19"/>
      <c r="GW27" s="19"/>
      <c r="GX27" s="19"/>
      <c r="GY27" s="19"/>
      <c r="GZ27" s="19"/>
      <c r="HA27" s="19"/>
      <c r="HB27" s="19"/>
    </row>
    <row r="28" spans="1:210" hidden="1" x14ac:dyDescent="0.25">
      <c r="A28" s="113">
        <f t="shared" si="5"/>
        <v>102</v>
      </c>
      <c r="B28" s="163"/>
      <c r="C28" s="172" t="str">
        <f t="shared" si="0"/>
        <v>RTH at 102 °C</v>
      </c>
      <c r="D28" s="196">
        <f t="shared" si="6"/>
        <v>3.2647058823529411</v>
      </c>
      <c r="E28" s="197">
        <v>0</v>
      </c>
      <c r="F28" s="198">
        <v>0</v>
      </c>
      <c r="G28" s="199">
        <v>0</v>
      </c>
      <c r="H28" s="128" t="s">
        <v>18</v>
      </c>
      <c r="I28" s="29"/>
      <c r="J28" s="29">
        <v>0.95630000000000004</v>
      </c>
      <c r="K28" s="29">
        <v>0.92459999999999998</v>
      </c>
      <c r="L28" s="29">
        <v>0.89370000000000005</v>
      </c>
      <c r="M28" s="29"/>
      <c r="N28" s="29"/>
      <c r="O28" s="29"/>
      <c r="P28" s="29"/>
      <c r="Q28" s="29"/>
      <c r="R28" s="29"/>
      <c r="S28" s="29"/>
      <c r="T28" s="29"/>
      <c r="U28" s="29"/>
      <c r="V28" s="29"/>
      <c r="W28" s="29"/>
      <c r="X28" s="29"/>
      <c r="Y28" s="30"/>
      <c r="Z28" s="18"/>
      <c r="AA28" s="19"/>
      <c r="AB28" s="19"/>
      <c r="AC28" s="20">
        <f t="shared" si="1"/>
        <v>102</v>
      </c>
      <c r="AD28" s="20">
        <f t="shared" si="2"/>
        <v>0</v>
      </c>
      <c r="AE28" s="20">
        <f t="shared" si="3"/>
        <v>0</v>
      </c>
      <c r="AF28" s="20">
        <f t="shared" si="4"/>
        <v>0</v>
      </c>
      <c r="AG28" s="20">
        <f>Table9[[#This Row],[RTH(min) (kΩ)]]*RT2_TH_MIN/(RT2_TH_MIN+Table9[[#This Row],[RTH(min) (kΩ)]])</f>
        <v>0</v>
      </c>
      <c r="AH28" s="20">
        <f>Table9[[#This Row],[RTH(nom) (kΩ)]]*RT2_TH_S/(RT2_TH_S+Table9[[#This Row],[RTH(nom) (kΩ)]])</f>
        <v>0</v>
      </c>
      <c r="AI28" s="20">
        <f>Table9[[#This Row],[RTH(max) (kΩ)]]*RT2_TH_S_MAX/(RT2_TH_S_MAX+Table9[[#This Row],[RTH(max) (kΩ)]])</f>
        <v>0</v>
      </c>
      <c r="AJ28" s="20">
        <f>Table9[[#This Row],[RLower(min) (kΩ)]]/(Table9[[#This Row],[RLower(min) (kΩ)]]+RT1_TH_S_MAX)*100</f>
        <v>0</v>
      </c>
      <c r="AK28" s="20">
        <f>Table9[[#This Row],[RLower(nom) (kΩ)]]/(Table9[[#This Row],[RLower(nom) (kΩ)]]+RT1_TH_S)*100</f>
        <v>0</v>
      </c>
      <c r="AL28" s="20">
        <f>Table9[[#This Row],[RLower(max) (kΩ)]]/(Table9[[#This Row],[RLower(max) (kΩ)]]+RT1_TH_S_MIN)*100</f>
        <v>0</v>
      </c>
      <c r="AM28" s="20">
        <f>IF(Table9[[#This Row],[Vmin (%)]]&lt;$BA$14, 0, IF(Table9[[#This Row],[Vmin (%)]]&lt;$BA$12, 4, IF(Table9[[#This Row],[Vmin (%)]]&lt;$BA$9, 3, IF(Table9[[#This Row],[Vmin (%)]]&lt;$BA$7, 2, 0))))</f>
        <v>0</v>
      </c>
      <c r="AN28" s="20">
        <f>IF(Table9[[#This Row],[Vmin (%)]]&lt;$BA$13, 0, IF(Table9[[#This Row],[Vmin (%)]]&lt;$BA$11, 4, IF(Table9[[#This Row],[Vmin (%)]]&lt;$BA$10, 3, IF(Table9[[#This Row],[Vmin (%)]]&lt;$BA$8, 2, 0))))</f>
        <v>0</v>
      </c>
      <c r="AO28" s="76" t="str">
        <f>IF(Table9[[#This Row],[Vmin (%)]]&lt;$BA$14, "Hot", IF(Table9[[#This Row],[Vmin (%)]]&lt;$BA$12, "Warm", IF(Table9[[#This Row],[Vmin (%)]]&lt;$BA$9, "Normal", IF(Table9[[#This Row],[Vmin (%)]]&lt;$BA$7, "Cool", "Cold"))))</f>
        <v>Hot</v>
      </c>
      <c r="AP28" s="19"/>
      <c r="AQ28" s="19"/>
      <c r="AR28" s="19"/>
      <c r="AS28" s="19"/>
      <c r="AT28" s="19"/>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c r="CJ28" s="19"/>
      <c r="CK28" s="19"/>
      <c r="CL28" s="19"/>
      <c r="CM28" s="19"/>
      <c r="CN28" s="19"/>
      <c r="CO28" s="19"/>
      <c r="CP28" s="19"/>
      <c r="CQ28" s="19"/>
      <c r="CR28" s="19"/>
      <c r="CS28" s="19"/>
      <c r="CT28" s="19"/>
      <c r="CU28" s="19"/>
      <c r="CV28" s="19"/>
      <c r="CW28" s="19"/>
      <c r="CX28" s="19"/>
      <c r="CY28" s="19"/>
      <c r="CZ28" s="19"/>
      <c r="DA28" s="19"/>
      <c r="DB28" s="19"/>
      <c r="DC28" s="19"/>
      <c r="DD28" s="19"/>
      <c r="DE28" s="19"/>
      <c r="DF28" s="19"/>
      <c r="DG28" s="19"/>
      <c r="DH28" s="19"/>
      <c r="DI28" s="19"/>
      <c r="DJ28" s="19"/>
      <c r="DK28" s="19"/>
      <c r="DL28" s="19"/>
      <c r="DM28" s="19"/>
      <c r="DN28" s="19"/>
      <c r="DO28" s="19"/>
      <c r="DP28" s="19"/>
      <c r="DQ28" s="19"/>
      <c r="DR28" s="19"/>
      <c r="DS28" s="19"/>
      <c r="DT28" s="19"/>
      <c r="DU28" s="19"/>
      <c r="DV28" s="19"/>
      <c r="DW28" s="19"/>
      <c r="DX28" s="19"/>
      <c r="DY28" s="19"/>
      <c r="DZ28" s="19"/>
      <c r="EA28" s="19"/>
      <c r="EB28" s="19"/>
      <c r="EC28" s="19"/>
      <c r="ED28" s="19"/>
      <c r="EE28" s="19"/>
      <c r="EF28" s="19"/>
      <c r="EG28" s="19"/>
      <c r="EH28" s="19"/>
      <c r="EI28" s="19"/>
      <c r="EJ28" s="19"/>
      <c r="EK28" s="19"/>
      <c r="EL28" s="19"/>
      <c r="EM28" s="19"/>
      <c r="EN28" s="19"/>
      <c r="EO28" s="19"/>
      <c r="EP28" s="19"/>
      <c r="EQ28" s="19"/>
      <c r="ER28" s="19"/>
      <c r="ES28" s="19"/>
      <c r="ET28" s="19"/>
      <c r="EU28" s="19"/>
      <c r="EV28" s="19"/>
      <c r="EW28" s="19"/>
      <c r="EX28" s="19"/>
      <c r="EY28" s="19"/>
      <c r="EZ28" s="19"/>
      <c r="FA28" s="19"/>
      <c r="FB28" s="19"/>
      <c r="FC28" s="19"/>
      <c r="FD28" s="19"/>
      <c r="FE28" s="19"/>
      <c r="FF28" s="19"/>
      <c r="FG28" s="19"/>
      <c r="FH28" s="19"/>
      <c r="FI28" s="19"/>
      <c r="FJ28" s="19"/>
      <c r="FK28" s="19"/>
      <c r="FL28" s="19"/>
      <c r="FM28" s="19"/>
      <c r="FN28" s="19"/>
      <c r="FO28" s="19"/>
      <c r="FP28" s="19"/>
      <c r="FQ28" s="19"/>
      <c r="FR28" s="19"/>
      <c r="FS28" s="19"/>
      <c r="FT28" s="19"/>
      <c r="FU28" s="19"/>
      <c r="FV28" s="19"/>
      <c r="FW28" s="19"/>
      <c r="FX28" s="19"/>
      <c r="FY28" s="19"/>
      <c r="FZ28" s="19"/>
      <c r="GA28" s="19"/>
      <c r="GB28" s="19"/>
      <c r="GC28" s="19"/>
      <c r="GD28" s="19"/>
      <c r="GE28" s="19"/>
      <c r="GF28" s="19"/>
      <c r="GG28" s="19"/>
      <c r="GH28" s="19"/>
      <c r="GI28" s="19"/>
      <c r="GJ28" s="19"/>
      <c r="GK28" s="19"/>
      <c r="GL28" s="19"/>
      <c r="GM28" s="19"/>
      <c r="GN28" s="19"/>
      <c r="GO28" s="19"/>
      <c r="GP28" s="19"/>
      <c r="GQ28" s="19"/>
      <c r="GR28" s="19"/>
      <c r="GS28" s="19"/>
      <c r="GT28" s="19"/>
      <c r="GU28" s="19"/>
      <c r="GV28" s="19"/>
      <c r="GW28" s="19"/>
      <c r="GX28" s="19"/>
      <c r="GY28" s="19"/>
      <c r="GZ28" s="19"/>
      <c r="HA28" s="19"/>
      <c r="HB28" s="19"/>
    </row>
    <row r="29" spans="1:210" hidden="1" x14ac:dyDescent="0.25">
      <c r="A29" s="113">
        <f t="shared" si="5"/>
        <v>101</v>
      </c>
      <c r="B29" s="163"/>
      <c r="C29" s="172" t="str">
        <f t="shared" si="0"/>
        <v>RTH at 101 °C</v>
      </c>
      <c r="D29" s="196">
        <f t="shared" si="6"/>
        <v>3.2352941176470589</v>
      </c>
      <c r="E29" s="197">
        <v>0</v>
      </c>
      <c r="F29" s="198">
        <v>0</v>
      </c>
      <c r="G29" s="199">
        <v>0</v>
      </c>
      <c r="H29" s="128" t="s">
        <v>18</v>
      </c>
      <c r="I29" s="29"/>
      <c r="J29" s="29">
        <v>0.98080000000000001</v>
      </c>
      <c r="K29" s="29">
        <v>0.94840000000000002</v>
      </c>
      <c r="L29" s="29">
        <v>0.91700000000000004</v>
      </c>
      <c r="M29" s="29"/>
      <c r="N29" s="29"/>
      <c r="O29" s="29"/>
      <c r="P29" s="29"/>
      <c r="Q29" s="29"/>
      <c r="R29" s="29"/>
      <c r="S29" s="29"/>
      <c r="T29" s="29"/>
      <c r="U29" s="29"/>
      <c r="V29" s="29"/>
      <c r="W29" s="29"/>
      <c r="X29" s="29"/>
      <c r="Y29" s="30"/>
      <c r="Z29" s="18"/>
      <c r="AA29" s="19"/>
      <c r="AB29" s="19"/>
      <c r="AC29" s="20">
        <f t="shared" si="1"/>
        <v>101</v>
      </c>
      <c r="AD29" s="20">
        <f t="shared" si="2"/>
        <v>0</v>
      </c>
      <c r="AE29" s="20">
        <f t="shared" si="3"/>
        <v>0</v>
      </c>
      <c r="AF29" s="20">
        <f t="shared" si="4"/>
        <v>0</v>
      </c>
      <c r="AG29" s="20">
        <f>Table9[[#This Row],[RTH(min) (kΩ)]]*RT2_TH_MIN/(RT2_TH_MIN+Table9[[#This Row],[RTH(min) (kΩ)]])</f>
        <v>0</v>
      </c>
      <c r="AH29" s="20">
        <f>Table9[[#This Row],[RTH(nom) (kΩ)]]*RT2_TH_S/(RT2_TH_S+Table9[[#This Row],[RTH(nom) (kΩ)]])</f>
        <v>0</v>
      </c>
      <c r="AI29" s="20">
        <f>Table9[[#This Row],[RTH(max) (kΩ)]]*RT2_TH_S_MAX/(RT2_TH_S_MAX+Table9[[#This Row],[RTH(max) (kΩ)]])</f>
        <v>0</v>
      </c>
      <c r="AJ29" s="20">
        <f>Table9[[#This Row],[RLower(min) (kΩ)]]/(Table9[[#This Row],[RLower(min) (kΩ)]]+RT1_TH_S_MAX)*100</f>
        <v>0</v>
      </c>
      <c r="AK29" s="20">
        <f>Table9[[#This Row],[RLower(nom) (kΩ)]]/(Table9[[#This Row],[RLower(nom) (kΩ)]]+RT1_TH_S)*100</f>
        <v>0</v>
      </c>
      <c r="AL29" s="20">
        <f>Table9[[#This Row],[RLower(max) (kΩ)]]/(Table9[[#This Row],[RLower(max) (kΩ)]]+RT1_TH_S_MIN)*100</f>
        <v>0</v>
      </c>
      <c r="AM29" s="20">
        <f>IF(Table9[[#This Row],[Vmin (%)]]&lt;$BA$14, 0, IF(Table9[[#This Row],[Vmin (%)]]&lt;$BA$12, 4, IF(Table9[[#This Row],[Vmin (%)]]&lt;$BA$9, 3, IF(Table9[[#This Row],[Vmin (%)]]&lt;$BA$7, 2, 0))))</f>
        <v>0</v>
      </c>
      <c r="AN29" s="20">
        <f>IF(Table9[[#This Row],[Vmin (%)]]&lt;$BA$13, 0, IF(Table9[[#This Row],[Vmin (%)]]&lt;$BA$11, 4, IF(Table9[[#This Row],[Vmin (%)]]&lt;$BA$10, 3, IF(Table9[[#This Row],[Vmin (%)]]&lt;$BA$8, 2, 0))))</f>
        <v>0</v>
      </c>
      <c r="AO29" s="76" t="str">
        <f>IF(Table9[[#This Row],[Vmin (%)]]&lt;$BA$14, "Hot", IF(Table9[[#This Row],[Vmin (%)]]&lt;$BA$12, "Warm", IF(Table9[[#This Row],[Vmin (%)]]&lt;$BA$9, "Normal", IF(Table9[[#This Row],[Vmin (%)]]&lt;$BA$7, "Cool", "Cold"))))</f>
        <v>Hot</v>
      </c>
      <c r="AP29" s="19"/>
      <c r="AQ29" s="19"/>
      <c r="AR29" s="19"/>
      <c r="AS29" s="19"/>
      <c r="AT29" s="19"/>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c r="CJ29" s="19"/>
      <c r="CK29" s="19"/>
      <c r="CL29" s="19"/>
      <c r="CM29" s="19"/>
      <c r="CN29" s="19"/>
      <c r="CO29" s="19"/>
      <c r="CP29" s="19"/>
      <c r="CQ29" s="19"/>
      <c r="CR29" s="19"/>
      <c r="CS29" s="19"/>
      <c r="CT29" s="19"/>
      <c r="CU29" s="19"/>
      <c r="CV29" s="19"/>
      <c r="CW29" s="19"/>
      <c r="CX29" s="19"/>
      <c r="CY29" s="19"/>
      <c r="CZ29" s="19"/>
      <c r="DA29" s="19"/>
      <c r="DB29" s="19"/>
      <c r="DC29" s="19"/>
      <c r="DD29" s="19"/>
      <c r="DE29" s="19"/>
      <c r="DF29" s="19"/>
      <c r="DG29" s="19"/>
      <c r="DH29" s="19"/>
      <c r="DI29" s="19"/>
      <c r="DJ29" s="19"/>
      <c r="DK29" s="19"/>
      <c r="DL29" s="19"/>
      <c r="DM29" s="19"/>
      <c r="DN29" s="19"/>
      <c r="DO29" s="19"/>
      <c r="DP29" s="19"/>
      <c r="DQ29" s="19"/>
      <c r="DR29" s="19"/>
      <c r="DS29" s="19"/>
      <c r="DT29" s="19"/>
      <c r="DU29" s="19"/>
      <c r="DV29" s="19"/>
      <c r="DW29" s="19"/>
      <c r="DX29" s="19"/>
      <c r="DY29" s="19"/>
      <c r="DZ29" s="19"/>
      <c r="EA29" s="19"/>
      <c r="EB29" s="19"/>
      <c r="EC29" s="19"/>
      <c r="ED29" s="19"/>
      <c r="EE29" s="19"/>
      <c r="EF29" s="19"/>
      <c r="EG29" s="19"/>
      <c r="EH29" s="19"/>
      <c r="EI29" s="19"/>
      <c r="EJ29" s="19"/>
      <c r="EK29" s="19"/>
      <c r="EL29" s="19"/>
      <c r="EM29" s="19"/>
      <c r="EN29" s="19"/>
      <c r="EO29" s="19"/>
      <c r="EP29" s="19"/>
      <c r="EQ29" s="19"/>
      <c r="ER29" s="19"/>
      <c r="ES29" s="19"/>
      <c r="ET29" s="19"/>
      <c r="EU29" s="19"/>
      <c r="EV29" s="19"/>
      <c r="EW29" s="19"/>
      <c r="EX29" s="19"/>
      <c r="EY29" s="19"/>
      <c r="EZ29" s="19"/>
      <c r="FA29" s="19"/>
      <c r="FB29" s="19"/>
      <c r="FC29" s="19"/>
      <c r="FD29" s="19"/>
      <c r="FE29" s="19"/>
      <c r="FF29" s="19"/>
      <c r="FG29" s="19"/>
      <c r="FH29" s="19"/>
      <c r="FI29" s="19"/>
      <c r="FJ29" s="19"/>
      <c r="FK29" s="19"/>
      <c r="FL29" s="19"/>
      <c r="FM29" s="19"/>
      <c r="FN29" s="19"/>
      <c r="FO29" s="19"/>
      <c r="FP29" s="19"/>
      <c r="FQ29" s="19"/>
      <c r="FR29" s="19"/>
      <c r="FS29" s="19"/>
      <c r="FT29" s="19"/>
      <c r="FU29" s="19"/>
      <c r="FV29" s="19"/>
      <c r="FW29" s="19"/>
      <c r="FX29" s="19"/>
      <c r="FY29" s="19"/>
      <c r="FZ29" s="19"/>
      <c r="GA29" s="19"/>
      <c r="GB29" s="19"/>
      <c r="GC29" s="19"/>
      <c r="GD29" s="19"/>
      <c r="GE29" s="19"/>
      <c r="GF29" s="19"/>
      <c r="GG29" s="19"/>
      <c r="GH29" s="19"/>
      <c r="GI29" s="19"/>
      <c r="GJ29" s="19"/>
      <c r="GK29" s="19"/>
      <c r="GL29" s="19"/>
      <c r="GM29" s="19"/>
      <c r="GN29" s="19"/>
      <c r="GO29" s="19"/>
      <c r="GP29" s="19"/>
      <c r="GQ29" s="19"/>
      <c r="GR29" s="19"/>
      <c r="GS29" s="19"/>
      <c r="GT29" s="19"/>
      <c r="GU29" s="19"/>
      <c r="GV29" s="19"/>
      <c r="GW29" s="19"/>
      <c r="GX29" s="19"/>
      <c r="GY29" s="19"/>
      <c r="GZ29" s="19"/>
      <c r="HA29" s="19"/>
      <c r="HB29" s="19"/>
    </row>
    <row r="30" spans="1:210" hidden="1" x14ac:dyDescent="0.25">
      <c r="A30" s="113">
        <f t="shared" si="5"/>
        <v>100</v>
      </c>
      <c r="B30" s="163"/>
      <c r="C30" s="172" t="str">
        <f t="shared" si="0"/>
        <v>RTH at 100 °C</v>
      </c>
      <c r="D30" s="196">
        <f t="shared" si="6"/>
        <v>3.2058823529411766</v>
      </c>
      <c r="E30" s="197">
        <v>0</v>
      </c>
      <c r="F30" s="198">
        <v>0</v>
      </c>
      <c r="G30" s="199">
        <v>0</v>
      </c>
      <c r="H30" s="128" t="s">
        <v>18</v>
      </c>
      <c r="I30" s="29"/>
      <c r="J30" s="29">
        <v>1.006</v>
      </c>
      <c r="K30" s="29">
        <v>0.97309999999999997</v>
      </c>
      <c r="L30" s="29">
        <v>0.94110000000000005</v>
      </c>
      <c r="M30" s="29"/>
      <c r="N30" s="29"/>
      <c r="O30" s="29"/>
      <c r="P30" s="29"/>
      <c r="Q30" s="29"/>
      <c r="R30" s="29"/>
      <c r="S30" s="29"/>
      <c r="T30" s="29"/>
      <c r="U30" s="29"/>
      <c r="V30" s="29"/>
      <c r="W30" s="29"/>
      <c r="X30" s="29"/>
      <c r="Y30" s="30"/>
      <c r="Z30" s="18"/>
      <c r="AA30" s="19"/>
      <c r="AB30" s="19"/>
      <c r="AC30" s="20">
        <f t="shared" si="1"/>
        <v>100</v>
      </c>
      <c r="AD30" s="20">
        <f t="shared" si="2"/>
        <v>0</v>
      </c>
      <c r="AE30" s="20">
        <f t="shared" si="3"/>
        <v>0</v>
      </c>
      <c r="AF30" s="20">
        <f t="shared" si="4"/>
        <v>0</v>
      </c>
      <c r="AG30" s="20">
        <f>Table9[[#This Row],[RTH(min) (kΩ)]]*RT2_TH_MIN/(RT2_TH_MIN+Table9[[#This Row],[RTH(min) (kΩ)]])</f>
        <v>0</v>
      </c>
      <c r="AH30" s="20">
        <f>Table9[[#This Row],[RTH(nom) (kΩ)]]*RT2_TH_S/(RT2_TH_S+Table9[[#This Row],[RTH(nom) (kΩ)]])</f>
        <v>0</v>
      </c>
      <c r="AI30" s="20">
        <f>Table9[[#This Row],[RTH(max) (kΩ)]]*RT2_TH_S_MAX/(RT2_TH_S_MAX+Table9[[#This Row],[RTH(max) (kΩ)]])</f>
        <v>0</v>
      </c>
      <c r="AJ30" s="20">
        <f>Table9[[#This Row],[RLower(min) (kΩ)]]/(Table9[[#This Row],[RLower(min) (kΩ)]]+RT1_TH_S_MAX)*100</f>
        <v>0</v>
      </c>
      <c r="AK30" s="20">
        <f>Table9[[#This Row],[RLower(nom) (kΩ)]]/(Table9[[#This Row],[RLower(nom) (kΩ)]]+RT1_TH_S)*100</f>
        <v>0</v>
      </c>
      <c r="AL30" s="20">
        <f>Table9[[#This Row],[RLower(max) (kΩ)]]/(Table9[[#This Row],[RLower(max) (kΩ)]]+RT1_TH_S_MIN)*100</f>
        <v>0</v>
      </c>
      <c r="AM30" s="20">
        <f>IF(Table9[[#This Row],[Vmin (%)]]&lt;$BA$14, 0, IF(Table9[[#This Row],[Vmin (%)]]&lt;$BA$12, 4, IF(Table9[[#This Row],[Vmin (%)]]&lt;$BA$9, 3, IF(Table9[[#This Row],[Vmin (%)]]&lt;$BA$7, 2, 0))))</f>
        <v>0</v>
      </c>
      <c r="AN30" s="20">
        <f>IF(Table9[[#This Row],[Vmin (%)]]&lt;$BA$13, 0, IF(Table9[[#This Row],[Vmin (%)]]&lt;$BA$11, 4, IF(Table9[[#This Row],[Vmin (%)]]&lt;$BA$10, 3, IF(Table9[[#This Row],[Vmin (%)]]&lt;$BA$8, 2, 0))))</f>
        <v>0</v>
      </c>
      <c r="AO30" s="76" t="str">
        <f>IF(Table9[[#This Row],[Vmin (%)]]&lt;$BA$14, "Hot", IF(Table9[[#This Row],[Vmin (%)]]&lt;$BA$12, "Warm", IF(Table9[[#This Row],[Vmin (%)]]&lt;$BA$9, "Normal", IF(Table9[[#This Row],[Vmin (%)]]&lt;$BA$7, "Cool", "Cold"))))</f>
        <v>Hot</v>
      </c>
      <c r="AP30" s="19"/>
      <c r="AQ30" s="19"/>
      <c r="AR30" s="19"/>
      <c r="AS30" s="19"/>
      <c r="AT30" s="19"/>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c r="CJ30" s="19"/>
      <c r="CK30" s="19"/>
      <c r="CL30" s="19"/>
      <c r="CM30" s="19"/>
      <c r="CN30" s="19"/>
      <c r="CO30" s="19"/>
      <c r="CP30" s="19"/>
      <c r="CQ30" s="19"/>
      <c r="CR30" s="19"/>
      <c r="CS30" s="19"/>
      <c r="CT30" s="19"/>
      <c r="CU30" s="19"/>
      <c r="CV30" s="19"/>
      <c r="CW30" s="19"/>
      <c r="CX30" s="19"/>
      <c r="CY30" s="19"/>
      <c r="CZ30" s="19"/>
      <c r="DA30" s="19"/>
      <c r="DB30" s="19"/>
      <c r="DC30" s="19"/>
      <c r="DD30" s="19"/>
      <c r="DE30" s="19"/>
      <c r="DF30" s="19"/>
      <c r="DG30" s="19"/>
      <c r="DH30" s="19"/>
      <c r="DI30" s="19"/>
      <c r="DJ30" s="19"/>
      <c r="DK30" s="19"/>
      <c r="DL30" s="19"/>
      <c r="DM30" s="19"/>
      <c r="DN30" s="19"/>
      <c r="DO30" s="19"/>
      <c r="DP30" s="19"/>
      <c r="DQ30" s="19"/>
      <c r="DR30" s="19"/>
      <c r="DS30" s="19"/>
      <c r="DT30" s="19"/>
      <c r="DU30" s="19"/>
      <c r="DV30" s="19"/>
      <c r="DW30" s="19"/>
      <c r="DX30" s="19"/>
      <c r="DY30" s="19"/>
      <c r="DZ30" s="19"/>
      <c r="EA30" s="19"/>
      <c r="EB30" s="19"/>
      <c r="EC30" s="19"/>
      <c r="ED30" s="19"/>
      <c r="EE30" s="19"/>
      <c r="EF30" s="19"/>
      <c r="EG30" s="19"/>
      <c r="EH30" s="19"/>
      <c r="EI30" s="19"/>
      <c r="EJ30" s="19"/>
      <c r="EK30" s="19"/>
      <c r="EL30" s="19"/>
      <c r="EM30" s="19"/>
      <c r="EN30" s="19"/>
      <c r="EO30" s="19"/>
      <c r="EP30" s="19"/>
      <c r="EQ30" s="19"/>
      <c r="ER30" s="19"/>
      <c r="ES30" s="19"/>
      <c r="ET30" s="19"/>
      <c r="EU30" s="19"/>
      <c r="EV30" s="19"/>
      <c r="EW30" s="19"/>
      <c r="EX30" s="19"/>
      <c r="EY30" s="19"/>
      <c r="EZ30" s="19"/>
      <c r="FA30" s="19"/>
      <c r="FB30" s="19"/>
      <c r="FC30" s="19"/>
      <c r="FD30" s="19"/>
      <c r="FE30" s="19"/>
      <c r="FF30" s="19"/>
      <c r="FG30" s="19"/>
      <c r="FH30" s="19"/>
      <c r="FI30" s="19"/>
      <c r="FJ30" s="19"/>
      <c r="FK30" s="19"/>
      <c r="FL30" s="19"/>
      <c r="FM30" s="19"/>
      <c r="FN30" s="19"/>
      <c r="FO30" s="19"/>
      <c r="FP30" s="19"/>
      <c r="FQ30" s="19"/>
      <c r="FR30" s="19"/>
      <c r="FS30" s="19"/>
      <c r="FT30" s="19"/>
      <c r="FU30" s="19"/>
      <c r="FV30" s="19"/>
      <c r="FW30" s="19"/>
      <c r="FX30" s="19"/>
      <c r="FY30" s="19"/>
      <c r="FZ30" s="19"/>
      <c r="GA30" s="19"/>
      <c r="GB30" s="19"/>
      <c r="GC30" s="19"/>
      <c r="GD30" s="19"/>
      <c r="GE30" s="19"/>
      <c r="GF30" s="19"/>
      <c r="GG30" s="19"/>
      <c r="GH30" s="19"/>
      <c r="GI30" s="19"/>
      <c r="GJ30" s="19"/>
      <c r="GK30" s="19"/>
      <c r="GL30" s="19"/>
      <c r="GM30" s="19"/>
      <c r="GN30" s="19"/>
      <c r="GO30" s="19"/>
      <c r="GP30" s="19"/>
      <c r="GQ30" s="19"/>
      <c r="GR30" s="19"/>
      <c r="GS30" s="19"/>
      <c r="GT30" s="19"/>
      <c r="GU30" s="19"/>
      <c r="GV30" s="19"/>
      <c r="GW30" s="19"/>
      <c r="GX30" s="19"/>
      <c r="GY30" s="19"/>
      <c r="GZ30" s="19"/>
      <c r="HA30" s="19"/>
      <c r="HB30" s="19"/>
    </row>
    <row r="31" spans="1:210" hidden="1" x14ac:dyDescent="0.25">
      <c r="A31" s="113">
        <f t="shared" si="5"/>
        <v>99</v>
      </c>
      <c r="B31" s="163"/>
      <c r="C31" s="172" t="str">
        <f t="shared" si="0"/>
        <v>RTH at 99 °C</v>
      </c>
      <c r="D31" s="196">
        <f t="shared" si="6"/>
        <v>3.1764705882352939</v>
      </c>
      <c r="E31" s="197">
        <v>0</v>
      </c>
      <c r="F31" s="198">
        <v>0</v>
      </c>
      <c r="G31" s="199">
        <v>0</v>
      </c>
      <c r="H31" s="128" t="s">
        <v>18</v>
      </c>
      <c r="I31" s="29"/>
      <c r="J31" s="29">
        <v>1.032</v>
      </c>
      <c r="K31" s="29">
        <v>0.99839999999999995</v>
      </c>
      <c r="L31" s="29">
        <v>0.96579999999999999</v>
      </c>
      <c r="M31" s="29"/>
      <c r="N31" s="29"/>
      <c r="O31" s="29"/>
      <c r="P31" s="29"/>
      <c r="Q31" s="29"/>
      <c r="R31" s="29"/>
      <c r="S31" s="29"/>
      <c r="T31" s="29"/>
      <c r="U31" s="29"/>
      <c r="V31" s="29"/>
      <c r="W31" s="29"/>
      <c r="X31" s="29"/>
      <c r="Y31" s="30"/>
      <c r="Z31" s="18"/>
      <c r="AA31" s="19"/>
      <c r="AB31" s="19"/>
      <c r="AC31" s="20">
        <f t="shared" si="1"/>
        <v>99</v>
      </c>
      <c r="AD31" s="20">
        <f t="shared" si="2"/>
        <v>0</v>
      </c>
      <c r="AE31" s="20">
        <f t="shared" si="3"/>
        <v>0</v>
      </c>
      <c r="AF31" s="20">
        <f t="shared" si="4"/>
        <v>0</v>
      </c>
      <c r="AG31" s="20">
        <f>Table9[[#This Row],[RTH(min) (kΩ)]]*RT2_TH_MIN/(RT2_TH_MIN+Table9[[#This Row],[RTH(min) (kΩ)]])</f>
        <v>0</v>
      </c>
      <c r="AH31" s="20">
        <f>Table9[[#This Row],[RTH(nom) (kΩ)]]*RT2_TH_S/(RT2_TH_S+Table9[[#This Row],[RTH(nom) (kΩ)]])</f>
        <v>0</v>
      </c>
      <c r="AI31" s="20">
        <f>Table9[[#This Row],[RTH(max) (kΩ)]]*RT2_TH_S_MAX/(RT2_TH_S_MAX+Table9[[#This Row],[RTH(max) (kΩ)]])</f>
        <v>0</v>
      </c>
      <c r="AJ31" s="20">
        <f>Table9[[#This Row],[RLower(min) (kΩ)]]/(Table9[[#This Row],[RLower(min) (kΩ)]]+RT1_TH_S_MAX)*100</f>
        <v>0</v>
      </c>
      <c r="AK31" s="20">
        <f>Table9[[#This Row],[RLower(nom) (kΩ)]]/(Table9[[#This Row],[RLower(nom) (kΩ)]]+RT1_TH_S)*100</f>
        <v>0</v>
      </c>
      <c r="AL31" s="20">
        <f>Table9[[#This Row],[RLower(max) (kΩ)]]/(Table9[[#This Row],[RLower(max) (kΩ)]]+RT1_TH_S_MIN)*100</f>
        <v>0</v>
      </c>
      <c r="AM31" s="20">
        <f>IF(Table9[[#This Row],[Vmin (%)]]&lt;$BA$14, 0, IF(Table9[[#This Row],[Vmin (%)]]&lt;$BA$12, 4, IF(Table9[[#This Row],[Vmin (%)]]&lt;$BA$9, 3, IF(Table9[[#This Row],[Vmin (%)]]&lt;$BA$7, 2, 0))))</f>
        <v>0</v>
      </c>
      <c r="AN31" s="20">
        <f>IF(Table9[[#This Row],[Vmin (%)]]&lt;$BA$13, 0, IF(Table9[[#This Row],[Vmin (%)]]&lt;$BA$11, 4, IF(Table9[[#This Row],[Vmin (%)]]&lt;$BA$10, 3, IF(Table9[[#This Row],[Vmin (%)]]&lt;$BA$8, 2, 0))))</f>
        <v>0</v>
      </c>
      <c r="AO31" s="76" t="str">
        <f>IF(Table9[[#This Row],[Vmin (%)]]&lt;$BA$14, "Hot", IF(Table9[[#This Row],[Vmin (%)]]&lt;$BA$12, "Warm", IF(Table9[[#This Row],[Vmin (%)]]&lt;$BA$9, "Normal", IF(Table9[[#This Row],[Vmin (%)]]&lt;$BA$7, "Cool", "Cold"))))</f>
        <v>Hot</v>
      </c>
      <c r="AP31" s="19"/>
      <c r="AQ31" s="19"/>
      <c r="AR31" s="19"/>
      <c r="AS31" s="19"/>
      <c r="AT31" s="19"/>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c r="CJ31" s="19"/>
      <c r="CK31" s="19"/>
      <c r="CL31" s="19"/>
      <c r="CM31" s="19"/>
      <c r="CN31" s="19"/>
      <c r="CO31" s="19"/>
      <c r="CP31" s="19"/>
      <c r="CQ31" s="19"/>
      <c r="CR31" s="19"/>
      <c r="CS31" s="19"/>
      <c r="CT31" s="19"/>
      <c r="CU31" s="19"/>
      <c r="CV31" s="19"/>
      <c r="CW31" s="19"/>
      <c r="CX31" s="19"/>
      <c r="CY31" s="19"/>
      <c r="CZ31" s="19"/>
      <c r="DA31" s="19"/>
      <c r="DB31" s="19"/>
      <c r="DC31" s="19"/>
      <c r="DD31" s="19"/>
      <c r="DE31" s="19"/>
      <c r="DF31" s="19"/>
      <c r="DG31" s="19"/>
      <c r="DH31" s="19"/>
      <c r="DI31" s="19"/>
      <c r="DJ31" s="19"/>
      <c r="DK31" s="19"/>
      <c r="DL31" s="19"/>
      <c r="DM31" s="19"/>
      <c r="DN31" s="19"/>
      <c r="DO31" s="19"/>
      <c r="DP31" s="19"/>
      <c r="DQ31" s="19"/>
      <c r="DR31" s="19"/>
      <c r="DS31" s="19"/>
      <c r="DT31" s="19"/>
      <c r="DU31" s="19"/>
      <c r="DV31" s="19"/>
      <c r="DW31" s="19"/>
      <c r="DX31" s="19"/>
      <c r="DY31" s="19"/>
      <c r="DZ31" s="19"/>
      <c r="EA31" s="19"/>
      <c r="EB31" s="19"/>
      <c r="EC31" s="19"/>
      <c r="ED31" s="19"/>
      <c r="EE31" s="19"/>
      <c r="EF31" s="19"/>
      <c r="EG31" s="19"/>
      <c r="EH31" s="19"/>
      <c r="EI31" s="19"/>
      <c r="EJ31" s="19"/>
      <c r="EK31" s="19"/>
      <c r="EL31" s="19"/>
      <c r="EM31" s="19"/>
      <c r="EN31" s="19"/>
      <c r="EO31" s="19"/>
      <c r="EP31" s="19"/>
      <c r="EQ31" s="19"/>
      <c r="ER31" s="19"/>
      <c r="ES31" s="19"/>
      <c r="ET31" s="19"/>
      <c r="EU31" s="19"/>
      <c r="EV31" s="19"/>
      <c r="EW31" s="19"/>
      <c r="EX31" s="19"/>
      <c r="EY31" s="19"/>
      <c r="EZ31" s="19"/>
      <c r="FA31" s="19"/>
      <c r="FB31" s="19"/>
      <c r="FC31" s="19"/>
      <c r="FD31" s="19"/>
      <c r="FE31" s="19"/>
      <c r="FF31" s="19"/>
      <c r="FG31" s="19"/>
      <c r="FH31" s="19"/>
      <c r="FI31" s="19"/>
      <c r="FJ31" s="19"/>
      <c r="FK31" s="19"/>
      <c r="FL31" s="19"/>
      <c r="FM31" s="19"/>
      <c r="FN31" s="19"/>
      <c r="FO31" s="19"/>
      <c r="FP31" s="19"/>
      <c r="FQ31" s="19"/>
      <c r="FR31" s="19"/>
      <c r="FS31" s="19"/>
      <c r="FT31" s="19"/>
      <c r="FU31" s="19"/>
      <c r="FV31" s="19"/>
      <c r="FW31" s="19"/>
      <c r="FX31" s="19"/>
      <c r="FY31" s="19"/>
      <c r="FZ31" s="19"/>
      <c r="GA31" s="19"/>
      <c r="GB31" s="19"/>
      <c r="GC31" s="19"/>
      <c r="GD31" s="19"/>
      <c r="GE31" s="19"/>
      <c r="GF31" s="19"/>
      <c r="GG31" s="19"/>
      <c r="GH31" s="19"/>
      <c r="GI31" s="19"/>
      <c r="GJ31" s="19"/>
      <c r="GK31" s="19"/>
      <c r="GL31" s="19"/>
      <c r="GM31" s="19"/>
      <c r="GN31" s="19"/>
      <c r="GO31" s="19"/>
      <c r="GP31" s="19"/>
      <c r="GQ31" s="19"/>
      <c r="GR31" s="19"/>
      <c r="GS31" s="19"/>
      <c r="GT31" s="19"/>
      <c r="GU31" s="19"/>
      <c r="GV31" s="19"/>
      <c r="GW31" s="19"/>
      <c r="GX31" s="19"/>
      <c r="GY31" s="19"/>
      <c r="GZ31" s="19"/>
      <c r="HA31" s="19"/>
      <c r="HB31" s="19"/>
    </row>
    <row r="32" spans="1:210" hidden="1" x14ac:dyDescent="0.25">
      <c r="A32" s="113">
        <f t="shared" si="5"/>
        <v>98</v>
      </c>
      <c r="B32" s="163"/>
      <c r="C32" s="172" t="str">
        <f t="shared" si="0"/>
        <v>RTH at 98 °C</v>
      </c>
      <c r="D32" s="196">
        <f t="shared" si="6"/>
        <v>3.1470588235294117</v>
      </c>
      <c r="E32" s="197">
        <v>0</v>
      </c>
      <c r="F32" s="198">
        <v>0</v>
      </c>
      <c r="G32" s="199">
        <v>0</v>
      </c>
      <c r="H32" s="128" t="s">
        <v>18</v>
      </c>
      <c r="I32" s="29"/>
      <c r="J32" s="29">
        <v>1.0589999999999999</v>
      </c>
      <c r="K32" s="29">
        <v>1.024</v>
      </c>
      <c r="L32" s="29">
        <v>0.99129999999999996</v>
      </c>
      <c r="M32" s="29"/>
      <c r="N32" s="29"/>
      <c r="O32" s="29"/>
      <c r="P32" s="29"/>
      <c r="Q32" s="29"/>
      <c r="R32" s="29"/>
      <c r="S32" s="29"/>
      <c r="T32" s="29"/>
      <c r="U32" s="29"/>
      <c r="V32" s="29"/>
      <c r="W32" s="29"/>
      <c r="X32" s="29"/>
      <c r="Y32" s="30"/>
      <c r="Z32" s="18"/>
      <c r="AA32" s="19"/>
      <c r="AB32" s="19"/>
      <c r="AC32" s="20">
        <f t="shared" si="1"/>
        <v>98</v>
      </c>
      <c r="AD32" s="20">
        <f t="shared" si="2"/>
        <v>0</v>
      </c>
      <c r="AE32" s="20">
        <f t="shared" si="3"/>
        <v>0</v>
      </c>
      <c r="AF32" s="20">
        <f t="shared" si="4"/>
        <v>0</v>
      </c>
      <c r="AG32" s="20">
        <f>Table9[[#This Row],[RTH(min) (kΩ)]]*RT2_TH_MIN/(RT2_TH_MIN+Table9[[#This Row],[RTH(min) (kΩ)]])</f>
        <v>0</v>
      </c>
      <c r="AH32" s="20">
        <f>Table9[[#This Row],[RTH(nom) (kΩ)]]*RT2_TH_S/(RT2_TH_S+Table9[[#This Row],[RTH(nom) (kΩ)]])</f>
        <v>0</v>
      </c>
      <c r="AI32" s="20">
        <f>Table9[[#This Row],[RTH(max) (kΩ)]]*RT2_TH_S_MAX/(RT2_TH_S_MAX+Table9[[#This Row],[RTH(max) (kΩ)]])</f>
        <v>0</v>
      </c>
      <c r="AJ32" s="20">
        <f>Table9[[#This Row],[RLower(min) (kΩ)]]/(Table9[[#This Row],[RLower(min) (kΩ)]]+RT1_TH_S_MAX)*100</f>
        <v>0</v>
      </c>
      <c r="AK32" s="20">
        <f>Table9[[#This Row],[RLower(nom) (kΩ)]]/(Table9[[#This Row],[RLower(nom) (kΩ)]]+RT1_TH_S)*100</f>
        <v>0</v>
      </c>
      <c r="AL32" s="20">
        <f>Table9[[#This Row],[RLower(max) (kΩ)]]/(Table9[[#This Row],[RLower(max) (kΩ)]]+RT1_TH_S_MIN)*100</f>
        <v>0</v>
      </c>
      <c r="AM32" s="20">
        <f>IF(Table9[[#This Row],[Vmin (%)]]&lt;$BA$14, 0, IF(Table9[[#This Row],[Vmin (%)]]&lt;$BA$12, 4, IF(Table9[[#This Row],[Vmin (%)]]&lt;$BA$9, 3, IF(Table9[[#This Row],[Vmin (%)]]&lt;$BA$7, 2, 0))))</f>
        <v>0</v>
      </c>
      <c r="AN32" s="20">
        <f>IF(Table9[[#This Row],[Vmin (%)]]&lt;$BA$13, 0, IF(Table9[[#This Row],[Vmin (%)]]&lt;$BA$11, 4, IF(Table9[[#This Row],[Vmin (%)]]&lt;$BA$10, 3, IF(Table9[[#This Row],[Vmin (%)]]&lt;$BA$8, 2, 0))))</f>
        <v>0</v>
      </c>
      <c r="AO32" s="76" t="str">
        <f>IF(Table9[[#This Row],[Vmin (%)]]&lt;$BA$14, "Hot", IF(Table9[[#This Row],[Vmin (%)]]&lt;$BA$12, "Warm", IF(Table9[[#This Row],[Vmin (%)]]&lt;$BA$9, "Normal", IF(Table9[[#This Row],[Vmin (%)]]&lt;$BA$7, "Cool", "Cold"))))</f>
        <v>Hot</v>
      </c>
      <c r="AP32" s="19"/>
      <c r="AQ32" s="19"/>
      <c r="AR32" s="19"/>
      <c r="AS32" s="19"/>
      <c r="AT32" s="19"/>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c r="CJ32" s="19"/>
      <c r="CK32" s="19"/>
      <c r="CL32" s="19"/>
      <c r="CM32" s="19"/>
      <c r="CN32" s="19"/>
      <c r="CO32" s="19"/>
      <c r="CP32" s="19"/>
      <c r="CQ32" s="19"/>
      <c r="CR32" s="19"/>
      <c r="CS32" s="19"/>
      <c r="CT32" s="19"/>
      <c r="CU32" s="19"/>
      <c r="CV32" s="19"/>
      <c r="CW32" s="19"/>
      <c r="CX32" s="19"/>
      <c r="CY32" s="19"/>
      <c r="CZ32" s="19"/>
      <c r="DA32" s="19"/>
      <c r="DB32" s="19"/>
      <c r="DC32" s="19"/>
      <c r="DD32" s="19"/>
      <c r="DE32" s="19"/>
      <c r="DF32" s="19"/>
      <c r="DG32" s="19"/>
      <c r="DH32" s="19"/>
      <c r="DI32" s="19"/>
      <c r="DJ32" s="19"/>
      <c r="DK32" s="19"/>
      <c r="DL32" s="19"/>
      <c r="DM32" s="19"/>
      <c r="DN32" s="19"/>
      <c r="DO32" s="19"/>
      <c r="DP32" s="19"/>
      <c r="DQ32" s="19"/>
      <c r="DR32" s="19"/>
      <c r="DS32" s="19"/>
      <c r="DT32" s="19"/>
      <c r="DU32" s="19"/>
      <c r="DV32" s="19"/>
      <c r="DW32" s="19"/>
      <c r="DX32" s="19"/>
      <c r="DY32" s="19"/>
      <c r="DZ32" s="19"/>
      <c r="EA32" s="19"/>
      <c r="EB32" s="19"/>
      <c r="EC32" s="19"/>
      <c r="ED32" s="19"/>
      <c r="EE32" s="19"/>
      <c r="EF32" s="19"/>
      <c r="EG32" s="19"/>
      <c r="EH32" s="19"/>
      <c r="EI32" s="19"/>
      <c r="EJ32" s="19"/>
      <c r="EK32" s="19"/>
      <c r="EL32" s="19"/>
      <c r="EM32" s="19"/>
      <c r="EN32" s="19"/>
      <c r="EO32" s="19"/>
      <c r="EP32" s="19"/>
      <c r="EQ32" s="19"/>
      <c r="ER32" s="19"/>
      <c r="ES32" s="19"/>
      <c r="ET32" s="19"/>
      <c r="EU32" s="19"/>
      <c r="EV32" s="19"/>
      <c r="EW32" s="19"/>
      <c r="EX32" s="19"/>
      <c r="EY32" s="19"/>
      <c r="EZ32" s="19"/>
      <c r="FA32" s="19"/>
      <c r="FB32" s="19"/>
      <c r="FC32" s="19"/>
      <c r="FD32" s="19"/>
      <c r="FE32" s="19"/>
      <c r="FF32" s="19"/>
      <c r="FG32" s="19"/>
      <c r="FH32" s="19"/>
      <c r="FI32" s="19"/>
      <c r="FJ32" s="19"/>
      <c r="FK32" s="19"/>
      <c r="FL32" s="19"/>
      <c r="FM32" s="19"/>
      <c r="FN32" s="19"/>
      <c r="FO32" s="19"/>
      <c r="FP32" s="19"/>
      <c r="FQ32" s="19"/>
      <c r="FR32" s="19"/>
      <c r="FS32" s="19"/>
      <c r="FT32" s="19"/>
      <c r="FU32" s="19"/>
      <c r="FV32" s="19"/>
      <c r="FW32" s="19"/>
      <c r="FX32" s="19"/>
      <c r="FY32" s="19"/>
      <c r="FZ32" s="19"/>
      <c r="GA32" s="19"/>
      <c r="GB32" s="19"/>
      <c r="GC32" s="19"/>
      <c r="GD32" s="19"/>
      <c r="GE32" s="19"/>
      <c r="GF32" s="19"/>
      <c r="GG32" s="19"/>
      <c r="GH32" s="19"/>
      <c r="GI32" s="19"/>
      <c r="GJ32" s="19"/>
      <c r="GK32" s="19"/>
      <c r="GL32" s="19"/>
      <c r="GM32" s="19"/>
      <c r="GN32" s="19"/>
      <c r="GO32" s="19"/>
      <c r="GP32" s="19"/>
      <c r="GQ32" s="19"/>
      <c r="GR32" s="19"/>
      <c r="GS32" s="19"/>
      <c r="GT32" s="19"/>
      <c r="GU32" s="19"/>
      <c r="GV32" s="19"/>
      <c r="GW32" s="19"/>
      <c r="GX32" s="19"/>
      <c r="GY32" s="19"/>
      <c r="GZ32" s="19"/>
      <c r="HA32" s="19"/>
      <c r="HB32" s="19"/>
    </row>
    <row r="33" spans="1:210" hidden="1" x14ac:dyDescent="0.25">
      <c r="A33" s="113">
        <f t="shared" si="5"/>
        <v>97</v>
      </c>
      <c r="B33" s="163"/>
      <c r="C33" s="172" t="str">
        <f t="shared" si="0"/>
        <v>RTH at 97 °C</v>
      </c>
      <c r="D33" s="196">
        <f t="shared" si="6"/>
        <v>3.1176470588235294</v>
      </c>
      <c r="E33" s="197">
        <v>0</v>
      </c>
      <c r="F33" s="198">
        <v>0</v>
      </c>
      <c r="G33" s="199">
        <v>0</v>
      </c>
      <c r="H33" s="128" t="s">
        <v>18</v>
      </c>
      <c r="I33" s="29"/>
      <c r="J33" s="29">
        <v>1.0860000000000001</v>
      </c>
      <c r="K33" s="29">
        <v>1.0509999999999999</v>
      </c>
      <c r="L33" s="29">
        <v>1.0169999999999999</v>
      </c>
      <c r="M33" s="29"/>
      <c r="N33" s="29"/>
      <c r="O33" s="29"/>
      <c r="P33" s="29"/>
      <c r="Q33" s="29"/>
      <c r="R33" s="29"/>
      <c r="S33" s="29"/>
      <c r="T33" s="29"/>
      <c r="U33" s="29"/>
      <c r="V33" s="29"/>
      <c r="W33" s="29"/>
      <c r="X33" s="29"/>
      <c r="Y33" s="30"/>
      <c r="Z33" s="18"/>
      <c r="AA33" s="19"/>
      <c r="AB33" s="19"/>
      <c r="AC33" s="20">
        <f t="shared" si="1"/>
        <v>97</v>
      </c>
      <c r="AD33" s="20">
        <f t="shared" si="2"/>
        <v>0</v>
      </c>
      <c r="AE33" s="20">
        <f t="shared" si="3"/>
        <v>0</v>
      </c>
      <c r="AF33" s="20">
        <f t="shared" si="4"/>
        <v>0</v>
      </c>
      <c r="AG33" s="20">
        <f>Table9[[#This Row],[RTH(min) (kΩ)]]*RT2_TH_MIN/(RT2_TH_MIN+Table9[[#This Row],[RTH(min) (kΩ)]])</f>
        <v>0</v>
      </c>
      <c r="AH33" s="20">
        <f>Table9[[#This Row],[RTH(nom) (kΩ)]]*RT2_TH_S/(RT2_TH_S+Table9[[#This Row],[RTH(nom) (kΩ)]])</f>
        <v>0</v>
      </c>
      <c r="AI33" s="20">
        <f>Table9[[#This Row],[RTH(max) (kΩ)]]*RT2_TH_S_MAX/(RT2_TH_S_MAX+Table9[[#This Row],[RTH(max) (kΩ)]])</f>
        <v>0</v>
      </c>
      <c r="AJ33" s="20">
        <f>Table9[[#This Row],[RLower(min) (kΩ)]]/(Table9[[#This Row],[RLower(min) (kΩ)]]+RT1_TH_S_MAX)*100</f>
        <v>0</v>
      </c>
      <c r="AK33" s="20">
        <f>Table9[[#This Row],[RLower(nom) (kΩ)]]/(Table9[[#This Row],[RLower(nom) (kΩ)]]+RT1_TH_S)*100</f>
        <v>0</v>
      </c>
      <c r="AL33" s="20">
        <f>Table9[[#This Row],[RLower(max) (kΩ)]]/(Table9[[#This Row],[RLower(max) (kΩ)]]+RT1_TH_S_MIN)*100</f>
        <v>0</v>
      </c>
      <c r="AM33" s="20">
        <f>IF(Table9[[#This Row],[Vmin (%)]]&lt;$BA$14, 0, IF(Table9[[#This Row],[Vmin (%)]]&lt;$BA$12, 4, IF(Table9[[#This Row],[Vmin (%)]]&lt;$BA$9, 3, IF(Table9[[#This Row],[Vmin (%)]]&lt;$BA$7, 2, 0))))</f>
        <v>0</v>
      </c>
      <c r="AN33" s="20">
        <f>IF(Table9[[#This Row],[Vmin (%)]]&lt;$BA$13, 0, IF(Table9[[#This Row],[Vmin (%)]]&lt;$BA$11, 4, IF(Table9[[#This Row],[Vmin (%)]]&lt;$BA$10, 3, IF(Table9[[#This Row],[Vmin (%)]]&lt;$BA$8, 2, 0))))</f>
        <v>0</v>
      </c>
      <c r="AO33" s="76" t="str">
        <f>IF(Table9[[#This Row],[Vmin (%)]]&lt;$BA$14, "Hot", IF(Table9[[#This Row],[Vmin (%)]]&lt;$BA$12, "Warm", IF(Table9[[#This Row],[Vmin (%)]]&lt;$BA$9, "Normal", IF(Table9[[#This Row],[Vmin (%)]]&lt;$BA$7, "Cool", "Cold"))))</f>
        <v>Hot</v>
      </c>
      <c r="AP33" s="19"/>
      <c r="AQ33" s="19"/>
      <c r="AR33" s="19"/>
      <c r="AS33" s="19"/>
      <c r="AT33" s="19"/>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c r="CJ33" s="19"/>
      <c r="CK33" s="19"/>
      <c r="CL33" s="19"/>
      <c r="CM33" s="19"/>
      <c r="CN33" s="19"/>
      <c r="CO33" s="19"/>
      <c r="CP33" s="19"/>
      <c r="CQ33" s="19"/>
      <c r="CR33" s="19"/>
      <c r="CS33" s="19"/>
      <c r="CT33" s="19"/>
      <c r="CU33" s="19"/>
      <c r="CV33" s="19"/>
      <c r="CW33" s="19"/>
      <c r="CX33" s="19"/>
      <c r="CY33" s="19"/>
      <c r="CZ33" s="19"/>
      <c r="DA33" s="19"/>
      <c r="DB33" s="19"/>
      <c r="DC33" s="19"/>
      <c r="DD33" s="19"/>
      <c r="DE33" s="19"/>
      <c r="DF33" s="19"/>
      <c r="DG33" s="19"/>
      <c r="DH33" s="19"/>
      <c r="DI33" s="19"/>
      <c r="DJ33" s="19"/>
      <c r="DK33" s="19"/>
      <c r="DL33" s="19"/>
      <c r="DM33" s="19"/>
      <c r="DN33" s="19"/>
      <c r="DO33" s="19"/>
      <c r="DP33" s="19"/>
      <c r="DQ33" s="19"/>
      <c r="DR33" s="19"/>
      <c r="DS33" s="19"/>
      <c r="DT33" s="19"/>
      <c r="DU33" s="19"/>
      <c r="DV33" s="19"/>
      <c r="DW33" s="19"/>
      <c r="DX33" s="19"/>
      <c r="DY33" s="19"/>
      <c r="DZ33" s="19"/>
      <c r="EA33" s="19"/>
      <c r="EB33" s="19"/>
      <c r="EC33" s="19"/>
      <c r="ED33" s="19"/>
      <c r="EE33" s="19"/>
      <c r="EF33" s="19"/>
      <c r="EG33" s="19"/>
      <c r="EH33" s="19"/>
      <c r="EI33" s="19"/>
      <c r="EJ33" s="19"/>
      <c r="EK33" s="19"/>
      <c r="EL33" s="19"/>
      <c r="EM33" s="19"/>
      <c r="EN33" s="19"/>
      <c r="EO33" s="19"/>
      <c r="EP33" s="19"/>
      <c r="EQ33" s="19"/>
      <c r="ER33" s="19"/>
      <c r="ES33" s="19"/>
      <c r="ET33" s="19"/>
      <c r="EU33" s="19"/>
      <c r="EV33" s="19"/>
      <c r="EW33" s="19"/>
      <c r="EX33" s="19"/>
      <c r="EY33" s="19"/>
      <c r="EZ33" s="19"/>
      <c r="FA33" s="19"/>
      <c r="FB33" s="19"/>
      <c r="FC33" s="19"/>
      <c r="FD33" s="19"/>
      <c r="FE33" s="19"/>
      <c r="FF33" s="19"/>
      <c r="FG33" s="19"/>
      <c r="FH33" s="19"/>
      <c r="FI33" s="19"/>
      <c r="FJ33" s="19"/>
      <c r="FK33" s="19"/>
      <c r="FL33" s="19"/>
      <c r="FM33" s="19"/>
      <c r="FN33" s="19"/>
      <c r="FO33" s="19"/>
      <c r="FP33" s="19"/>
      <c r="FQ33" s="19"/>
      <c r="FR33" s="19"/>
      <c r="FS33" s="19"/>
      <c r="FT33" s="19"/>
      <c r="FU33" s="19"/>
      <c r="FV33" s="19"/>
      <c r="FW33" s="19"/>
      <c r="FX33" s="19"/>
      <c r="FY33" s="19"/>
      <c r="FZ33" s="19"/>
      <c r="GA33" s="19"/>
      <c r="GB33" s="19"/>
      <c r="GC33" s="19"/>
      <c r="GD33" s="19"/>
      <c r="GE33" s="19"/>
      <c r="GF33" s="19"/>
      <c r="GG33" s="19"/>
      <c r="GH33" s="19"/>
      <c r="GI33" s="19"/>
      <c r="GJ33" s="19"/>
      <c r="GK33" s="19"/>
      <c r="GL33" s="19"/>
      <c r="GM33" s="19"/>
      <c r="GN33" s="19"/>
      <c r="GO33" s="19"/>
      <c r="GP33" s="19"/>
      <c r="GQ33" s="19"/>
      <c r="GR33" s="19"/>
      <c r="GS33" s="19"/>
      <c r="GT33" s="19"/>
      <c r="GU33" s="19"/>
      <c r="GV33" s="19"/>
      <c r="GW33" s="19"/>
      <c r="GX33" s="19"/>
      <c r="GY33" s="19"/>
      <c r="GZ33" s="19"/>
      <c r="HA33" s="19"/>
      <c r="HB33" s="19"/>
    </row>
    <row r="34" spans="1:210" hidden="1" x14ac:dyDescent="0.25">
      <c r="A34" s="113">
        <f t="shared" si="5"/>
        <v>96</v>
      </c>
      <c r="B34" s="163"/>
      <c r="C34" s="172" t="str">
        <f t="shared" si="0"/>
        <v>RTH at 96 °C</v>
      </c>
      <c r="D34" s="196">
        <f t="shared" si="6"/>
        <v>3.0882352941176472</v>
      </c>
      <c r="E34" s="197">
        <v>0</v>
      </c>
      <c r="F34" s="198">
        <v>0</v>
      </c>
      <c r="G34" s="199">
        <v>0</v>
      </c>
      <c r="H34" s="128" t="s">
        <v>18</v>
      </c>
      <c r="I34" s="29"/>
      <c r="J34" s="29">
        <v>1.115</v>
      </c>
      <c r="K34" s="29">
        <v>1.079</v>
      </c>
      <c r="L34" s="29">
        <v>1.044</v>
      </c>
      <c r="M34" s="29"/>
      <c r="N34" s="29"/>
      <c r="O34" s="29"/>
      <c r="P34" s="29"/>
      <c r="Q34" s="29"/>
      <c r="R34" s="29"/>
      <c r="S34" s="29"/>
      <c r="T34" s="29"/>
      <c r="U34" s="29"/>
      <c r="V34" s="29"/>
      <c r="W34" s="29"/>
      <c r="X34" s="29"/>
      <c r="Y34" s="30"/>
      <c r="Z34" s="18"/>
      <c r="AA34" s="19"/>
      <c r="AB34" s="19"/>
      <c r="AC34" s="20">
        <f t="shared" si="1"/>
        <v>96</v>
      </c>
      <c r="AD34" s="20">
        <f t="shared" si="2"/>
        <v>0</v>
      </c>
      <c r="AE34" s="20">
        <f t="shared" si="3"/>
        <v>0</v>
      </c>
      <c r="AF34" s="20">
        <f t="shared" si="4"/>
        <v>0</v>
      </c>
      <c r="AG34" s="20">
        <f>Table9[[#This Row],[RTH(min) (kΩ)]]*RT2_TH_MIN/(RT2_TH_MIN+Table9[[#This Row],[RTH(min) (kΩ)]])</f>
        <v>0</v>
      </c>
      <c r="AH34" s="20">
        <f>Table9[[#This Row],[RTH(nom) (kΩ)]]*RT2_TH_S/(RT2_TH_S+Table9[[#This Row],[RTH(nom) (kΩ)]])</f>
        <v>0</v>
      </c>
      <c r="AI34" s="20">
        <f>Table9[[#This Row],[RTH(max) (kΩ)]]*RT2_TH_S_MAX/(RT2_TH_S_MAX+Table9[[#This Row],[RTH(max) (kΩ)]])</f>
        <v>0</v>
      </c>
      <c r="AJ34" s="20">
        <f>Table9[[#This Row],[RLower(min) (kΩ)]]/(Table9[[#This Row],[RLower(min) (kΩ)]]+RT1_TH_S_MAX)*100</f>
        <v>0</v>
      </c>
      <c r="AK34" s="20">
        <f>Table9[[#This Row],[RLower(nom) (kΩ)]]/(Table9[[#This Row],[RLower(nom) (kΩ)]]+RT1_TH_S)*100</f>
        <v>0</v>
      </c>
      <c r="AL34" s="20">
        <f>Table9[[#This Row],[RLower(max) (kΩ)]]/(Table9[[#This Row],[RLower(max) (kΩ)]]+RT1_TH_S_MIN)*100</f>
        <v>0</v>
      </c>
      <c r="AM34" s="20">
        <f>IF(Table9[[#This Row],[Vmin (%)]]&lt;$BA$14, 0, IF(Table9[[#This Row],[Vmin (%)]]&lt;$BA$12, 4, IF(Table9[[#This Row],[Vmin (%)]]&lt;$BA$9, 3, IF(Table9[[#This Row],[Vmin (%)]]&lt;$BA$7, 2, 0))))</f>
        <v>0</v>
      </c>
      <c r="AN34" s="20">
        <f>IF(Table9[[#This Row],[Vmin (%)]]&lt;$BA$13, 0, IF(Table9[[#This Row],[Vmin (%)]]&lt;$BA$11, 4, IF(Table9[[#This Row],[Vmin (%)]]&lt;$BA$10, 3, IF(Table9[[#This Row],[Vmin (%)]]&lt;$BA$8, 2, 0))))</f>
        <v>0</v>
      </c>
      <c r="AO34" s="76" t="str">
        <f>IF(Table9[[#This Row],[Vmin (%)]]&lt;$BA$14, "Hot", IF(Table9[[#This Row],[Vmin (%)]]&lt;$BA$12, "Warm", IF(Table9[[#This Row],[Vmin (%)]]&lt;$BA$9, "Normal", IF(Table9[[#This Row],[Vmin (%)]]&lt;$BA$7, "Cool", "Cold"))))</f>
        <v>Hot</v>
      </c>
      <c r="AP34" s="19"/>
      <c r="AQ34" s="19"/>
      <c r="AR34" s="19"/>
      <c r="AS34" s="19"/>
      <c r="AT34" s="19"/>
      <c r="AU34" s="19"/>
      <c r="AV34" s="19"/>
      <c r="AW34" s="19"/>
      <c r="AX34" s="19"/>
      <c r="AY34" s="19"/>
      <c r="AZ34" s="19"/>
      <c r="BA34" s="19"/>
      <c r="BB34" s="19"/>
      <c r="BC34" s="19"/>
      <c r="BD34" s="19"/>
      <c r="BE34" s="19"/>
      <c r="BF34" s="19"/>
      <c r="BG34" s="19"/>
      <c r="BH34" s="19"/>
      <c r="BI34" s="19"/>
      <c r="BJ34" s="19"/>
      <c r="BK34" s="19"/>
      <c r="BL34" s="19"/>
      <c r="BM34" s="19"/>
      <c r="BN34" s="19"/>
      <c r="BO34" s="19"/>
      <c r="BP34" s="19"/>
      <c r="BQ34" s="19"/>
      <c r="BR34" s="19"/>
      <c r="BS34" s="19"/>
      <c r="BT34" s="19"/>
      <c r="BU34" s="19"/>
      <c r="BV34" s="19"/>
      <c r="BW34" s="19"/>
      <c r="BX34" s="19"/>
      <c r="BY34" s="19"/>
      <c r="BZ34" s="19"/>
      <c r="CA34" s="19"/>
      <c r="CB34" s="19"/>
      <c r="CC34" s="19"/>
      <c r="CD34" s="19"/>
      <c r="CE34" s="19"/>
      <c r="CF34" s="19"/>
      <c r="CG34" s="19"/>
      <c r="CH34" s="19"/>
      <c r="CI34" s="19"/>
      <c r="CJ34" s="19"/>
      <c r="CK34" s="19"/>
      <c r="CL34" s="19"/>
      <c r="CM34" s="19"/>
      <c r="CN34" s="19"/>
      <c r="CO34" s="19"/>
      <c r="CP34" s="19"/>
      <c r="CQ34" s="19"/>
      <c r="CR34" s="19"/>
      <c r="CS34" s="19"/>
      <c r="CT34" s="19"/>
      <c r="CU34" s="19"/>
      <c r="CV34" s="19"/>
      <c r="CW34" s="19"/>
      <c r="CX34" s="19"/>
      <c r="CY34" s="19"/>
      <c r="CZ34" s="19"/>
      <c r="DA34" s="19"/>
      <c r="DB34" s="19"/>
      <c r="DC34" s="19"/>
      <c r="DD34" s="19"/>
      <c r="DE34" s="19"/>
      <c r="DF34" s="19"/>
      <c r="DG34" s="19"/>
      <c r="DH34" s="19"/>
      <c r="DI34" s="19"/>
      <c r="DJ34" s="19"/>
      <c r="DK34" s="19"/>
      <c r="DL34" s="19"/>
      <c r="DM34" s="19"/>
      <c r="DN34" s="19"/>
      <c r="DO34" s="19"/>
      <c r="DP34" s="19"/>
      <c r="DQ34" s="19"/>
      <c r="DR34" s="19"/>
      <c r="DS34" s="19"/>
      <c r="DT34" s="19"/>
      <c r="DU34" s="19"/>
      <c r="DV34" s="19"/>
      <c r="DW34" s="19"/>
      <c r="DX34" s="19"/>
      <c r="DY34" s="19"/>
      <c r="DZ34" s="19"/>
      <c r="EA34" s="19"/>
      <c r="EB34" s="19"/>
      <c r="EC34" s="19"/>
      <c r="ED34" s="19"/>
      <c r="EE34" s="19"/>
      <c r="EF34" s="19"/>
      <c r="EG34" s="19"/>
      <c r="EH34" s="19"/>
      <c r="EI34" s="19"/>
      <c r="EJ34" s="19"/>
      <c r="EK34" s="19"/>
      <c r="EL34" s="19"/>
      <c r="EM34" s="19"/>
      <c r="EN34" s="19"/>
      <c r="EO34" s="19"/>
      <c r="EP34" s="19"/>
      <c r="EQ34" s="19"/>
      <c r="ER34" s="19"/>
      <c r="ES34" s="19"/>
      <c r="ET34" s="19"/>
      <c r="EU34" s="19"/>
      <c r="EV34" s="19"/>
      <c r="EW34" s="19"/>
      <c r="EX34" s="19"/>
      <c r="EY34" s="19"/>
      <c r="EZ34" s="19"/>
      <c r="FA34" s="19"/>
      <c r="FB34" s="19"/>
      <c r="FC34" s="19"/>
      <c r="FD34" s="19"/>
      <c r="FE34" s="19"/>
      <c r="FF34" s="19"/>
      <c r="FG34" s="19"/>
      <c r="FH34" s="19"/>
      <c r="FI34" s="19"/>
      <c r="FJ34" s="19"/>
      <c r="FK34" s="19"/>
      <c r="FL34" s="19"/>
      <c r="FM34" s="19"/>
      <c r="FN34" s="19"/>
      <c r="FO34" s="19"/>
      <c r="FP34" s="19"/>
      <c r="FQ34" s="19"/>
      <c r="FR34" s="19"/>
      <c r="FS34" s="19"/>
      <c r="FT34" s="19"/>
      <c r="FU34" s="19"/>
      <c r="FV34" s="19"/>
      <c r="FW34" s="19"/>
      <c r="FX34" s="19"/>
      <c r="FY34" s="19"/>
      <c r="FZ34" s="19"/>
      <c r="GA34" s="19"/>
      <c r="GB34" s="19"/>
      <c r="GC34" s="19"/>
      <c r="GD34" s="19"/>
      <c r="GE34" s="19"/>
      <c r="GF34" s="19"/>
      <c r="GG34" s="19"/>
      <c r="GH34" s="19"/>
      <c r="GI34" s="19"/>
      <c r="GJ34" s="19"/>
      <c r="GK34" s="19"/>
      <c r="GL34" s="19"/>
      <c r="GM34" s="19"/>
      <c r="GN34" s="19"/>
      <c r="GO34" s="19"/>
      <c r="GP34" s="19"/>
      <c r="GQ34" s="19"/>
      <c r="GR34" s="19"/>
      <c r="GS34" s="19"/>
      <c r="GT34" s="19"/>
      <c r="GU34" s="19"/>
      <c r="GV34" s="19"/>
      <c r="GW34" s="19"/>
      <c r="GX34" s="19"/>
      <c r="GY34" s="19"/>
      <c r="GZ34" s="19"/>
      <c r="HA34" s="19"/>
      <c r="HB34" s="19"/>
    </row>
    <row r="35" spans="1:210" hidden="1" x14ac:dyDescent="0.25">
      <c r="A35" s="113">
        <f t="shared" si="5"/>
        <v>95</v>
      </c>
      <c r="B35" s="163"/>
      <c r="C35" s="172" t="str">
        <f t="shared" si="0"/>
        <v>RTH at 95 °C</v>
      </c>
      <c r="D35" s="196">
        <f t="shared" si="6"/>
        <v>3.0588235294117645</v>
      </c>
      <c r="E35" s="197">
        <v>0</v>
      </c>
      <c r="F35" s="198">
        <v>0</v>
      </c>
      <c r="G35" s="199">
        <v>0</v>
      </c>
      <c r="H35" s="128" t="s">
        <v>18</v>
      </c>
      <c r="I35" s="29"/>
      <c r="J35" s="29">
        <v>1.1439999999999999</v>
      </c>
      <c r="K35" s="29">
        <v>1.1080000000000001</v>
      </c>
      <c r="L35" s="29">
        <v>1.0720000000000001</v>
      </c>
      <c r="M35" s="29"/>
      <c r="N35" s="29"/>
      <c r="O35" s="29"/>
      <c r="P35" s="29"/>
      <c r="Q35" s="29"/>
      <c r="R35" s="29"/>
      <c r="S35" s="29"/>
      <c r="T35" s="29"/>
      <c r="U35" s="29"/>
      <c r="V35" s="29"/>
      <c r="W35" s="29"/>
      <c r="X35" s="29"/>
      <c r="Y35" s="30"/>
      <c r="Z35" s="18"/>
      <c r="AA35" s="19"/>
      <c r="AB35" s="19"/>
      <c r="AC35" s="20">
        <f t="shared" si="1"/>
        <v>95</v>
      </c>
      <c r="AD35" s="20">
        <f t="shared" si="2"/>
        <v>0</v>
      </c>
      <c r="AE35" s="20">
        <f t="shared" si="3"/>
        <v>0</v>
      </c>
      <c r="AF35" s="20">
        <f t="shared" si="4"/>
        <v>0</v>
      </c>
      <c r="AG35" s="20">
        <f>Table9[[#This Row],[RTH(min) (kΩ)]]*RT2_TH_MIN/(RT2_TH_MIN+Table9[[#This Row],[RTH(min) (kΩ)]])</f>
        <v>0</v>
      </c>
      <c r="AH35" s="20">
        <f>Table9[[#This Row],[RTH(nom) (kΩ)]]*RT2_TH_S/(RT2_TH_S+Table9[[#This Row],[RTH(nom) (kΩ)]])</f>
        <v>0</v>
      </c>
      <c r="AI35" s="20">
        <f>Table9[[#This Row],[RTH(max) (kΩ)]]*RT2_TH_S_MAX/(RT2_TH_S_MAX+Table9[[#This Row],[RTH(max) (kΩ)]])</f>
        <v>0</v>
      </c>
      <c r="AJ35" s="20">
        <f>Table9[[#This Row],[RLower(min) (kΩ)]]/(Table9[[#This Row],[RLower(min) (kΩ)]]+RT1_TH_S_MAX)*100</f>
        <v>0</v>
      </c>
      <c r="AK35" s="20">
        <f>Table9[[#This Row],[RLower(nom) (kΩ)]]/(Table9[[#This Row],[RLower(nom) (kΩ)]]+RT1_TH_S)*100</f>
        <v>0</v>
      </c>
      <c r="AL35" s="20">
        <f>Table9[[#This Row],[RLower(max) (kΩ)]]/(Table9[[#This Row],[RLower(max) (kΩ)]]+RT1_TH_S_MIN)*100</f>
        <v>0</v>
      </c>
      <c r="AM35" s="20">
        <f>IF(Table9[[#This Row],[Vmin (%)]]&lt;$BA$14, 0, IF(Table9[[#This Row],[Vmin (%)]]&lt;$BA$12, 4, IF(Table9[[#This Row],[Vmin (%)]]&lt;$BA$9, 3, IF(Table9[[#This Row],[Vmin (%)]]&lt;$BA$7, 2, 0))))</f>
        <v>0</v>
      </c>
      <c r="AN35" s="20">
        <f>IF(Table9[[#This Row],[Vmin (%)]]&lt;$BA$13, 0, IF(Table9[[#This Row],[Vmin (%)]]&lt;$BA$11, 4, IF(Table9[[#This Row],[Vmin (%)]]&lt;$BA$10, 3, IF(Table9[[#This Row],[Vmin (%)]]&lt;$BA$8, 2, 0))))</f>
        <v>0</v>
      </c>
      <c r="AO35" s="76" t="str">
        <f>IF(Table9[[#This Row],[Vmin (%)]]&lt;$BA$14, "Hot", IF(Table9[[#This Row],[Vmin (%)]]&lt;$BA$12, "Warm", IF(Table9[[#This Row],[Vmin (%)]]&lt;$BA$9, "Normal", IF(Table9[[#This Row],[Vmin (%)]]&lt;$BA$7, "Cool", "Cold"))))</f>
        <v>Hot</v>
      </c>
      <c r="AP35" s="19"/>
      <c r="AQ35" s="19"/>
      <c r="AR35" s="19"/>
      <c r="AS35" s="19"/>
      <c r="AT35" s="19"/>
      <c r="AU35" s="19"/>
      <c r="AV35" s="19"/>
      <c r="AW35" s="19"/>
      <c r="AX35" s="19"/>
      <c r="AY35" s="19"/>
      <c r="AZ35" s="19"/>
      <c r="BA35" s="19"/>
      <c r="BB35" s="19"/>
      <c r="BC35" s="19"/>
      <c r="BD35" s="19"/>
      <c r="BE35" s="19"/>
      <c r="BF35" s="19"/>
      <c r="BG35" s="19"/>
      <c r="BH35" s="19"/>
      <c r="BI35" s="19"/>
      <c r="BJ35" s="19"/>
      <c r="BK35" s="19"/>
      <c r="BL35" s="19"/>
      <c r="BM35" s="19"/>
      <c r="BN35" s="19"/>
      <c r="BO35" s="19"/>
      <c r="BP35" s="19"/>
      <c r="BQ35" s="19"/>
      <c r="BR35" s="19"/>
      <c r="BS35" s="19"/>
      <c r="BT35" s="19"/>
      <c r="BU35" s="19"/>
      <c r="BV35" s="19"/>
      <c r="BW35" s="19"/>
      <c r="BX35" s="19"/>
      <c r="BY35" s="19"/>
      <c r="BZ35" s="19"/>
      <c r="CA35" s="19"/>
      <c r="CB35" s="19"/>
      <c r="CC35" s="19"/>
      <c r="CD35" s="19"/>
      <c r="CE35" s="19"/>
      <c r="CF35" s="19"/>
      <c r="CG35" s="19"/>
      <c r="CH35" s="19"/>
      <c r="CI35" s="19"/>
      <c r="CJ35" s="19"/>
      <c r="CK35" s="19"/>
      <c r="CL35" s="19"/>
      <c r="CM35" s="19"/>
      <c r="CN35" s="19"/>
      <c r="CO35" s="19"/>
      <c r="CP35" s="19"/>
      <c r="CQ35" s="19"/>
      <c r="CR35" s="19"/>
      <c r="CS35" s="19"/>
      <c r="CT35" s="19"/>
      <c r="CU35" s="19"/>
      <c r="CV35" s="19"/>
      <c r="CW35" s="19"/>
      <c r="CX35" s="19"/>
      <c r="CY35" s="19"/>
      <c r="CZ35" s="19"/>
      <c r="DA35" s="19"/>
      <c r="DB35" s="19"/>
      <c r="DC35" s="19"/>
      <c r="DD35" s="19"/>
      <c r="DE35" s="19"/>
      <c r="DF35" s="19"/>
      <c r="DG35" s="19"/>
      <c r="DH35" s="19"/>
      <c r="DI35" s="19"/>
      <c r="DJ35" s="19"/>
      <c r="DK35" s="19"/>
      <c r="DL35" s="19"/>
      <c r="DM35" s="19"/>
      <c r="DN35" s="19"/>
      <c r="DO35" s="19"/>
      <c r="DP35" s="19"/>
      <c r="DQ35" s="19"/>
      <c r="DR35" s="19"/>
      <c r="DS35" s="19"/>
      <c r="DT35" s="19"/>
      <c r="DU35" s="19"/>
      <c r="DV35" s="19"/>
      <c r="DW35" s="19"/>
      <c r="DX35" s="19"/>
      <c r="DY35" s="19"/>
      <c r="DZ35" s="19"/>
      <c r="EA35" s="19"/>
      <c r="EB35" s="19"/>
      <c r="EC35" s="19"/>
      <c r="ED35" s="19"/>
      <c r="EE35" s="19"/>
      <c r="EF35" s="19"/>
      <c r="EG35" s="19"/>
      <c r="EH35" s="19"/>
      <c r="EI35" s="19"/>
      <c r="EJ35" s="19"/>
      <c r="EK35" s="19"/>
      <c r="EL35" s="19"/>
      <c r="EM35" s="19"/>
      <c r="EN35" s="19"/>
      <c r="EO35" s="19"/>
      <c r="EP35" s="19"/>
      <c r="EQ35" s="19"/>
      <c r="ER35" s="19"/>
      <c r="ES35" s="19"/>
      <c r="ET35" s="19"/>
      <c r="EU35" s="19"/>
      <c r="EV35" s="19"/>
      <c r="EW35" s="19"/>
      <c r="EX35" s="19"/>
      <c r="EY35" s="19"/>
      <c r="EZ35" s="19"/>
      <c r="FA35" s="19"/>
      <c r="FB35" s="19"/>
      <c r="FC35" s="19"/>
      <c r="FD35" s="19"/>
      <c r="FE35" s="19"/>
      <c r="FF35" s="19"/>
      <c r="FG35" s="19"/>
      <c r="FH35" s="19"/>
      <c r="FI35" s="19"/>
      <c r="FJ35" s="19"/>
      <c r="FK35" s="19"/>
      <c r="FL35" s="19"/>
      <c r="FM35" s="19"/>
      <c r="FN35" s="19"/>
      <c r="FO35" s="19"/>
      <c r="FP35" s="19"/>
      <c r="FQ35" s="19"/>
      <c r="FR35" s="19"/>
      <c r="FS35" s="19"/>
      <c r="FT35" s="19"/>
      <c r="FU35" s="19"/>
      <c r="FV35" s="19"/>
      <c r="FW35" s="19"/>
      <c r="FX35" s="19"/>
      <c r="FY35" s="19"/>
      <c r="FZ35" s="19"/>
      <c r="GA35" s="19"/>
      <c r="GB35" s="19"/>
      <c r="GC35" s="19"/>
      <c r="GD35" s="19"/>
      <c r="GE35" s="19"/>
      <c r="GF35" s="19"/>
      <c r="GG35" s="19"/>
      <c r="GH35" s="19"/>
      <c r="GI35" s="19"/>
      <c r="GJ35" s="19"/>
      <c r="GK35" s="19"/>
      <c r="GL35" s="19"/>
      <c r="GM35" s="19"/>
      <c r="GN35" s="19"/>
      <c r="GO35" s="19"/>
      <c r="GP35" s="19"/>
      <c r="GQ35" s="19"/>
      <c r="GR35" s="19"/>
      <c r="GS35" s="19"/>
      <c r="GT35" s="19"/>
      <c r="GU35" s="19"/>
      <c r="GV35" s="19"/>
      <c r="GW35" s="19"/>
      <c r="GX35" s="19"/>
      <c r="GY35" s="19"/>
      <c r="GZ35" s="19"/>
      <c r="HA35" s="19"/>
      <c r="HB35" s="19"/>
    </row>
    <row r="36" spans="1:210" hidden="1" x14ac:dyDescent="0.25">
      <c r="A36" s="113">
        <f t="shared" si="5"/>
        <v>94</v>
      </c>
      <c r="B36" s="163"/>
      <c r="C36" s="172" t="str">
        <f t="shared" si="0"/>
        <v>RTH at 94 °C</v>
      </c>
      <c r="D36" s="196">
        <f t="shared" si="6"/>
        <v>3.0294117647058822</v>
      </c>
      <c r="E36" s="197">
        <v>0</v>
      </c>
      <c r="F36" s="198">
        <v>0</v>
      </c>
      <c r="G36" s="199">
        <v>0</v>
      </c>
      <c r="H36" s="128" t="s">
        <v>18</v>
      </c>
      <c r="I36" s="29"/>
      <c r="J36" s="29">
        <v>1.1739999999999999</v>
      </c>
      <c r="K36" s="29">
        <v>1.137</v>
      </c>
      <c r="L36" s="29">
        <v>1.101</v>
      </c>
      <c r="M36" s="29"/>
      <c r="N36" s="29"/>
      <c r="O36" s="29"/>
      <c r="P36" s="29"/>
      <c r="Q36" s="29"/>
      <c r="R36" s="29"/>
      <c r="S36" s="29"/>
      <c r="T36" s="29"/>
      <c r="U36" s="29"/>
      <c r="V36" s="29"/>
      <c r="W36" s="29"/>
      <c r="X36" s="29"/>
      <c r="Y36" s="30"/>
      <c r="Z36" s="18"/>
      <c r="AA36" s="19"/>
      <c r="AB36" s="19"/>
      <c r="AC36" s="20">
        <f t="shared" si="1"/>
        <v>94</v>
      </c>
      <c r="AD36" s="20">
        <f t="shared" si="2"/>
        <v>0</v>
      </c>
      <c r="AE36" s="20">
        <f t="shared" si="3"/>
        <v>0</v>
      </c>
      <c r="AF36" s="20">
        <f t="shared" si="4"/>
        <v>0</v>
      </c>
      <c r="AG36" s="20">
        <f>Table9[[#This Row],[RTH(min) (kΩ)]]*RT2_TH_MIN/(RT2_TH_MIN+Table9[[#This Row],[RTH(min) (kΩ)]])</f>
        <v>0</v>
      </c>
      <c r="AH36" s="20">
        <f>Table9[[#This Row],[RTH(nom) (kΩ)]]*RT2_TH_S/(RT2_TH_S+Table9[[#This Row],[RTH(nom) (kΩ)]])</f>
        <v>0</v>
      </c>
      <c r="AI36" s="20">
        <f>Table9[[#This Row],[RTH(max) (kΩ)]]*RT2_TH_S_MAX/(RT2_TH_S_MAX+Table9[[#This Row],[RTH(max) (kΩ)]])</f>
        <v>0</v>
      </c>
      <c r="AJ36" s="20">
        <f>Table9[[#This Row],[RLower(min) (kΩ)]]/(Table9[[#This Row],[RLower(min) (kΩ)]]+RT1_TH_S_MAX)*100</f>
        <v>0</v>
      </c>
      <c r="AK36" s="20">
        <f>Table9[[#This Row],[RLower(nom) (kΩ)]]/(Table9[[#This Row],[RLower(nom) (kΩ)]]+RT1_TH_S)*100</f>
        <v>0</v>
      </c>
      <c r="AL36" s="20">
        <f>Table9[[#This Row],[RLower(max) (kΩ)]]/(Table9[[#This Row],[RLower(max) (kΩ)]]+RT1_TH_S_MIN)*100</f>
        <v>0</v>
      </c>
      <c r="AM36" s="20">
        <f>IF(Table9[[#This Row],[Vmin (%)]]&lt;$BA$14, 0, IF(Table9[[#This Row],[Vmin (%)]]&lt;$BA$12, 4, IF(Table9[[#This Row],[Vmin (%)]]&lt;$BA$9, 3, IF(Table9[[#This Row],[Vmin (%)]]&lt;$BA$7, 2, 0))))</f>
        <v>0</v>
      </c>
      <c r="AN36" s="20">
        <f>IF(Table9[[#This Row],[Vmin (%)]]&lt;$BA$13, 0, IF(Table9[[#This Row],[Vmin (%)]]&lt;$BA$11, 4, IF(Table9[[#This Row],[Vmin (%)]]&lt;$BA$10, 3, IF(Table9[[#This Row],[Vmin (%)]]&lt;$BA$8, 2, 0))))</f>
        <v>0</v>
      </c>
      <c r="AO36" s="76" t="str">
        <f>IF(Table9[[#This Row],[Vmin (%)]]&lt;$BA$14, "Hot", IF(Table9[[#This Row],[Vmin (%)]]&lt;$BA$12, "Warm", IF(Table9[[#This Row],[Vmin (%)]]&lt;$BA$9, "Normal", IF(Table9[[#This Row],[Vmin (%)]]&lt;$BA$7, "Cool", "Cold"))))</f>
        <v>Hot</v>
      </c>
      <c r="AP36" s="19"/>
      <c r="AQ36" s="19"/>
      <c r="AR36" s="19"/>
      <c r="AS36" s="19"/>
      <c r="AT36" s="19"/>
      <c r="AU36" s="19"/>
      <c r="AV36" s="19"/>
      <c r="AW36" s="19"/>
      <c r="AX36" s="19"/>
      <c r="AY36" s="19"/>
      <c r="AZ36" s="19"/>
      <c r="BA36" s="19"/>
      <c r="BB36" s="19"/>
      <c r="BC36" s="19"/>
      <c r="BD36" s="19"/>
      <c r="BE36" s="19"/>
      <c r="BF36" s="19"/>
      <c r="BG36" s="19"/>
      <c r="BH36" s="19"/>
      <c r="BI36" s="19"/>
      <c r="BJ36" s="19"/>
      <c r="BK36" s="19"/>
      <c r="BL36" s="19"/>
      <c r="BM36" s="19"/>
      <c r="BN36" s="19"/>
      <c r="BO36" s="19"/>
      <c r="BP36" s="19"/>
      <c r="BQ36" s="19"/>
      <c r="BR36" s="19"/>
      <c r="BS36" s="19"/>
      <c r="BT36" s="19"/>
      <c r="BU36" s="19"/>
      <c r="BV36" s="19"/>
      <c r="BW36" s="19"/>
      <c r="BX36" s="19"/>
      <c r="BY36" s="19"/>
      <c r="BZ36" s="19"/>
      <c r="CA36" s="19"/>
      <c r="CB36" s="19"/>
      <c r="CC36" s="19"/>
      <c r="CD36" s="19"/>
      <c r="CE36" s="19"/>
      <c r="CF36" s="19"/>
      <c r="CG36" s="19"/>
      <c r="CH36" s="19"/>
      <c r="CI36" s="19"/>
      <c r="CJ36" s="19"/>
      <c r="CK36" s="19"/>
      <c r="CL36" s="19"/>
      <c r="CM36" s="19"/>
      <c r="CN36" s="19"/>
      <c r="CO36" s="19"/>
      <c r="CP36" s="19"/>
      <c r="CQ36" s="19"/>
      <c r="CR36" s="19"/>
      <c r="CS36" s="19"/>
      <c r="CT36" s="19"/>
      <c r="CU36" s="19"/>
      <c r="CV36" s="19"/>
      <c r="CW36" s="19"/>
      <c r="CX36" s="19"/>
      <c r="CY36" s="19"/>
      <c r="CZ36" s="19"/>
      <c r="DA36" s="19"/>
      <c r="DB36" s="19"/>
      <c r="DC36" s="19"/>
      <c r="DD36" s="19"/>
      <c r="DE36" s="19"/>
      <c r="DF36" s="19"/>
      <c r="DG36" s="19"/>
      <c r="DH36" s="19"/>
      <c r="DI36" s="19"/>
      <c r="DJ36" s="19"/>
      <c r="DK36" s="19"/>
      <c r="DL36" s="19"/>
      <c r="DM36" s="19"/>
      <c r="DN36" s="19"/>
      <c r="DO36" s="19"/>
      <c r="DP36" s="19"/>
      <c r="DQ36" s="19"/>
      <c r="DR36" s="19"/>
      <c r="DS36" s="19"/>
      <c r="DT36" s="19"/>
      <c r="DU36" s="19"/>
      <c r="DV36" s="19"/>
      <c r="DW36" s="19"/>
      <c r="DX36" s="19"/>
      <c r="DY36" s="19"/>
      <c r="DZ36" s="19"/>
      <c r="EA36" s="19"/>
      <c r="EB36" s="19"/>
      <c r="EC36" s="19"/>
      <c r="ED36" s="19"/>
      <c r="EE36" s="19"/>
      <c r="EF36" s="19"/>
      <c r="EG36" s="19"/>
      <c r="EH36" s="19"/>
      <c r="EI36" s="19"/>
      <c r="EJ36" s="19"/>
      <c r="EK36" s="19"/>
      <c r="EL36" s="19"/>
      <c r="EM36" s="19"/>
      <c r="EN36" s="19"/>
      <c r="EO36" s="19"/>
      <c r="EP36" s="19"/>
      <c r="EQ36" s="19"/>
      <c r="ER36" s="19"/>
      <c r="ES36" s="19"/>
      <c r="ET36" s="19"/>
      <c r="EU36" s="19"/>
      <c r="EV36" s="19"/>
      <c r="EW36" s="19"/>
      <c r="EX36" s="19"/>
      <c r="EY36" s="19"/>
      <c r="EZ36" s="19"/>
      <c r="FA36" s="19"/>
      <c r="FB36" s="19"/>
      <c r="FC36" s="19"/>
      <c r="FD36" s="19"/>
      <c r="FE36" s="19"/>
      <c r="FF36" s="19"/>
      <c r="FG36" s="19"/>
      <c r="FH36" s="19"/>
      <c r="FI36" s="19"/>
      <c r="FJ36" s="19"/>
      <c r="FK36" s="19"/>
      <c r="FL36" s="19"/>
      <c r="FM36" s="19"/>
      <c r="FN36" s="19"/>
      <c r="FO36" s="19"/>
      <c r="FP36" s="19"/>
      <c r="FQ36" s="19"/>
      <c r="FR36" s="19"/>
      <c r="FS36" s="19"/>
      <c r="FT36" s="19"/>
      <c r="FU36" s="19"/>
      <c r="FV36" s="19"/>
      <c r="FW36" s="19"/>
      <c r="FX36" s="19"/>
      <c r="FY36" s="19"/>
      <c r="FZ36" s="19"/>
      <c r="GA36" s="19"/>
      <c r="GB36" s="19"/>
      <c r="GC36" s="19"/>
      <c r="GD36" s="19"/>
      <c r="GE36" s="19"/>
      <c r="GF36" s="19"/>
      <c r="GG36" s="19"/>
      <c r="GH36" s="19"/>
      <c r="GI36" s="19"/>
      <c r="GJ36" s="19"/>
      <c r="GK36" s="19"/>
      <c r="GL36" s="19"/>
      <c r="GM36" s="19"/>
      <c r="GN36" s="19"/>
      <c r="GO36" s="19"/>
      <c r="GP36" s="19"/>
      <c r="GQ36" s="19"/>
      <c r="GR36" s="19"/>
      <c r="GS36" s="19"/>
      <c r="GT36" s="19"/>
      <c r="GU36" s="19"/>
      <c r="GV36" s="19"/>
      <c r="GW36" s="19"/>
      <c r="GX36" s="19"/>
      <c r="GY36" s="19"/>
      <c r="GZ36" s="19"/>
      <c r="HA36" s="19"/>
      <c r="HB36" s="19"/>
    </row>
    <row r="37" spans="1:210" hidden="1" x14ac:dyDescent="0.25">
      <c r="A37" s="113">
        <f t="shared" si="5"/>
        <v>93</v>
      </c>
      <c r="B37" s="163"/>
      <c r="C37" s="172" t="str">
        <f t="shared" si="0"/>
        <v>RTH at 93 °C</v>
      </c>
      <c r="D37" s="196">
        <f t="shared" si="6"/>
        <v>3</v>
      </c>
      <c r="E37" s="197">
        <v>0</v>
      </c>
      <c r="F37" s="198">
        <v>0</v>
      </c>
      <c r="G37" s="199">
        <v>0</v>
      </c>
      <c r="H37" s="128" t="s">
        <v>18</v>
      </c>
      <c r="I37" s="29"/>
      <c r="J37" s="29">
        <v>1.2050000000000001</v>
      </c>
      <c r="K37" s="29">
        <v>1.1679999999999999</v>
      </c>
      <c r="L37" s="29">
        <v>1.131</v>
      </c>
      <c r="M37" s="29"/>
      <c r="N37" s="29"/>
      <c r="O37" s="29"/>
      <c r="P37" s="29"/>
      <c r="Q37" s="29"/>
      <c r="R37" s="29"/>
      <c r="S37" s="29"/>
      <c r="T37" s="29"/>
      <c r="U37" s="29"/>
      <c r="V37" s="29"/>
      <c r="W37" s="29"/>
      <c r="X37" s="29"/>
      <c r="Y37" s="30"/>
      <c r="Z37" s="18"/>
      <c r="AA37" s="19"/>
      <c r="AB37" s="19"/>
      <c r="AC37" s="20">
        <f t="shared" si="1"/>
        <v>93</v>
      </c>
      <c r="AD37" s="20">
        <f t="shared" si="2"/>
        <v>0</v>
      </c>
      <c r="AE37" s="20">
        <f t="shared" si="3"/>
        <v>0</v>
      </c>
      <c r="AF37" s="20">
        <f t="shared" si="4"/>
        <v>0</v>
      </c>
      <c r="AG37" s="20">
        <f>Table9[[#This Row],[RTH(min) (kΩ)]]*RT2_TH_MIN/(RT2_TH_MIN+Table9[[#This Row],[RTH(min) (kΩ)]])</f>
        <v>0</v>
      </c>
      <c r="AH37" s="20">
        <f>Table9[[#This Row],[RTH(nom) (kΩ)]]*RT2_TH_S/(RT2_TH_S+Table9[[#This Row],[RTH(nom) (kΩ)]])</f>
        <v>0</v>
      </c>
      <c r="AI37" s="20">
        <f>Table9[[#This Row],[RTH(max) (kΩ)]]*RT2_TH_S_MAX/(RT2_TH_S_MAX+Table9[[#This Row],[RTH(max) (kΩ)]])</f>
        <v>0</v>
      </c>
      <c r="AJ37" s="20">
        <f>Table9[[#This Row],[RLower(min) (kΩ)]]/(Table9[[#This Row],[RLower(min) (kΩ)]]+RT1_TH_S_MAX)*100</f>
        <v>0</v>
      </c>
      <c r="AK37" s="20">
        <f>Table9[[#This Row],[RLower(nom) (kΩ)]]/(Table9[[#This Row],[RLower(nom) (kΩ)]]+RT1_TH_S)*100</f>
        <v>0</v>
      </c>
      <c r="AL37" s="20">
        <f>Table9[[#This Row],[RLower(max) (kΩ)]]/(Table9[[#This Row],[RLower(max) (kΩ)]]+RT1_TH_S_MIN)*100</f>
        <v>0</v>
      </c>
      <c r="AM37" s="20">
        <f>IF(Table9[[#This Row],[Vmin (%)]]&lt;$BA$14, 0, IF(Table9[[#This Row],[Vmin (%)]]&lt;$BA$12, 4, IF(Table9[[#This Row],[Vmin (%)]]&lt;$BA$9, 3, IF(Table9[[#This Row],[Vmin (%)]]&lt;$BA$7, 2, 0))))</f>
        <v>0</v>
      </c>
      <c r="AN37" s="20">
        <f>IF(Table9[[#This Row],[Vmin (%)]]&lt;$BA$13, 0, IF(Table9[[#This Row],[Vmin (%)]]&lt;$BA$11, 4, IF(Table9[[#This Row],[Vmin (%)]]&lt;$BA$10, 3, IF(Table9[[#This Row],[Vmin (%)]]&lt;$BA$8, 2, 0))))</f>
        <v>0</v>
      </c>
      <c r="AO37" s="76" t="str">
        <f>IF(Table9[[#This Row],[Vmin (%)]]&lt;$BA$14, "Hot", IF(Table9[[#This Row],[Vmin (%)]]&lt;$BA$12, "Warm", IF(Table9[[#This Row],[Vmin (%)]]&lt;$BA$9, "Normal", IF(Table9[[#This Row],[Vmin (%)]]&lt;$BA$7, "Cool", "Cold"))))</f>
        <v>Hot</v>
      </c>
      <c r="AP37" s="19"/>
      <c r="AQ37" s="19"/>
      <c r="AR37" s="19"/>
      <c r="AS37" s="19"/>
      <c r="AT37" s="19"/>
      <c r="AU37" s="19"/>
      <c r="AV37" s="19"/>
      <c r="AW37" s="19"/>
      <c r="AX37" s="19"/>
      <c r="AY37" s="19"/>
      <c r="AZ37" s="19"/>
      <c r="BA37" s="19"/>
      <c r="BB37" s="19"/>
      <c r="BC37" s="19"/>
      <c r="BD37" s="19"/>
      <c r="BE37" s="19"/>
      <c r="BF37" s="19"/>
      <c r="BG37" s="19"/>
      <c r="BH37" s="19"/>
      <c r="BI37" s="19"/>
      <c r="BJ37" s="19"/>
      <c r="BK37" s="19"/>
      <c r="BL37" s="19"/>
      <c r="BM37" s="19"/>
      <c r="BN37" s="19"/>
      <c r="BO37" s="19"/>
      <c r="BP37" s="19"/>
      <c r="BQ37" s="19"/>
      <c r="BR37" s="19"/>
      <c r="BS37" s="19"/>
      <c r="BT37" s="19"/>
      <c r="BU37" s="19"/>
      <c r="BV37" s="19"/>
      <c r="BW37" s="19"/>
      <c r="BX37" s="19"/>
      <c r="BY37" s="19"/>
      <c r="BZ37" s="19"/>
      <c r="CA37" s="19"/>
      <c r="CB37" s="19"/>
      <c r="CC37" s="19"/>
      <c r="CD37" s="19"/>
      <c r="CE37" s="19"/>
      <c r="CF37" s="19"/>
      <c r="CG37" s="19"/>
      <c r="CH37" s="19"/>
      <c r="CI37" s="19"/>
      <c r="CJ37" s="19"/>
      <c r="CK37" s="19"/>
      <c r="CL37" s="19"/>
      <c r="CM37" s="19"/>
      <c r="CN37" s="19"/>
      <c r="CO37" s="19"/>
      <c r="CP37" s="19"/>
      <c r="CQ37" s="19"/>
      <c r="CR37" s="19"/>
      <c r="CS37" s="19"/>
      <c r="CT37" s="19"/>
      <c r="CU37" s="19"/>
      <c r="CV37" s="19"/>
      <c r="CW37" s="19"/>
      <c r="CX37" s="19"/>
      <c r="CY37" s="19"/>
      <c r="CZ37" s="19"/>
      <c r="DA37" s="19"/>
      <c r="DB37" s="19"/>
      <c r="DC37" s="19"/>
      <c r="DD37" s="19"/>
      <c r="DE37" s="19"/>
      <c r="DF37" s="19"/>
      <c r="DG37" s="19"/>
      <c r="DH37" s="19"/>
      <c r="DI37" s="19"/>
      <c r="DJ37" s="19"/>
      <c r="DK37" s="19"/>
      <c r="DL37" s="19"/>
      <c r="DM37" s="19"/>
      <c r="DN37" s="19"/>
      <c r="DO37" s="19"/>
      <c r="DP37" s="19"/>
      <c r="DQ37" s="19"/>
      <c r="DR37" s="19"/>
      <c r="DS37" s="19"/>
      <c r="DT37" s="19"/>
      <c r="DU37" s="19"/>
      <c r="DV37" s="19"/>
      <c r="DW37" s="19"/>
      <c r="DX37" s="19"/>
      <c r="DY37" s="19"/>
      <c r="DZ37" s="19"/>
      <c r="EA37" s="19"/>
      <c r="EB37" s="19"/>
      <c r="EC37" s="19"/>
      <c r="ED37" s="19"/>
      <c r="EE37" s="19"/>
      <c r="EF37" s="19"/>
      <c r="EG37" s="19"/>
      <c r="EH37" s="19"/>
      <c r="EI37" s="19"/>
      <c r="EJ37" s="19"/>
      <c r="EK37" s="19"/>
      <c r="EL37" s="19"/>
      <c r="EM37" s="19"/>
      <c r="EN37" s="19"/>
      <c r="EO37" s="19"/>
      <c r="EP37" s="19"/>
      <c r="EQ37" s="19"/>
      <c r="ER37" s="19"/>
      <c r="ES37" s="19"/>
      <c r="ET37" s="19"/>
      <c r="EU37" s="19"/>
      <c r="EV37" s="19"/>
      <c r="EW37" s="19"/>
      <c r="EX37" s="19"/>
      <c r="EY37" s="19"/>
      <c r="EZ37" s="19"/>
      <c r="FA37" s="19"/>
      <c r="FB37" s="19"/>
      <c r="FC37" s="19"/>
      <c r="FD37" s="19"/>
      <c r="FE37" s="19"/>
      <c r="FF37" s="19"/>
      <c r="FG37" s="19"/>
      <c r="FH37" s="19"/>
      <c r="FI37" s="19"/>
      <c r="FJ37" s="19"/>
      <c r="FK37" s="19"/>
      <c r="FL37" s="19"/>
      <c r="FM37" s="19"/>
      <c r="FN37" s="19"/>
      <c r="FO37" s="19"/>
      <c r="FP37" s="19"/>
      <c r="FQ37" s="19"/>
      <c r="FR37" s="19"/>
      <c r="FS37" s="19"/>
      <c r="FT37" s="19"/>
      <c r="FU37" s="19"/>
      <c r="FV37" s="19"/>
      <c r="FW37" s="19"/>
      <c r="FX37" s="19"/>
      <c r="FY37" s="19"/>
      <c r="FZ37" s="19"/>
      <c r="GA37" s="19"/>
      <c r="GB37" s="19"/>
      <c r="GC37" s="19"/>
      <c r="GD37" s="19"/>
      <c r="GE37" s="19"/>
      <c r="GF37" s="19"/>
      <c r="GG37" s="19"/>
      <c r="GH37" s="19"/>
      <c r="GI37" s="19"/>
      <c r="GJ37" s="19"/>
      <c r="GK37" s="19"/>
      <c r="GL37" s="19"/>
      <c r="GM37" s="19"/>
      <c r="GN37" s="19"/>
      <c r="GO37" s="19"/>
      <c r="GP37" s="19"/>
      <c r="GQ37" s="19"/>
      <c r="GR37" s="19"/>
      <c r="GS37" s="19"/>
      <c r="GT37" s="19"/>
      <c r="GU37" s="19"/>
      <c r="GV37" s="19"/>
      <c r="GW37" s="19"/>
      <c r="GX37" s="19"/>
      <c r="GY37" s="19"/>
      <c r="GZ37" s="19"/>
      <c r="HA37" s="19"/>
      <c r="HB37" s="19"/>
    </row>
    <row r="38" spans="1:210" hidden="1" x14ac:dyDescent="0.25">
      <c r="A38" s="113">
        <f t="shared" si="5"/>
        <v>92</v>
      </c>
      <c r="B38" s="163"/>
      <c r="C38" s="172" t="str">
        <f t="shared" si="0"/>
        <v>RTH at 92 °C</v>
      </c>
      <c r="D38" s="196">
        <f t="shared" si="6"/>
        <v>2.9705882352941178</v>
      </c>
      <c r="E38" s="197">
        <v>0</v>
      </c>
      <c r="F38" s="198">
        <v>0</v>
      </c>
      <c r="G38" s="199">
        <v>0</v>
      </c>
      <c r="H38" s="128" t="s">
        <v>18</v>
      </c>
      <c r="I38" s="29"/>
      <c r="J38" s="29">
        <v>1.238</v>
      </c>
      <c r="K38" s="29">
        <v>1.2</v>
      </c>
      <c r="L38" s="29">
        <v>1.1619999999999999</v>
      </c>
      <c r="M38" s="29"/>
      <c r="N38" s="29"/>
      <c r="O38" s="29"/>
      <c r="P38" s="29"/>
      <c r="Q38" s="29"/>
      <c r="R38" s="29"/>
      <c r="S38" s="29"/>
      <c r="T38" s="29"/>
      <c r="U38" s="29"/>
      <c r="V38" s="29"/>
      <c r="W38" s="29"/>
      <c r="X38" s="29"/>
      <c r="Y38" s="30"/>
      <c r="Z38" s="18"/>
      <c r="AA38" s="19"/>
      <c r="AB38" s="19"/>
      <c r="AC38" s="20">
        <f t="shared" si="1"/>
        <v>92</v>
      </c>
      <c r="AD38" s="20">
        <f t="shared" si="2"/>
        <v>0</v>
      </c>
      <c r="AE38" s="20">
        <f t="shared" si="3"/>
        <v>0</v>
      </c>
      <c r="AF38" s="20">
        <f t="shared" si="4"/>
        <v>0</v>
      </c>
      <c r="AG38" s="20">
        <f>Table9[[#This Row],[RTH(min) (kΩ)]]*RT2_TH_MIN/(RT2_TH_MIN+Table9[[#This Row],[RTH(min) (kΩ)]])</f>
        <v>0</v>
      </c>
      <c r="AH38" s="20">
        <f>Table9[[#This Row],[RTH(nom) (kΩ)]]*RT2_TH_S/(RT2_TH_S+Table9[[#This Row],[RTH(nom) (kΩ)]])</f>
        <v>0</v>
      </c>
      <c r="AI38" s="20">
        <f>Table9[[#This Row],[RTH(max) (kΩ)]]*RT2_TH_S_MAX/(RT2_TH_S_MAX+Table9[[#This Row],[RTH(max) (kΩ)]])</f>
        <v>0</v>
      </c>
      <c r="AJ38" s="20">
        <f>Table9[[#This Row],[RLower(min) (kΩ)]]/(Table9[[#This Row],[RLower(min) (kΩ)]]+RT1_TH_S_MAX)*100</f>
        <v>0</v>
      </c>
      <c r="AK38" s="20">
        <f>Table9[[#This Row],[RLower(nom) (kΩ)]]/(Table9[[#This Row],[RLower(nom) (kΩ)]]+RT1_TH_S)*100</f>
        <v>0</v>
      </c>
      <c r="AL38" s="20">
        <f>Table9[[#This Row],[RLower(max) (kΩ)]]/(Table9[[#This Row],[RLower(max) (kΩ)]]+RT1_TH_S_MIN)*100</f>
        <v>0</v>
      </c>
      <c r="AM38" s="20">
        <f>IF(Table9[[#This Row],[Vmin (%)]]&lt;$BA$14, 0, IF(Table9[[#This Row],[Vmin (%)]]&lt;$BA$12, 4, IF(Table9[[#This Row],[Vmin (%)]]&lt;$BA$9, 3, IF(Table9[[#This Row],[Vmin (%)]]&lt;$BA$7, 2, 0))))</f>
        <v>0</v>
      </c>
      <c r="AN38" s="20">
        <f>IF(Table9[[#This Row],[Vmin (%)]]&lt;$BA$13, 0, IF(Table9[[#This Row],[Vmin (%)]]&lt;$BA$11, 4, IF(Table9[[#This Row],[Vmin (%)]]&lt;$BA$10, 3, IF(Table9[[#This Row],[Vmin (%)]]&lt;$BA$8, 2, 0))))</f>
        <v>0</v>
      </c>
      <c r="AO38" s="76" t="str">
        <f>IF(Table9[[#This Row],[Vmin (%)]]&lt;$BA$14, "Hot", IF(Table9[[#This Row],[Vmin (%)]]&lt;$BA$12, "Warm", IF(Table9[[#This Row],[Vmin (%)]]&lt;$BA$9, "Normal", IF(Table9[[#This Row],[Vmin (%)]]&lt;$BA$7, "Cool", "Cold"))))</f>
        <v>Hot</v>
      </c>
      <c r="AP38" s="19"/>
      <c r="AQ38" s="19"/>
      <c r="AR38" s="19"/>
      <c r="AS38" s="19"/>
      <c r="AT38" s="19"/>
      <c r="AU38" s="19"/>
      <c r="AV38" s="19"/>
      <c r="AW38" s="19"/>
      <c r="AX38" s="19"/>
      <c r="AY38" s="19"/>
      <c r="AZ38" s="19"/>
      <c r="BA38" s="19"/>
      <c r="BB38" s="19"/>
      <c r="BC38" s="19"/>
      <c r="BD38" s="19"/>
      <c r="BE38" s="19"/>
      <c r="BF38" s="19"/>
      <c r="BG38" s="19"/>
      <c r="BH38" s="19"/>
      <c r="BI38" s="19"/>
      <c r="BJ38" s="19"/>
      <c r="BK38" s="19"/>
      <c r="BL38" s="19"/>
      <c r="BM38" s="19"/>
      <c r="BN38" s="19"/>
      <c r="BO38" s="19"/>
      <c r="BP38" s="19"/>
      <c r="BQ38" s="19"/>
      <c r="BR38" s="19"/>
      <c r="BS38" s="19"/>
      <c r="BT38" s="19"/>
      <c r="BU38" s="19"/>
      <c r="BV38" s="19"/>
      <c r="BW38" s="19"/>
      <c r="BX38" s="19"/>
      <c r="BY38" s="19"/>
      <c r="BZ38" s="19"/>
      <c r="CA38" s="19"/>
      <c r="CB38" s="19"/>
      <c r="CC38" s="19"/>
      <c r="CD38" s="19"/>
      <c r="CE38" s="19"/>
      <c r="CF38" s="19"/>
      <c r="CG38" s="19"/>
      <c r="CH38" s="19"/>
      <c r="CI38" s="19"/>
      <c r="CJ38" s="19"/>
      <c r="CK38" s="19"/>
      <c r="CL38" s="19"/>
      <c r="CM38" s="19"/>
      <c r="CN38" s="19"/>
      <c r="CO38" s="19"/>
      <c r="CP38" s="19"/>
      <c r="CQ38" s="19"/>
      <c r="CR38" s="19"/>
      <c r="CS38" s="19"/>
      <c r="CT38" s="19"/>
      <c r="CU38" s="19"/>
      <c r="CV38" s="19"/>
      <c r="CW38" s="19"/>
      <c r="CX38" s="19"/>
      <c r="CY38" s="19"/>
      <c r="CZ38" s="19"/>
      <c r="DA38" s="19"/>
      <c r="DB38" s="19"/>
      <c r="DC38" s="19"/>
      <c r="DD38" s="19"/>
      <c r="DE38" s="19"/>
      <c r="DF38" s="19"/>
      <c r="DG38" s="19"/>
      <c r="DH38" s="19"/>
      <c r="DI38" s="19"/>
      <c r="DJ38" s="19"/>
      <c r="DK38" s="19"/>
      <c r="DL38" s="19"/>
      <c r="DM38" s="19"/>
      <c r="DN38" s="19"/>
      <c r="DO38" s="19"/>
      <c r="DP38" s="19"/>
      <c r="DQ38" s="19"/>
      <c r="DR38" s="19"/>
      <c r="DS38" s="19"/>
      <c r="DT38" s="19"/>
      <c r="DU38" s="19"/>
      <c r="DV38" s="19"/>
      <c r="DW38" s="19"/>
      <c r="DX38" s="19"/>
      <c r="DY38" s="19"/>
      <c r="DZ38" s="19"/>
      <c r="EA38" s="19"/>
      <c r="EB38" s="19"/>
      <c r="EC38" s="19"/>
      <c r="ED38" s="19"/>
      <c r="EE38" s="19"/>
      <c r="EF38" s="19"/>
      <c r="EG38" s="19"/>
      <c r="EH38" s="19"/>
      <c r="EI38" s="19"/>
      <c r="EJ38" s="19"/>
      <c r="EK38" s="19"/>
      <c r="EL38" s="19"/>
      <c r="EM38" s="19"/>
      <c r="EN38" s="19"/>
      <c r="EO38" s="19"/>
      <c r="EP38" s="19"/>
      <c r="EQ38" s="19"/>
      <c r="ER38" s="19"/>
      <c r="ES38" s="19"/>
      <c r="ET38" s="19"/>
      <c r="EU38" s="19"/>
      <c r="EV38" s="19"/>
      <c r="EW38" s="19"/>
      <c r="EX38" s="19"/>
      <c r="EY38" s="19"/>
      <c r="EZ38" s="19"/>
      <c r="FA38" s="19"/>
      <c r="FB38" s="19"/>
      <c r="FC38" s="19"/>
      <c r="FD38" s="19"/>
      <c r="FE38" s="19"/>
      <c r="FF38" s="19"/>
      <c r="FG38" s="19"/>
      <c r="FH38" s="19"/>
      <c r="FI38" s="19"/>
      <c r="FJ38" s="19"/>
      <c r="FK38" s="19"/>
      <c r="FL38" s="19"/>
      <c r="FM38" s="19"/>
      <c r="FN38" s="19"/>
      <c r="FO38" s="19"/>
      <c r="FP38" s="19"/>
      <c r="FQ38" s="19"/>
      <c r="FR38" s="19"/>
      <c r="FS38" s="19"/>
      <c r="FT38" s="19"/>
      <c r="FU38" s="19"/>
      <c r="FV38" s="19"/>
      <c r="FW38" s="19"/>
      <c r="FX38" s="19"/>
      <c r="FY38" s="19"/>
      <c r="FZ38" s="19"/>
      <c r="GA38" s="19"/>
      <c r="GB38" s="19"/>
      <c r="GC38" s="19"/>
      <c r="GD38" s="19"/>
      <c r="GE38" s="19"/>
      <c r="GF38" s="19"/>
      <c r="GG38" s="19"/>
      <c r="GH38" s="19"/>
      <c r="GI38" s="19"/>
      <c r="GJ38" s="19"/>
      <c r="GK38" s="19"/>
      <c r="GL38" s="19"/>
      <c r="GM38" s="19"/>
      <c r="GN38" s="19"/>
      <c r="GO38" s="19"/>
      <c r="GP38" s="19"/>
      <c r="GQ38" s="19"/>
      <c r="GR38" s="19"/>
      <c r="GS38" s="19"/>
      <c r="GT38" s="19"/>
      <c r="GU38" s="19"/>
      <c r="GV38" s="19"/>
      <c r="GW38" s="19"/>
      <c r="GX38" s="19"/>
      <c r="GY38" s="19"/>
      <c r="GZ38" s="19"/>
      <c r="HA38" s="19"/>
      <c r="HB38" s="19"/>
    </row>
    <row r="39" spans="1:210" hidden="1" x14ac:dyDescent="0.25">
      <c r="A39" s="113">
        <f t="shared" si="5"/>
        <v>91</v>
      </c>
      <c r="B39" s="163"/>
      <c r="C39" s="172" t="str">
        <f t="shared" si="0"/>
        <v>RTH at 91 °C</v>
      </c>
      <c r="D39" s="196">
        <f t="shared" si="6"/>
        <v>2.9411764705882355</v>
      </c>
      <c r="E39" s="197">
        <v>0</v>
      </c>
      <c r="F39" s="198">
        <v>0</v>
      </c>
      <c r="G39" s="199">
        <v>0</v>
      </c>
      <c r="H39" s="128" t="s">
        <v>18</v>
      </c>
      <c r="I39" s="29"/>
      <c r="J39" s="29">
        <v>1.2709999999999999</v>
      </c>
      <c r="K39" s="29">
        <v>1.232</v>
      </c>
      <c r="L39" s="29">
        <v>1.194</v>
      </c>
      <c r="M39" s="29"/>
      <c r="N39" s="29"/>
      <c r="O39" s="29"/>
      <c r="P39" s="29"/>
      <c r="Q39" s="29"/>
      <c r="R39" s="29"/>
      <c r="S39" s="29"/>
      <c r="T39" s="29"/>
      <c r="U39" s="29"/>
      <c r="V39" s="29"/>
      <c r="W39" s="29"/>
      <c r="X39" s="29"/>
      <c r="Y39" s="30"/>
      <c r="Z39" s="18"/>
      <c r="AA39" s="19"/>
      <c r="AB39" s="19"/>
      <c r="AC39" s="20">
        <f t="shared" si="1"/>
        <v>91</v>
      </c>
      <c r="AD39" s="20">
        <f t="shared" si="2"/>
        <v>0</v>
      </c>
      <c r="AE39" s="20">
        <f t="shared" si="3"/>
        <v>0</v>
      </c>
      <c r="AF39" s="20">
        <f t="shared" si="4"/>
        <v>0</v>
      </c>
      <c r="AG39" s="20">
        <f>Table9[[#This Row],[RTH(min) (kΩ)]]*RT2_TH_MIN/(RT2_TH_MIN+Table9[[#This Row],[RTH(min) (kΩ)]])</f>
        <v>0</v>
      </c>
      <c r="AH39" s="20">
        <f>Table9[[#This Row],[RTH(nom) (kΩ)]]*RT2_TH_S/(RT2_TH_S+Table9[[#This Row],[RTH(nom) (kΩ)]])</f>
        <v>0</v>
      </c>
      <c r="AI39" s="20">
        <f>Table9[[#This Row],[RTH(max) (kΩ)]]*RT2_TH_S_MAX/(RT2_TH_S_MAX+Table9[[#This Row],[RTH(max) (kΩ)]])</f>
        <v>0</v>
      </c>
      <c r="AJ39" s="20">
        <f>Table9[[#This Row],[RLower(min) (kΩ)]]/(Table9[[#This Row],[RLower(min) (kΩ)]]+RT1_TH_S_MAX)*100</f>
        <v>0</v>
      </c>
      <c r="AK39" s="20">
        <f>Table9[[#This Row],[RLower(nom) (kΩ)]]/(Table9[[#This Row],[RLower(nom) (kΩ)]]+RT1_TH_S)*100</f>
        <v>0</v>
      </c>
      <c r="AL39" s="20">
        <f>Table9[[#This Row],[RLower(max) (kΩ)]]/(Table9[[#This Row],[RLower(max) (kΩ)]]+RT1_TH_S_MIN)*100</f>
        <v>0</v>
      </c>
      <c r="AM39" s="20">
        <f>IF(Table9[[#This Row],[Vmin (%)]]&lt;$BA$14, 0, IF(Table9[[#This Row],[Vmin (%)]]&lt;$BA$12, 4, IF(Table9[[#This Row],[Vmin (%)]]&lt;$BA$9, 3, IF(Table9[[#This Row],[Vmin (%)]]&lt;$BA$7, 2, 0))))</f>
        <v>0</v>
      </c>
      <c r="AN39" s="20">
        <f>IF(Table9[[#This Row],[Vmin (%)]]&lt;$BA$13, 0, IF(Table9[[#This Row],[Vmin (%)]]&lt;$BA$11, 4, IF(Table9[[#This Row],[Vmin (%)]]&lt;$BA$10, 3, IF(Table9[[#This Row],[Vmin (%)]]&lt;$BA$8, 2, 0))))</f>
        <v>0</v>
      </c>
      <c r="AO39" s="76" t="str">
        <f>IF(Table9[[#This Row],[Vmin (%)]]&lt;$BA$14, "Hot", IF(Table9[[#This Row],[Vmin (%)]]&lt;$BA$12, "Warm", IF(Table9[[#This Row],[Vmin (%)]]&lt;$BA$9, "Normal", IF(Table9[[#This Row],[Vmin (%)]]&lt;$BA$7, "Cool", "Cold"))))</f>
        <v>Hot</v>
      </c>
      <c r="AP39" s="19"/>
      <c r="AQ39" s="19"/>
      <c r="AR39" s="19"/>
      <c r="AS39" s="19"/>
      <c r="AT39" s="19"/>
      <c r="AU39" s="19"/>
      <c r="AV39" s="19"/>
      <c r="AW39" s="19"/>
      <c r="AX39" s="19"/>
      <c r="AY39" s="19"/>
      <c r="AZ39" s="19"/>
      <c r="BA39" s="19"/>
      <c r="BB39" s="19"/>
      <c r="BC39" s="19"/>
      <c r="BD39" s="19"/>
      <c r="BE39" s="19"/>
      <c r="BF39" s="19"/>
      <c r="BG39" s="19"/>
      <c r="BH39" s="19"/>
      <c r="BI39" s="19"/>
      <c r="BJ39" s="19"/>
      <c r="BK39" s="19"/>
      <c r="BL39" s="19"/>
      <c r="BM39" s="19"/>
      <c r="BN39" s="19"/>
      <c r="BO39" s="19"/>
      <c r="BP39" s="19"/>
      <c r="BQ39" s="19"/>
      <c r="BR39" s="19"/>
      <c r="BS39" s="19"/>
      <c r="BT39" s="19"/>
      <c r="BU39" s="19"/>
      <c r="BV39" s="19"/>
      <c r="BW39" s="19"/>
      <c r="BX39" s="19"/>
      <c r="BY39" s="19"/>
      <c r="BZ39" s="19"/>
      <c r="CA39" s="19"/>
      <c r="CB39" s="19"/>
      <c r="CC39" s="19"/>
      <c r="CD39" s="19"/>
      <c r="CE39" s="19"/>
      <c r="CF39" s="19"/>
      <c r="CG39" s="19"/>
      <c r="CH39" s="19"/>
      <c r="CI39" s="19"/>
      <c r="CJ39" s="19"/>
      <c r="CK39" s="19"/>
      <c r="CL39" s="19"/>
      <c r="CM39" s="19"/>
      <c r="CN39" s="19"/>
      <c r="CO39" s="19"/>
      <c r="CP39" s="19"/>
      <c r="CQ39" s="19"/>
      <c r="CR39" s="19"/>
      <c r="CS39" s="19"/>
      <c r="CT39" s="19"/>
      <c r="CU39" s="19"/>
      <c r="CV39" s="19"/>
      <c r="CW39" s="19"/>
      <c r="CX39" s="19"/>
      <c r="CY39" s="19"/>
      <c r="CZ39" s="19"/>
      <c r="DA39" s="19"/>
      <c r="DB39" s="19"/>
      <c r="DC39" s="19"/>
      <c r="DD39" s="19"/>
      <c r="DE39" s="19"/>
      <c r="DF39" s="19"/>
      <c r="DG39" s="19"/>
      <c r="DH39" s="19"/>
      <c r="DI39" s="19"/>
      <c r="DJ39" s="19"/>
      <c r="DK39" s="19"/>
      <c r="DL39" s="19"/>
      <c r="DM39" s="19"/>
      <c r="DN39" s="19"/>
      <c r="DO39" s="19"/>
      <c r="DP39" s="19"/>
      <c r="DQ39" s="19"/>
      <c r="DR39" s="19"/>
      <c r="DS39" s="19"/>
      <c r="DT39" s="19"/>
      <c r="DU39" s="19"/>
      <c r="DV39" s="19"/>
      <c r="DW39" s="19"/>
      <c r="DX39" s="19"/>
      <c r="DY39" s="19"/>
      <c r="DZ39" s="19"/>
      <c r="EA39" s="19"/>
      <c r="EB39" s="19"/>
      <c r="EC39" s="19"/>
      <c r="ED39" s="19"/>
      <c r="EE39" s="19"/>
      <c r="EF39" s="19"/>
      <c r="EG39" s="19"/>
      <c r="EH39" s="19"/>
      <c r="EI39" s="19"/>
      <c r="EJ39" s="19"/>
      <c r="EK39" s="19"/>
      <c r="EL39" s="19"/>
      <c r="EM39" s="19"/>
      <c r="EN39" s="19"/>
      <c r="EO39" s="19"/>
      <c r="EP39" s="19"/>
      <c r="EQ39" s="19"/>
      <c r="ER39" s="19"/>
      <c r="ES39" s="19"/>
      <c r="ET39" s="19"/>
      <c r="EU39" s="19"/>
      <c r="EV39" s="19"/>
      <c r="EW39" s="19"/>
      <c r="EX39" s="19"/>
      <c r="EY39" s="19"/>
      <c r="EZ39" s="19"/>
      <c r="FA39" s="19"/>
      <c r="FB39" s="19"/>
      <c r="FC39" s="19"/>
      <c r="FD39" s="19"/>
      <c r="FE39" s="19"/>
      <c r="FF39" s="19"/>
      <c r="FG39" s="19"/>
      <c r="FH39" s="19"/>
      <c r="FI39" s="19"/>
      <c r="FJ39" s="19"/>
      <c r="FK39" s="19"/>
      <c r="FL39" s="19"/>
      <c r="FM39" s="19"/>
      <c r="FN39" s="19"/>
      <c r="FO39" s="19"/>
      <c r="FP39" s="19"/>
      <c r="FQ39" s="19"/>
      <c r="FR39" s="19"/>
      <c r="FS39" s="19"/>
      <c r="FT39" s="19"/>
      <c r="FU39" s="19"/>
      <c r="FV39" s="19"/>
      <c r="FW39" s="19"/>
      <c r="FX39" s="19"/>
      <c r="FY39" s="19"/>
      <c r="FZ39" s="19"/>
      <c r="GA39" s="19"/>
      <c r="GB39" s="19"/>
      <c r="GC39" s="19"/>
      <c r="GD39" s="19"/>
      <c r="GE39" s="19"/>
      <c r="GF39" s="19"/>
      <c r="GG39" s="19"/>
      <c r="GH39" s="19"/>
      <c r="GI39" s="19"/>
      <c r="GJ39" s="19"/>
      <c r="GK39" s="19"/>
      <c r="GL39" s="19"/>
      <c r="GM39" s="19"/>
      <c r="GN39" s="19"/>
      <c r="GO39" s="19"/>
      <c r="GP39" s="19"/>
      <c r="GQ39" s="19"/>
      <c r="GR39" s="19"/>
      <c r="GS39" s="19"/>
      <c r="GT39" s="19"/>
      <c r="GU39" s="19"/>
      <c r="GV39" s="19"/>
      <c r="GW39" s="19"/>
      <c r="GX39" s="19"/>
      <c r="GY39" s="19"/>
      <c r="GZ39" s="19"/>
      <c r="HA39" s="19"/>
      <c r="HB39" s="19"/>
    </row>
    <row r="40" spans="1:210" hidden="1" x14ac:dyDescent="0.25">
      <c r="A40" s="113">
        <f t="shared" si="5"/>
        <v>90</v>
      </c>
      <c r="B40" s="163"/>
      <c r="C40" s="172" t="str">
        <f t="shared" si="0"/>
        <v>RTH at 90 °C</v>
      </c>
      <c r="D40" s="196">
        <f t="shared" si="6"/>
        <v>2.9117647058823528</v>
      </c>
      <c r="E40" s="197">
        <v>0</v>
      </c>
      <c r="F40" s="198">
        <v>0</v>
      </c>
      <c r="G40" s="199">
        <v>0</v>
      </c>
      <c r="H40" s="128" t="s">
        <v>18</v>
      </c>
      <c r="I40" s="29"/>
      <c r="J40" s="29">
        <v>1.3049999999999999</v>
      </c>
      <c r="K40" s="29">
        <v>1.266</v>
      </c>
      <c r="L40" s="29">
        <v>1.2270000000000001</v>
      </c>
      <c r="M40" s="29"/>
      <c r="N40" s="29"/>
      <c r="O40" s="29"/>
      <c r="P40" s="29"/>
      <c r="Q40" s="29"/>
      <c r="R40" s="29"/>
      <c r="S40" s="29"/>
      <c r="T40" s="29"/>
      <c r="U40" s="29"/>
      <c r="V40" s="29"/>
      <c r="W40" s="29"/>
      <c r="X40" s="29"/>
      <c r="Y40" s="30"/>
      <c r="Z40" s="18"/>
      <c r="AA40" s="19"/>
      <c r="AB40" s="19"/>
      <c r="AC40" s="20">
        <f t="shared" si="1"/>
        <v>90</v>
      </c>
      <c r="AD40" s="20">
        <f t="shared" si="2"/>
        <v>0</v>
      </c>
      <c r="AE40" s="20">
        <f t="shared" si="3"/>
        <v>0</v>
      </c>
      <c r="AF40" s="20">
        <f t="shared" si="4"/>
        <v>0</v>
      </c>
      <c r="AG40" s="20">
        <f>Table9[[#This Row],[RTH(min) (kΩ)]]*RT2_TH_MIN/(RT2_TH_MIN+Table9[[#This Row],[RTH(min) (kΩ)]])</f>
        <v>0</v>
      </c>
      <c r="AH40" s="20">
        <f>Table9[[#This Row],[RTH(nom) (kΩ)]]*RT2_TH_S/(RT2_TH_S+Table9[[#This Row],[RTH(nom) (kΩ)]])</f>
        <v>0</v>
      </c>
      <c r="AI40" s="20">
        <f>Table9[[#This Row],[RTH(max) (kΩ)]]*RT2_TH_S_MAX/(RT2_TH_S_MAX+Table9[[#This Row],[RTH(max) (kΩ)]])</f>
        <v>0</v>
      </c>
      <c r="AJ40" s="20">
        <f>Table9[[#This Row],[RLower(min) (kΩ)]]/(Table9[[#This Row],[RLower(min) (kΩ)]]+RT1_TH_S_MAX)*100</f>
        <v>0</v>
      </c>
      <c r="AK40" s="20">
        <f>Table9[[#This Row],[RLower(nom) (kΩ)]]/(Table9[[#This Row],[RLower(nom) (kΩ)]]+RT1_TH_S)*100</f>
        <v>0</v>
      </c>
      <c r="AL40" s="20">
        <f>Table9[[#This Row],[RLower(max) (kΩ)]]/(Table9[[#This Row],[RLower(max) (kΩ)]]+RT1_TH_S_MIN)*100</f>
        <v>0</v>
      </c>
      <c r="AM40" s="20">
        <f>IF(Table9[[#This Row],[Vmin (%)]]&lt;$BA$14, 0, IF(Table9[[#This Row],[Vmin (%)]]&lt;$BA$12, 4, IF(Table9[[#This Row],[Vmin (%)]]&lt;$BA$9, 3, IF(Table9[[#This Row],[Vmin (%)]]&lt;$BA$7, 2, 0))))</f>
        <v>0</v>
      </c>
      <c r="AN40" s="20">
        <f>IF(Table9[[#This Row],[Vmin (%)]]&lt;$BA$13, 0, IF(Table9[[#This Row],[Vmin (%)]]&lt;$BA$11, 4, IF(Table9[[#This Row],[Vmin (%)]]&lt;$BA$10, 3, IF(Table9[[#This Row],[Vmin (%)]]&lt;$BA$8, 2, 0))))</f>
        <v>0</v>
      </c>
      <c r="AO40" s="76" t="str">
        <f>IF(Table9[[#This Row],[Vmin (%)]]&lt;$BA$14, "Hot", IF(Table9[[#This Row],[Vmin (%)]]&lt;$BA$12, "Warm", IF(Table9[[#This Row],[Vmin (%)]]&lt;$BA$9, "Normal", IF(Table9[[#This Row],[Vmin (%)]]&lt;$BA$7, "Cool", "Cold"))))</f>
        <v>Hot</v>
      </c>
      <c r="AP40" s="19"/>
      <c r="AQ40" s="19"/>
      <c r="AR40" s="19"/>
      <c r="AS40" s="19"/>
      <c r="AT40" s="19"/>
      <c r="AU40" s="19"/>
      <c r="AV40" s="19"/>
      <c r="AW40" s="19"/>
      <c r="AX40" s="19"/>
      <c r="AY40" s="19"/>
      <c r="AZ40" s="19"/>
      <c r="BA40" s="19"/>
      <c r="BB40" s="19"/>
      <c r="BC40" s="19"/>
      <c r="BD40" s="19"/>
      <c r="BE40" s="19"/>
      <c r="BF40" s="19"/>
      <c r="BG40" s="19"/>
      <c r="BH40" s="19"/>
      <c r="BI40" s="19"/>
      <c r="BJ40" s="19"/>
      <c r="BK40" s="19"/>
      <c r="BL40" s="19"/>
      <c r="BM40" s="19"/>
      <c r="BN40" s="19"/>
      <c r="BO40" s="19"/>
      <c r="BP40" s="19"/>
      <c r="BQ40" s="19"/>
      <c r="BR40" s="19"/>
      <c r="BS40" s="19"/>
      <c r="BT40" s="19"/>
      <c r="BU40" s="19"/>
      <c r="BV40" s="19"/>
      <c r="BW40" s="19"/>
      <c r="BX40" s="19"/>
      <c r="BY40" s="19"/>
      <c r="BZ40" s="19"/>
      <c r="CA40" s="19"/>
      <c r="CB40" s="19"/>
      <c r="CC40" s="19"/>
      <c r="CD40" s="19"/>
      <c r="CE40" s="19"/>
      <c r="CF40" s="19"/>
      <c r="CG40" s="19"/>
      <c r="CH40" s="19"/>
      <c r="CI40" s="19"/>
      <c r="CJ40" s="19"/>
      <c r="CK40" s="19"/>
      <c r="CL40" s="19"/>
      <c r="CM40" s="19"/>
      <c r="CN40" s="19"/>
      <c r="CO40" s="19"/>
      <c r="CP40" s="19"/>
      <c r="CQ40" s="19"/>
      <c r="CR40" s="19"/>
      <c r="CS40" s="19"/>
      <c r="CT40" s="19"/>
      <c r="CU40" s="19"/>
      <c r="CV40" s="19"/>
      <c r="CW40" s="19"/>
      <c r="CX40" s="19"/>
      <c r="CY40" s="19"/>
      <c r="CZ40" s="19"/>
      <c r="DA40" s="19"/>
      <c r="DB40" s="19"/>
      <c r="DC40" s="19"/>
      <c r="DD40" s="19"/>
      <c r="DE40" s="19"/>
      <c r="DF40" s="19"/>
      <c r="DG40" s="19"/>
      <c r="DH40" s="19"/>
      <c r="DI40" s="19"/>
      <c r="DJ40" s="19"/>
      <c r="DK40" s="19"/>
      <c r="DL40" s="19"/>
      <c r="DM40" s="19"/>
      <c r="DN40" s="19"/>
      <c r="DO40" s="19"/>
      <c r="DP40" s="19"/>
      <c r="DQ40" s="19"/>
      <c r="DR40" s="19"/>
      <c r="DS40" s="19"/>
      <c r="DT40" s="19"/>
      <c r="DU40" s="19"/>
      <c r="DV40" s="19"/>
      <c r="DW40" s="19"/>
      <c r="DX40" s="19"/>
      <c r="DY40" s="19"/>
      <c r="DZ40" s="19"/>
      <c r="EA40" s="19"/>
      <c r="EB40" s="19"/>
      <c r="EC40" s="19"/>
      <c r="ED40" s="19"/>
      <c r="EE40" s="19"/>
      <c r="EF40" s="19"/>
      <c r="EG40" s="19"/>
      <c r="EH40" s="19"/>
      <c r="EI40" s="19"/>
      <c r="EJ40" s="19"/>
      <c r="EK40" s="19"/>
      <c r="EL40" s="19"/>
      <c r="EM40" s="19"/>
      <c r="EN40" s="19"/>
      <c r="EO40" s="19"/>
      <c r="EP40" s="19"/>
      <c r="EQ40" s="19"/>
      <c r="ER40" s="19"/>
      <c r="ES40" s="19"/>
      <c r="ET40" s="19"/>
      <c r="EU40" s="19"/>
      <c r="EV40" s="19"/>
      <c r="EW40" s="19"/>
      <c r="EX40" s="19"/>
      <c r="EY40" s="19"/>
      <c r="EZ40" s="19"/>
      <c r="FA40" s="19"/>
      <c r="FB40" s="19"/>
      <c r="FC40" s="19"/>
      <c r="FD40" s="19"/>
      <c r="FE40" s="19"/>
      <c r="FF40" s="19"/>
      <c r="FG40" s="19"/>
      <c r="FH40" s="19"/>
      <c r="FI40" s="19"/>
      <c r="FJ40" s="19"/>
      <c r="FK40" s="19"/>
      <c r="FL40" s="19"/>
      <c r="FM40" s="19"/>
      <c r="FN40" s="19"/>
      <c r="FO40" s="19"/>
      <c r="FP40" s="19"/>
      <c r="FQ40" s="19"/>
      <c r="FR40" s="19"/>
      <c r="FS40" s="19"/>
      <c r="FT40" s="19"/>
      <c r="FU40" s="19"/>
      <c r="FV40" s="19"/>
      <c r="FW40" s="19"/>
      <c r="FX40" s="19"/>
      <c r="FY40" s="19"/>
      <c r="FZ40" s="19"/>
      <c r="GA40" s="19"/>
      <c r="GB40" s="19"/>
      <c r="GC40" s="19"/>
      <c r="GD40" s="19"/>
      <c r="GE40" s="19"/>
      <c r="GF40" s="19"/>
      <c r="GG40" s="19"/>
      <c r="GH40" s="19"/>
      <c r="GI40" s="19"/>
      <c r="GJ40" s="19"/>
      <c r="GK40" s="19"/>
      <c r="GL40" s="19"/>
      <c r="GM40" s="19"/>
      <c r="GN40" s="19"/>
      <c r="GO40" s="19"/>
      <c r="GP40" s="19"/>
      <c r="GQ40" s="19"/>
      <c r="GR40" s="19"/>
      <c r="GS40" s="19"/>
      <c r="GT40" s="19"/>
      <c r="GU40" s="19"/>
      <c r="GV40" s="19"/>
      <c r="GW40" s="19"/>
      <c r="GX40" s="19"/>
      <c r="GY40" s="19"/>
      <c r="GZ40" s="19"/>
      <c r="HA40" s="19"/>
      <c r="HB40" s="19"/>
    </row>
    <row r="41" spans="1:210" hidden="1" x14ac:dyDescent="0.25">
      <c r="A41" s="113">
        <f t="shared" si="5"/>
        <v>89</v>
      </c>
      <c r="B41" s="163"/>
      <c r="C41" s="172" t="str">
        <f t="shared" si="0"/>
        <v>RTH at 89 °C</v>
      </c>
      <c r="D41" s="196">
        <f t="shared" si="6"/>
        <v>2.8823529411764706</v>
      </c>
      <c r="E41" s="197">
        <v>0</v>
      </c>
      <c r="F41" s="198">
        <v>0</v>
      </c>
      <c r="G41" s="199">
        <v>0</v>
      </c>
      <c r="H41" s="128" t="s">
        <v>18</v>
      </c>
      <c r="I41" s="29"/>
      <c r="J41" s="29">
        <v>1.341</v>
      </c>
      <c r="K41" s="29">
        <v>1.3009999999999999</v>
      </c>
      <c r="L41" s="29">
        <v>1.2609999999999999</v>
      </c>
      <c r="M41" s="29"/>
      <c r="N41" s="29"/>
      <c r="O41" s="29"/>
      <c r="P41" s="29"/>
      <c r="Q41" s="29"/>
      <c r="R41" s="29"/>
      <c r="S41" s="29"/>
      <c r="T41" s="29"/>
      <c r="U41" s="29"/>
      <c r="V41" s="29"/>
      <c r="W41" s="29"/>
      <c r="X41" s="29"/>
      <c r="Y41" s="30"/>
      <c r="Z41" s="18"/>
      <c r="AA41" s="19"/>
      <c r="AB41" s="19"/>
      <c r="AC41" s="20">
        <f t="shared" si="1"/>
        <v>89</v>
      </c>
      <c r="AD41" s="20">
        <f t="shared" si="2"/>
        <v>0</v>
      </c>
      <c r="AE41" s="20">
        <f t="shared" si="3"/>
        <v>0</v>
      </c>
      <c r="AF41" s="20">
        <f t="shared" si="4"/>
        <v>0</v>
      </c>
      <c r="AG41" s="20">
        <f>Table9[[#This Row],[RTH(min) (kΩ)]]*RT2_TH_MIN/(RT2_TH_MIN+Table9[[#This Row],[RTH(min) (kΩ)]])</f>
        <v>0</v>
      </c>
      <c r="AH41" s="20">
        <f>Table9[[#This Row],[RTH(nom) (kΩ)]]*RT2_TH_S/(RT2_TH_S+Table9[[#This Row],[RTH(nom) (kΩ)]])</f>
        <v>0</v>
      </c>
      <c r="AI41" s="20">
        <f>Table9[[#This Row],[RTH(max) (kΩ)]]*RT2_TH_S_MAX/(RT2_TH_S_MAX+Table9[[#This Row],[RTH(max) (kΩ)]])</f>
        <v>0</v>
      </c>
      <c r="AJ41" s="20">
        <f>Table9[[#This Row],[RLower(min) (kΩ)]]/(Table9[[#This Row],[RLower(min) (kΩ)]]+RT1_TH_S_MAX)*100</f>
        <v>0</v>
      </c>
      <c r="AK41" s="20">
        <f>Table9[[#This Row],[RLower(nom) (kΩ)]]/(Table9[[#This Row],[RLower(nom) (kΩ)]]+RT1_TH_S)*100</f>
        <v>0</v>
      </c>
      <c r="AL41" s="20">
        <f>Table9[[#This Row],[RLower(max) (kΩ)]]/(Table9[[#This Row],[RLower(max) (kΩ)]]+RT1_TH_S_MIN)*100</f>
        <v>0</v>
      </c>
      <c r="AM41" s="20">
        <f>IF(Table9[[#This Row],[Vmin (%)]]&lt;$BA$14, 0, IF(Table9[[#This Row],[Vmin (%)]]&lt;$BA$12, 4, IF(Table9[[#This Row],[Vmin (%)]]&lt;$BA$9, 3, IF(Table9[[#This Row],[Vmin (%)]]&lt;$BA$7, 2, 0))))</f>
        <v>0</v>
      </c>
      <c r="AN41" s="20">
        <f>IF(Table9[[#This Row],[Vmin (%)]]&lt;$BA$13, 0, IF(Table9[[#This Row],[Vmin (%)]]&lt;$BA$11, 4, IF(Table9[[#This Row],[Vmin (%)]]&lt;$BA$10, 3, IF(Table9[[#This Row],[Vmin (%)]]&lt;$BA$8, 2, 0))))</f>
        <v>0</v>
      </c>
      <c r="AO41" s="76" t="str">
        <f>IF(Table9[[#This Row],[Vmin (%)]]&lt;$BA$14, "Hot", IF(Table9[[#This Row],[Vmin (%)]]&lt;$BA$12, "Warm", IF(Table9[[#This Row],[Vmin (%)]]&lt;$BA$9, "Normal", IF(Table9[[#This Row],[Vmin (%)]]&lt;$BA$7, "Cool", "Cold"))))</f>
        <v>Hot</v>
      </c>
      <c r="AP41" s="19"/>
      <c r="AQ41" s="19"/>
      <c r="AR41" s="19"/>
      <c r="AS41" s="19"/>
      <c r="AT41" s="19"/>
      <c r="AU41" s="19"/>
      <c r="AV41" s="19"/>
      <c r="AW41" s="19"/>
      <c r="AX41" s="19"/>
      <c r="AY41" s="19"/>
      <c r="AZ41" s="19"/>
      <c r="BA41" s="19"/>
      <c r="BB41" s="19"/>
      <c r="BC41" s="19"/>
      <c r="BD41" s="19"/>
      <c r="BE41" s="19"/>
      <c r="BF41" s="19"/>
      <c r="BG41" s="19"/>
      <c r="BH41" s="19"/>
      <c r="BI41" s="19"/>
      <c r="BJ41" s="19"/>
      <c r="BK41" s="19"/>
      <c r="BL41" s="19"/>
      <c r="BM41" s="19"/>
      <c r="BN41" s="19"/>
      <c r="BO41" s="19"/>
      <c r="BP41" s="19"/>
      <c r="BQ41" s="19"/>
      <c r="BR41" s="19"/>
      <c r="BS41" s="19"/>
      <c r="BT41" s="19"/>
      <c r="BU41" s="19"/>
      <c r="BV41" s="19"/>
      <c r="BW41" s="19"/>
      <c r="BX41" s="19"/>
      <c r="BY41" s="19"/>
      <c r="BZ41" s="19"/>
      <c r="CA41" s="19"/>
      <c r="CB41" s="19"/>
      <c r="CC41" s="19"/>
      <c r="CD41" s="19"/>
      <c r="CE41" s="19"/>
      <c r="CF41" s="19"/>
      <c r="CG41" s="19"/>
      <c r="CH41" s="19"/>
      <c r="CI41" s="19"/>
      <c r="CJ41" s="19"/>
      <c r="CK41" s="19"/>
      <c r="CL41" s="19"/>
      <c r="CM41" s="19"/>
      <c r="CN41" s="19"/>
      <c r="CO41" s="19"/>
      <c r="CP41" s="19"/>
      <c r="CQ41" s="19"/>
      <c r="CR41" s="19"/>
      <c r="CS41" s="19"/>
      <c r="CT41" s="19"/>
      <c r="CU41" s="19"/>
      <c r="CV41" s="19"/>
      <c r="CW41" s="19"/>
      <c r="CX41" s="19"/>
      <c r="CY41" s="19"/>
      <c r="CZ41" s="19"/>
      <c r="DA41" s="19"/>
      <c r="DB41" s="19"/>
      <c r="DC41" s="19"/>
      <c r="DD41" s="19"/>
      <c r="DE41" s="19"/>
      <c r="DF41" s="19"/>
      <c r="DG41" s="19"/>
      <c r="DH41" s="19"/>
      <c r="DI41" s="19"/>
      <c r="DJ41" s="19"/>
      <c r="DK41" s="19"/>
      <c r="DL41" s="19"/>
      <c r="DM41" s="19"/>
      <c r="DN41" s="19"/>
      <c r="DO41" s="19"/>
      <c r="DP41" s="19"/>
      <c r="DQ41" s="19"/>
      <c r="DR41" s="19"/>
      <c r="DS41" s="19"/>
      <c r="DT41" s="19"/>
      <c r="DU41" s="19"/>
      <c r="DV41" s="19"/>
      <c r="DW41" s="19"/>
      <c r="DX41" s="19"/>
      <c r="DY41" s="19"/>
      <c r="DZ41" s="19"/>
      <c r="EA41" s="19"/>
      <c r="EB41" s="19"/>
      <c r="EC41" s="19"/>
      <c r="ED41" s="19"/>
      <c r="EE41" s="19"/>
      <c r="EF41" s="19"/>
      <c r="EG41" s="19"/>
      <c r="EH41" s="19"/>
      <c r="EI41" s="19"/>
      <c r="EJ41" s="19"/>
      <c r="EK41" s="19"/>
      <c r="EL41" s="19"/>
      <c r="EM41" s="19"/>
      <c r="EN41" s="19"/>
      <c r="EO41" s="19"/>
      <c r="EP41" s="19"/>
      <c r="EQ41" s="19"/>
      <c r="ER41" s="19"/>
      <c r="ES41" s="19"/>
      <c r="ET41" s="19"/>
      <c r="EU41" s="19"/>
      <c r="EV41" s="19"/>
      <c r="EW41" s="19"/>
      <c r="EX41" s="19"/>
      <c r="EY41" s="19"/>
      <c r="EZ41" s="19"/>
      <c r="FA41" s="19"/>
      <c r="FB41" s="19"/>
      <c r="FC41" s="19"/>
      <c r="FD41" s="19"/>
      <c r="FE41" s="19"/>
      <c r="FF41" s="19"/>
      <c r="FG41" s="19"/>
      <c r="FH41" s="19"/>
      <c r="FI41" s="19"/>
      <c r="FJ41" s="19"/>
      <c r="FK41" s="19"/>
      <c r="FL41" s="19"/>
      <c r="FM41" s="19"/>
      <c r="FN41" s="19"/>
      <c r="FO41" s="19"/>
      <c r="FP41" s="19"/>
      <c r="FQ41" s="19"/>
      <c r="FR41" s="19"/>
      <c r="FS41" s="19"/>
      <c r="FT41" s="19"/>
      <c r="FU41" s="19"/>
      <c r="FV41" s="19"/>
      <c r="FW41" s="19"/>
      <c r="FX41" s="19"/>
      <c r="FY41" s="19"/>
      <c r="FZ41" s="19"/>
      <c r="GA41" s="19"/>
      <c r="GB41" s="19"/>
      <c r="GC41" s="19"/>
      <c r="GD41" s="19"/>
      <c r="GE41" s="19"/>
      <c r="GF41" s="19"/>
      <c r="GG41" s="19"/>
      <c r="GH41" s="19"/>
      <c r="GI41" s="19"/>
      <c r="GJ41" s="19"/>
      <c r="GK41" s="19"/>
      <c r="GL41" s="19"/>
      <c r="GM41" s="19"/>
      <c r="GN41" s="19"/>
      <c r="GO41" s="19"/>
      <c r="GP41" s="19"/>
      <c r="GQ41" s="19"/>
      <c r="GR41" s="19"/>
      <c r="GS41" s="19"/>
      <c r="GT41" s="19"/>
      <c r="GU41" s="19"/>
      <c r="GV41" s="19"/>
      <c r="GW41" s="19"/>
      <c r="GX41" s="19"/>
      <c r="GY41" s="19"/>
      <c r="GZ41" s="19"/>
      <c r="HA41" s="19"/>
      <c r="HB41" s="19"/>
    </row>
    <row r="42" spans="1:210" hidden="1" x14ac:dyDescent="0.25">
      <c r="A42" s="113">
        <f t="shared" si="5"/>
        <v>88</v>
      </c>
      <c r="B42" s="163"/>
      <c r="C42" s="172" t="str">
        <f t="shared" si="0"/>
        <v>RTH at 88 °C</v>
      </c>
      <c r="D42" s="196">
        <f t="shared" si="6"/>
        <v>2.8529411764705883</v>
      </c>
      <c r="E42" s="197">
        <v>0</v>
      </c>
      <c r="F42" s="198">
        <v>0</v>
      </c>
      <c r="G42" s="199">
        <v>0</v>
      </c>
      <c r="H42" s="128" t="s">
        <v>18</v>
      </c>
      <c r="I42" s="29"/>
      <c r="J42" s="29">
        <v>1.377</v>
      </c>
      <c r="K42" s="29">
        <v>1.3360000000000001</v>
      </c>
      <c r="L42" s="29">
        <v>1.296</v>
      </c>
      <c r="M42" s="29"/>
      <c r="N42" s="29"/>
      <c r="O42" s="29"/>
      <c r="P42" s="29"/>
      <c r="Q42" s="29"/>
      <c r="R42" s="29"/>
      <c r="S42" s="29"/>
      <c r="T42" s="29"/>
      <c r="U42" s="29"/>
      <c r="V42" s="29"/>
      <c r="W42" s="29"/>
      <c r="X42" s="29"/>
      <c r="Y42" s="30"/>
      <c r="Z42" s="18"/>
      <c r="AA42" s="19"/>
      <c r="AB42" s="19"/>
      <c r="AC42" s="20">
        <f t="shared" si="1"/>
        <v>88</v>
      </c>
      <c r="AD42" s="20">
        <f t="shared" si="2"/>
        <v>0</v>
      </c>
      <c r="AE42" s="20">
        <f t="shared" si="3"/>
        <v>0</v>
      </c>
      <c r="AF42" s="20">
        <f t="shared" si="4"/>
        <v>0</v>
      </c>
      <c r="AG42" s="20">
        <f>Table9[[#This Row],[RTH(min) (kΩ)]]*RT2_TH_MIN/(RT2_TH_MIN+Table9[[#This Row],[RTH(min) (kΩ)]])</f>
        <v>0</v>
      </c>
      <c r="AH42" s="20">
        <f>Table9[[#This Row],[RTH(nom) (kΩ)]]*RT2_TH_S/(RT2_TH_S+Table9[[#This Row],[RTH(nom) (kΩ)]])</f>
        <v>0</v>
      </c>
      <c r="AI42" s="20">
        <f>Table9[[#This Row],[RTH(max) (kΩ)]]*RT2_TH_S_MAX/(RT2_TH_S_MAX+Table9[[#This Row],[RTH(max) (kΩ)]])</f>
        <v>0</v>
      </c>
      <c r="AJ42" s="20">
        <f>Table9[[#This Row],[RLower(min) (kΩ)]]/(Table9[[#This Row],[RLower(min) (kΩ)]]+RT1_TH_S_MAX)*100</f>
        <v>0</v>
      </c>
      <c r="AK42" s="20">
        <f>Table9[[#This Row],[RLower(nom) (kΩ)]]/(Table9[[#This Row],[RLower(nom) (kΩ)]]+RT1_TH_S)*100</f>
        <v>0</v>
      </c>
      <c r="AL42" s="20">
        <f>Table9[[#This Row],[RLower(max) (kΩ)]]/(Table9[[#This Row],[RLower(max) (kΩ)]]+RT1_TH_S_MIN)*100</f>
        <v>0</v>
      </c>
      <c r="AM42" s="20">
        <f>IF(Table9[[#This Row],[Vmin (%)]]&lt;$BA$14, 0, IF(Table9[[#This Row],[Vmin (%)]]&lt;$BA$12, 4, IF(Table9[[#This Row],[Vmin (%)]]&lt;$BA$9, 3, IF(Table9[[#This Row],[Vmin (%)]]&lt;$BA$7, 2, 0))))</f>
        <v>0</v>
      </c>
      <c r="AN42" s="20">
        <f>IF(Table9[[#This Row],[Vmin (%)]]&lt;$BA$13, 0, IF(Table9[[#This Row],[Vmin (%)]]&lt;$BA$11, 4, IF(Table9[[#This Row],[Vmin (%)]]&lt;$BA$10, 3, IF(Table9[[#This Row],[Vmin (%)]]&lt;$BA$8, 2, 0))))</f>
        <v>0</v>
      </c>
      <c r="AO42" s="76" t="str">
        <f>IF(Table9[[#This Row],[Vmin (%)]]&lt;$BA$14, "Hot", IF(Table9[[#This Row],[Vmin (%)]]&lt;$BA$12, "Warm", IF(Table9[[#This Row],[Vmin (%)]]&lt;$BA$9, "Normal", IF(Table9[[#This Row],[Vmin (%)]]&lt;$BA$7, "Cool", "Cold"))))</f>
        <v>Hot</v>
      </c>
      <c r="AP42" s="19"/>
      <c r="AQ42" s="19"/>
      <c r="AR42" s="19"/>
      <c r="AS42" s="19"/>
      <c r="AT42" s="19"/>
      <c r="AU42" s="19"/>
      <c r="AV42" s="19"/>
      <c r="AW42" s="19"/>
      <c r="AX42" s="19"/>
      <c r="AY42" s="19"/>
      <c r="AZ42" s="19"/>
      <c r="BA42" s="19"/>
      <c r="BB42" s="19"/>
      <c r="BC42" s="19"/>
      <c r="BD42" s="19"/>
      <c r="BE42" s="19"/>
      <c r="BF42" s="19"/>
      <c r="BG42" s="19"/>
      <c r="BH42" s="19"/>
      <c r="BI42" s="19"/>
      <c r="BJ42" s="19"/>
      <c r="BK42" s="19"/>
      <c r="BL42" s="19"/>
      <c r="BM42" s="19"/>
      <c r="BN42" s="19"/>
      <c r="BO42" s="19"/>
      <c r="BP42" s="19"/>
      <c r="BQ42" s="19"/>
      <c r="BR42" s="19"/>
      <c r="BS42" s="19"/>
      <c r="BT42" s="19"/>
      <c r="BU42" s="19"/>
      <c r="BV42" s="19"/>
      <c r="BW42" s="19"/>
      <c r="BX42" s="19"/>
      <c r="BY42" s="19"/>
      <c r="BZ42" s="19"/>
      <c r="CA42" s="19"/>
      <c r="CB42" s="19"/>
      <c r="CC42" s="19"/>
      <c r="CD42" s="19"/>
      <c r="CE42" s="19"/>
      <c r="CF42" s="19"/>
      <c r="CG42" s="19"/>
      <c r="CH42" s="19"/>
      <c r="CI42" s="19"/>
      <c r="CJ42" s="19"/>
      <c r="CK42" s="19"/>
      <c r="CL42" s="19"/>
      <c r="CM42" s="19"/>
      <c r="CN42" s="19"/>
      <c r="CO42" s="19"/>
      <c r="CP42" s="19"/>
      <c r="CQ42" s="19"/>
      <c r="CR42" s="19"/>
      <c r="CS42" s="19"/>
      <c r="CT42" s="19"/>
      <c r="CU42" s="19"/>
      <c r="CV42" s="19"/>
      <c r="CW42" s="19"/>
      <c r="CX42" s="19"/>
      <c r="CY42" s="19"/>
      <c r="CZ42" s="19"/>
      <c r="DA42" s="19"/>
      <c r="DB42" s="19"/>
      <c r="DC42" s="19"/>
      <c r="DD42" s="19"/>
      <c r="DE42" s="19"/>
      <c r="DF42" s="19"/>
      <c r="DG42" s="19"/>
      <c r="DH42" s="19"/>
      <c r="DI42" s="19"/>
      <c r="DJ42" s="19"/>
      <c r="DK42" s="19"/>
      <c r="DL42" s="19"/>
      <c r="DM42" s="19"/>
      <c r="DN42" s="19"/>
      <c r="DO42" s="19"/>
      <c r="DP42" s="19"/>
      <c r="DQ42" s="19"/>
      <c r="DR42" s="19"/>
      <c r="DS42" s="19"/>
      <c r="DT42" s="19"/>
      <c r="DU42" s="19"/>
      <c r="DV42" s="19"/>
      <c r="DW42" s="19"/>
      <c r="DX42" s="19"/>
      <c r="DY42" s="19"/>
      <c r="DZ42" s="19"/>
      <c r="EA42" s="19"/>
      <c r="EB42" s="19"/>
      <c r="EC42" s="19"/>
      <c r="ED42" s="19"/>
      <c r="EE42" s="19"/>
      <c r="EF42" s="19"/>
      <c r="EG42" s="19"/>
      <c r="EH42" s="19"/>
      <c r="EI42" s="19"/>
      <c r="EJ42" s="19"/>
      <c r="EK42" s="19"/>
      <c r="EL42" s="19"/>
      <c r="EM42" s="19"/>
      <c r="EN42" s="19"/>
      <c r="EO42" s="19"/>
      <c r="EP42" s="19"/>
      <c r="EQ42" s="19"/>
      <c r="ER42" s="19"/>
      <c r="ES42" s="19"/>
      <c r="ET42" s="19"/>
      <c r="EU42" s="19"/>
      <c r="EV42" s="19"/>
      <c r="EW42" s="19"/>
      <c r="EX42" s="19"/>
      <c r="EY42" s="19"/>
      <c r="EZ42" s="19"/>
      <c r="FA42" s="19"/>
      <c r="FB42" s="19"/>
      <c r="FC42" s="19"/>
      <c r="FD42" s="19"/>
      <c r="FE42" s="19"/>
      <c r="FF42" s="19"/>
      <c r="FG42" s="19"/>
      <c r="FH42" s="19"/>
      <c r="FI42" s="19"/>
      <c r="FJ42" s="19"/>
      <c r="FK42" s="19"/>
      <c r="FL42" s="19"/>
      <c r="FM42" s="19"/>
      <c r="FN42" s="19"/>
      <c r="FO42" s="19"/>
      <c r="FP42" s="19"/>
      <c r="FQ42" s="19"/>
      <c r="FR42" s="19"/>
      <c r="FS42" s="19"/>
      <c r="FT42" s="19"/>
      <c r="FU42" s="19"/>
      <c r="FV42" s="19"/>
      <c r="FW42" s="19"/>
      <c r="FX42" s="19"/>
      <c r="FY42" s="19"/>
      <c r="FZ42" s="19"/>
      <c r="GA42" s="19"/>
      <c r="GB42" s="19"/>
      <c r="GC42" s="19"/>
      <c r="GD42" s="19"/>
      <c r="GE42" s="19"/>
      <c r="GF42" s="19"/>
      <c r="GG42" s="19"/>
      <c r="GH42" s="19"/>
      <c r="GI42" s="19"/>
      <c r="GJ42" s="19"/>
      <c r="GK42" s="19"/>
      <c r="GL42" s="19"/>
      <c r="GM42" s="19"/>
      <c r="GN42" s="19"/>
      <c r="GO42" s="19"/>
      <c r="GP42" s="19"/>
      <c r="GQ42" s="19"/>
      <c r="GR42" s="19"/>
      <c r="GS42" s="19"/>
      <c r="GT42" s="19"/>
      <c r="GU42" s="19"/>
      <c r="GV42" s="19"/>
      <c r="GW42" s="19"/>
      <c r="GX42" s="19"/>
      <c r="GY42" s="19"/>
      <c r="GZ42" s="19"/>
      <c r="HA42" s="19"/>
      <c r="HB42" s="19"/>
    </row>
    <row r="43" spans="1:210" hidden="1" x14ac:dyDescent="0.25">
      <c r="A43" s="113">
        <f t="shared" si="5"/>
        <v>87</v>
      </c>
      <c r="B43" s="163"/>
      <c r="C43" s="172" t="str">
        <f t="shared" si="0"/>
        <v>RTH at 87 °C</v>
      </c>
      <c r="D43" s="196">
        <f t="shared" si="6"/>
        <v>2.8235294117647056</v>
      </c>
      <c r="E43" s="197">
        <v>0</v>
      </c>
      <c r="F43" s="198">
        <v>0</v>
      </c>
      <c r="G43" s="199">
        <v>0</v>
      </c>
      <c r="H43" s="128" t="s">
        <v>18</v>
      </c>
      <c r="I43" s="29"/>
      <c r="J43" s="29">
        <v>1.415</v>
      </c>
      <c r="K43" s="29">
        <v>1.373</v>
      </c>
      <c r="L43" s="29">
        <v>1.3320000000000001</v>
      </c>
      <c r="M43" s="29"/>
      <c r="N43" s="29"/>
      <c r="O43" s="29"/>
      <c r="P43" s="29"/>
      <c r="Q43" s="29"/>
      <c r="R43" s="29"/>
      <c r="S43" s="29"/>
      <c r="T43" s="29"/>
      <c r="U43" s="29"/>
      <c r="V43" s="29"/>
      <c r="W43" s="29"/>
      <c r="X43" s="29"/>
      <c r="Y43" s="30"/>
      <c r="Z43" s="18"/>
      <c r="AA43" s="19"/>
      <c r="AB43" s="19"/>
      <c r="AC43" s="20">
        <f t="shared" si="1"/>
        <v>87</v>
      </c>
      <c r="AD43" s="20">
        <f t="shared" si="2"/>
        <v>0</v>
      </c>
      <c r="AE43" s="20">
        <f t="shared" si="3"/>
        <v>0</v>
      </c>
      <c r="AF43" s="20">
        <f t="shared" si="4"/>
        <v>0</v>
      </c>
      <c r="AG43" s="20">
        <f>Table9[[#This Row],[RTH(min) (kΩ)]]*RT2_TH_MIN/(RT2_TH_MIN+Table9[[#This Row],[RTH(min) (kΩ)]])</f>
        <v>0</v>
      </c>
      <c r="AH43" s="20">
        <f>Table9[[#This Row],[RTH(nom) (kΩ)]]*RT2_TH_S/(RT2_TH_S+Table9[[#This Row],[RTH(nom) (kΩ)]])</f>
        <v>0</v>
      </c>
      <c r="AI43" s="20">
        <f>Table9[[#This Row],[RTH(max) (kΩ)]]*RT2_TH_S_MAX/(RT2_TH_S_MAX+Table9[[#This Row],[RTH(max) (kΩ)]])</f>
        <v>0</v>
      </c>
      <c r="AJ43" s="20">
        <f>Table9[[#This Row],[RLower(min) (kΩ)]]/(Table9[[#This Row],[RLower(min) (kΩ)]]+RT1_TH_S_MAX)*100</f>
        <v>0</v>
      </c>
      <c r="AK43" s="20">
        <f>Table9[[#This Row],[RLower(nom) (kΩ)]]/(Table9[[#This Row],[RLower(nom) (kΩ)]]+RT1_TH_S)*100</f>
        <v>0</v>
      </c>
      <c r="AL43" s="20">
        <f>Table9[[#This Row],[RLower(max) (kΩ)]]/(Table9[[#This Row],[RLower(max) (kΩ)]]+RT1_TH_S_MIN)*100</f>
        <v>0</v>
      </c>
      <c r="AM43" s="20">
        <f>IF(Table9[[#This Row],[Vmin (%)]]&lt;$BA$14, 0, IF(Table9[[#This Row],[Vmin (%)]]&lt;$BA$12, 4, IF(Table9[[#This Row],[Vmin (%)]]&lt;$BA$9, 3, IF(Table9[[#This Row],[Vmin (%)]]&lt;$BA$7, 2, 0))))</f>
        <v>0</v>
      </c>
      <c r="AN43" s="20">
        <f>IF(Table9[[#This Row],[Vmin (%)]]&lt;$BA$13, 0, IF(Table9[[#This Row],[Vmin (%)]]&lt;$BA$11, 4, IF(Table9[[#This Row],[Vmin (%)]]&lt;$BA$10, 3, IF(Table9[[#This Row],[Vmin (%)]]&lt;$BA$8, 2, 0))))</f>
        <v>0</v>
      </c>
      <c r="AO43" s="76" t="str">
        <f>IF(Table9[[#This Row],[Vmin (%)]]&lt;$BA$14, "Hot", IF(Table9[[#This Row],[Vmin (%)]]&lt;$BA$12, "Warm", IF(Table9[[#This Row],[Vmin (%)]]&lt;$BA$9, "Normal", IF(Table9[[#This Row],[Vmin (%)]]&lt;$BA$7, "Cool", "Cold"))))</f>
        <v>Hot</v>
      </c>
      <c r="AP43" s="19"/>
      <c r="AQ43" s="19"/>
      <c r="AR43" s="19"/>
      <c r="AS43" s="19"/>
      <c r="AT43" s="19"/>
      <c r="AU43" s="19"/>
      <c r="AV43" s="19"/>
      <c r="AW43" s="19"/>
      <c r="AX43" s="19"/>
      <c r="AY43" s="19"/>
      <c r="AZ43" s="19"/>
      <c r="BA43" s="19"/>
      <c r="BB43" s="19"/>
      <c r="BC43" s="19"/>
      <c r="BD43" s="19"/>
      <c r="BE43" s="19"/>
      <c r="BF43" s="19"/>
      <c r="BG43" s="19"/>
      <c r="BH43" s="19"/>
      <c r="BI43" s="19"/>
      <c r="BJ43" s="19"/>
      <c r="BK43" s="19"/>
      <c r="BL43" s="19"/>
      <c r="BM43" s="19"/>
      <c r="BN43" s="19"/>
      <c r="BO43" s="19"/>
      <c r="BP43" s="19"/>
      <c r="BQ43" s="19"/>
      <c r="BR43" s="19"/>
      <c r="BS43" s="19"/>
      <c r="BT43" s="19"/>
      <c r="BU43" s="19"/>
      <c r="BV43" s="19"/>
      <c r="BW43" s="19"/>
      <c r="BX43" s="19"/>
      <c r="BY43" s="19"/>
      <c r="BZ43" s="19"/>
      <c r="CA43" s="19"/>
      <c r="CB43" s="19"/>
      <c r="CC43" s="19"/>
      <c r="CD43" s="19"/>
      <c r="CE43" s="19"/>
      <c r="CF43" s="19"/>
      <c r="CG43" s="19"/>
      <c r="CH43" s="19"/>
      <c r="CI43" s="19"/>
      <c r="CJ43" s="19"/>
      <c r="CK43" s="19"/>
      <c r="CL43" s="19"/>
      <c r="CM43" s="19"/>
      <c r="CN43" s="19"/>
      <c r="CO43" s="19"/>
      <c r="CP43" s="19"/>
      <c r="CQ43" s="19"/>
      <c r="CR43" s="19"/>
      <c r="CS43" s="19"/>
      <c r="CT43" s="19"/>
      <c r="CU43" s="19"/>
      <c r="CV43" s="19"/>
      <c r="CW43" s="19"/>
      <c r="CX43" s="19"/>
      <c r="CY43" s="19"/>
      <c r="CZ43" s="19"/>
      <c r="DA43" s="19"/>
      <c r="DB43" s="19"/>
      <c r="DC43" s="19"/>
      <c r="DD43" s="19"/>
      <c r="DE43" s="19"/>
      <c r="DF43" s="19"/>
      <c r="DG43" s="19"/>
      <c r="DH43" s="19"/>
      <c r="DI43" s="19"/>
      <c r="DJ43" s="19"/>
      <c r="DK43" s="19"/>
      <c r="DL43" s="19"/>
      <c r="DM43" s="19"/>
      <c r="DN43" s="19"/>
      <c r="DO43" s="19"/>
      <c r="DP43" s="19"/>
      <c r="DQ43" s="19"/>
      <c r="DR43" s="19"/>
      <c r="DS43" s="19"/>
      <c r="DT43" s="19"/>
      <c r="DU43" s="19"/>
      <c r="DV43" s="19"/>
      <c r="DW43" s="19"/>
      <c r="DX43" s="19"/>
      <c r="DY43" s="19"/>
      <c r="DZ43" s="19"/>
      <c r="EA43" s="19"/>
      <c r="EB43" s="19"/>
      <c r="EC43" s="19"/>
      <c r="ED43" s="19"/>
      <c r="EE43" s="19"/>
      <c r="EF43" s="19"/>
      <c r="EG43" s="19"/>
      <c r="EH43" s="19"/>
      <c r="EI43" s="19"/>
      <c r="EJ43" s="19"/>
      <c r="EK43" s="19"/>
      <c r="EL43" s="19"/>
      <c r="EM43" s="19"/>
      <c r="EN43" s="19"/>
      <c r="EO43" s="19"/>
      <c r="EP43" s="19"/>
      <c r="EQ43" s="19"/>
      <c r="ER43" s="19"/>
      <c r="ES43" s="19"/>
      <c r="ET43" s="19"/>
      <c r="EU43" s="19"/>
      <c r="EV43" s="19"/>
      <c r="EW43" s="19"/>
      <c r="EX43" s="19"/>
      <c r="EY43" s="19"/>
      <c r="EZ43" s="19"/>
      <c r="FA43" s="19"/>
      <c r="FB43" s="19"/>
      <c r="FC43" s="19"/>
      <c r="FD43" s="19"/>
      <c r="FE43" s="19"/>
      <c r="FF43" s="19"/>
      <c r="FG43" s="19"/>
      <c r="FH43" s="19"/>
      <c r="FI43" s="19"/>
      <c r="FJ43" s="19"/>
      <c r="FK43" s="19"/>
      <c r="FL43" s="19"/>
      <c r="FM43" s="19"/>
      <c r="FN43" s="19"/>
      <c r="FO43" s="19"/>
      <c r="FP43" s="19"/>
      <c r="FQ43" s="19"/>
      <c r="FR43" s="19"/>
      <c r="FS43" s="19"/>
      <c r="FT43" s="19"/>
      <c r="FU43" s="19"/>
      <c r="FV43" s="19"/>
      <c r="FW43" s="19"/>
      <c r="FX43" s="19"/>
      <c r="FY43" s="19"/>
      <c r="FZ43" s="19"/>
      <c r="GA43" s="19"/>
      <c r="GB43" s="19"/>
      <c r="GC43" s="19"/>
      <c r="GD43" s="19"/>
      <c r="GE43" s="19"/>
      <c r="GF43" s="19"/>
      <c r="GG43" s="19"/>
      <c r="GH43" s="19"/>
      <c r="GI43" s="19"/>
      <c r="GJ43" s="19"/>
      <c r="GK43" s="19"/>
      <c r="GL43" s="19"/>
      <c r="GM43" s="19"/>
      <c r="GN43" s="19"/>
      <c r="GO43" s="19"/>
      <c r="GP43" s="19"/>
      <c r="GQ43" s="19"/>
      <c r="GR43" s="19"/>
      <c r="GS43" s="19"/>
      <c r="GT43" s="19"/>
      <c r="GU43" s="19"/>
      <c r="GV43" s="19"/>
      <c r="GW43" s="19"/>
      <c r="GX43" s="19"/>
      <c r="GY43" s="19"/>
      <c r="GZ43" s="19"/>
      <c r="HA43" s="19"/>
      <c r="HB43" s="19"/>
    </row>
    <row r="44" spans="1:210" hidden="1" x14ac:dyDescent="0.25">
      <c r="A44" s="113">
        <f t="shared" si="5"/>
        <v>86</v>
      </c>
      <c r="B44" s="163"/>
      <c r="C44" s="172" t="str">
        <f t="shared" si="0"/>
        <v>RTH at 86 °C</v>
      </c>
      <c r="D44" s="196">
        <f t="shared" si="6"/>
        <v>2.7941176470588234</v>
      </c>
      <c r="E44" s="197">
        <v>0</v>
      </c>
      <c r="F44" s="198">
        <v>0</v>
      </c>
      <c r="G44" s="199">
        <v>0</v>
      </c>
      <c r="H44" s="128" t="s">
        <v>18</v>
      </c>
      <c r="I44" s="29"/>
      <c r="J44" s="29">
        <v>1.454</v>
      </c>
      <c r="K44" s="29">
        <v>1.4119999999999999</v>
      </c>
      <c r="L44" s="29">
        <v>1.37</v>
      </c>
      <c r="M44" s="29"/>
      <c r="N44" s="29"/>
      <c r="O44" s="29"/>
      <c r="P44" s="29"/>
      <c r="Q44" s="29"/>
      <c r="R44" s="29"/>
      <c r="S44" s="29"/>
      <c r="T44" s="29"/>
      <c r="U44" s="29"/>
      <c r="V44" s="29"/>
      <c r="W44" s="29"/>
      <c r="X44" s="29"/>
      <c r="Y44" s="30"/>
      <c r="Z44" s="18"/>
      <c r="AA44" s="19"/>
      <c r="AB44" s="19"/>
      <c r="AC44" s="20">
        <f t="shared" si="1"/>
        <v>86</v>
      </c>
      <c r="AD44" s="20">
        <f t="shared" si="2"/>
        <v>0</v>
      </c>
      <c r="AE44" s="20">
        <f t="shared" si="3"/>
        <v>0</v>
      </c>
      <c r="AF44" s="20">
        <f t="shared" si="4"/>
        <v>0</v>
      </c>
      <c r="AG44" s="20">
        <f>Table9[[#This Row],[RTH(min) (kΩ)]]*RT2_TH_MIN/(RT2_TH_MIN+Table9[[#This Row],[RTH(min) (kΩ)]])</f>
        <v>0</v>
      </c>
      <c r="AH44" s="20">
        <f>Table9[[#This Row],[RTH(nom) (kΩ)]]*RT2_TH_S/(RT2_TH_S+Table9[[#This Row],[RTH(nom) (kΩ)]])</f>
        <v>0</v>
      </c>
      <c r="AI44" s="20">
        <f>Table9[[#This Row],[RTH(max) (kΩ)]]*RT2_TH_S_MAX/(RT2_TH_S_MAX+Table9[[#This Row],[RTH(max) (kΩ)]])</f>
        <v>0</v>
      </c>
      <c r="AJ44" s="20">
        <f>Table9[[#This Row],[RLower(min) (kΩ)]]/(Table9[[#This Row],[RLower(min) (kΩ)]]+RT1_TH_S_MAX)*100</f>
        <v>0</v>
      </c>
      <c r="AK44" s="20">
        <f>Table9[[#This Row],[RLower(nom) (kΩ)]]/(Table9[[#This Row],[RLower(nom) (kΩ)]]+RT1_TH_S)*100</f>
        <v>0</v>
      </c>
      <c r="AL44" s="20">
        <f>Table9[[#This Row],[RLower(max) (kΩ)]]/(Table9[[#This Row],[RLower(max) (kΩ)]]+RT1_TH_S_MIN)*100</f>
        <v>0</v>
      </c>
      <c r="AM44" s="20">
        <f>IF(Table9[[#This Row],[Vmin (%)]]&lt;$BA$14, 0, IF(Table9[[#This Row],[Vmin (%)]]&lt;$BA$12, 4, IF(Table9[[#This Row],[Vmin (%)]]&lt;$BA$9, 3, IF(Table9[[#This Row],[Vmin (%)]]&lt;$BA$7, 2, 0))))</f>
        <v>0</v>
      </c>
      <c r="AN44" s="20">
        <f>IF(Table9[[#This Row],[Vmin (%)]]&lt;$BA$13, 0, IF(Table9[[#This Row],[Vmin (%)]]&lt;$BA$11, 4, IF(Table9[[#This Row],[Vmin (%)]]&lt;$BA$10, 3, IF(Table9[[#This Row],[Vmin (%)]]&lt;$BA$8, 2, 0))))</f>
        <v>0</v>
      </c>
      <c r="AO44" s="76" t="str">
        <f>IF(Table9[[#This Row],[Vmin (%)]]&lt;$BA$14, "Hot", IF(Table9[[#This Row],[Vmin (%)]]&lt;$BA$12, "Warm", IF(Table9[[#This Row],[Vmin (%)]]&lt;$BA$9, "Normal", IF(Table9[[#This Row],[Vmin (%)]]&lt;$BA$7, "Cool", "Cold"))))</f>
        <v>Hot</v>
      </c>
      <c r="AP44" s="19"/>
      <c r="AQ44" s="19"/>
      <c r="AR44" s="19"/>
      <c r="AS44" s="19"/>
      <c r="AT44" s="19"/>
      <c r="AU44" s="19"/>
      <c r="AV44" s="19"/>
      <c r="AW44" s="19"/>
      <c r="AX44" s="19"/>
      <c r="AY44" s="19"/>
      <c r="AZ44" s="19"/>
      <c r="BA44" s="19"/>
      <c r="BB44" s="19"/>
      <c r="BC44" s="19"/>
      <c r="BD44" s="19"/>
      <c r="BE44" s="19"/>
      <c r="BF44" s="19"/>
      <c r="BG44" s="19"/>
      <c r="BH44" s="19"/>
      <c r="BI44" s="19"/>
      <c r="BJ44" s="19"/>
      <c r="BK44" s="19"/>
      <c r="BL44" s="19"/>
      <c r="BM44" s="19"/>
      <c r="BN44" s="19"/>
      <c r="BO44" s="19"/>
      <c r="BP44" s="19"/>
      <c r="BQ44" s="19"/>
      <c r="BR44" s="19"/>
      <c r="BS44" s="19"/>
      <c r="BT44" s="19"/>
      <c r="BU44" s="19"/>
      <c r="BV44" s="19"/>
      <c r="BW44" s="19"/>
      <c r="BX44" s="19"/>
      <c r="BY44" s="19"/>
      <c r="BZ44" s="19"/>
      <c r="CA44" s="19"/>
      <c r="CB44" s="19"/>
      <c r="CC44" s="19"/>
      <c r="CD44" s="19"/>
      <c r="CE44" s="19"/>
      <c r="CF44" s="19"/>
      <c r="CG44" s="19"/>
      <c r="CH44" s="19"/>
      <c r="CI44" s="19"/>
      <c r="CJ44" s="19"/>
      <c r="CK44" s="19"/>
      <c r="CL44" s="19"/>
      <c r="CM44" s="19"/>
      <c r="CN44" s="19"/>
      <c r="CO44" s="19"/>
      <c r="CP44" s="19"/>
      <c r="CQ44" s="19"/>
      <c r="CR44" s="19"/>
      <c r="CS44" s="19"/>
      <c r="CT44" s="19"/>
      <c r="CU44" s="19"/>
      <c r="CV44" s="19"/>
      <c r="CW44" s="19"/>
      <c r="CX44" s="19"/>
      <c r="CY44" s="19"/>
      <c r="CZ44" s="19"/>
      <c r="DA44" s="19"/>
      <c r="DB44" s="19"/>
      <c r="DC44" s="19"/>
      <c r="DD44" s="19"/>
      <c r="DE44" s="19"/>
      <c r="DF44" s="19"/>
      <c r="DG44" s="19"/>
      <c r="DH44" s="19"/>
      <c r="DI44" s="19"/>
      <c r="DJ44" s="19"/>
      <c r="DK44" s="19"/>
      <c r="DL44" s="19"/>
      <c r="DM44" s="19"/>
      <c r="DN44" s="19"/>
      <c r="DO44" s="19"/>
      <c r="DP44" s="19"/>
      <c r="DQ44" s="19"/>
      <c r="DR44" s="19"/>
      <c r="DS44" s="19"/>
      <c r="DT44" s="19"/>
      <c r="DU44" s="19"/>
      <c r="DV44" s="19"/>
      <c r="DW44" s="19"/>
      <c r="DX44" s="19"/>
      <c r="DY44" s="19"/>
      <c r="DZ44" s="19"/>
      <c r="EA44" s="19"/>
      <c r="EB44" s="19"/>
      <c r="EC44" s="19"/>
      <c r="ED44" s="19"/>
      <c r="EE44" s="19"/>
      <c r="EF44" s="19"/>
      <c r="EG44" s="19"/>
      <c r="EH44" s="19"/>
      <c r="EI44" s="19"/>
      <c r="EJ44" s="19"/>
      <c r="EK44" s="19"/>
      <c r="EL44" s="19"/>
      <c r="EM44" s="19"/>
      <c r="EN44" s="19"/>
      <c r="EO44" s="19"/>
      <c r="EP44" s="19"/>
      <c r="EQ44" s="19"/>
      <c r="ER44" s="19"/>
      <c r="ES44" s="19"/>
      <c r="ET44" s="19"/>
      <c r="EU44" s="19"/>
      <c r="EV44" s="19"/>
      <c r="EW44" s="19"/>
      <c r="EX44" s="19"/>
      <c r="EY44" s="19"/>
      <c r="EZ44" s="19"/>
      <c r="FA44" s="19"/>
      <c r="FB44" s="19"/>
      <c r="FC44" s="19"/>
      <c r="FD44" s="19"/>
      <c r="FE44" s="19"/>
      <c r="FF44" s="19"/>
      <c r="FG44" s="19"/>
      <c r="FH44" s="19"/>
      <c r="FI44" s="19"/>
      <c r="FJ44" s="19"/>
      <c r="FK44" s="19"/>
      <c r="FL44" s="19"/>
      <c r="FM44" s="19"/>
      <c r="FN44" s="19"/>
      <c r="FO44" s="19"/>
      <c r="FP44" s="19"/>
      <c r="FQ44" s="19"/>
      <c r="FR44" s="19"/>
      <c r="FS44" s="19"/>
      <c r="FT44" s="19"/>
      <c r="FU44" s="19"/>
      <c r="FV44" s="19"/>
      <c r="FW44" s="19"/>
      <c r="FX44" s="19"/>
      <c r="FY44" s="19"/>
      <c r="FZ44" s="19"/>
      <c r="GA44" s="19"/>
      <c r="GB44" s="19"/>
      <c r="GC44" s="19"/>
      <c r="GD44" s="19"/>
      <c r="GE44" s="19"/>
      <c r="GF44" s="19"/>
      <c r="GG44" s="19"/>
      <c r="GH44" s="19"/>
      <c r="GI44" s="19"/>
      <c r="GJ44" s="19"/>
      <c r="GK44" s="19"/>
      <c r="GL44" s="19"/>
      <c r="GM44" s="19"/>
      <c r="GN44" s="19"/>
      <c r="GO44" s="19"/>
      <c r="GP44" s="19"/>
      <c r="GQ44" s="19"/>
      <c r="GR44" s="19"/>
      <c r="GS44" s="19"/>
      <c r="GT44" s="19"/>
      <c r="GU44" s="19"/>
      <c r="GV44" s="19"/>
      <c r="GW44" s="19"/>
      <c r="GX44" s="19"/>
      <c r="GY44" s="19"/>
      <c r="GZ44" s="19"/>
      <c r="HA44" s="19"/>
      <c r="HB44" s="19"/>
    </row>
    <row r="45" spans="1:210" x14ac:dyDescent="0.25">
      <c r="A45" s="113">
        <f t="shared" si="5"/>
        <v>85</v>
      </c>
      <c r="B45" s="163"/>
      <c r="C45" s="172" t="str">
        <f t="shared" si="0"/>
        <v>RTH at 85 °C</v>
      </c>
      <c r="D45" s="196">
        <f t="shared" si="6"/>
        <v>2.7647058823529411</v>
      </c>
      <c r="E45" s="197">
        <v>1.409</v>
      </c>
      <c r="F45" s="198">
        <v>1.4510000000000001</v>
      </c>
      <c r="G45" s="199">
        <v>1.494</v>
      </c>
      <c r="H45" s="128" t="s">
        <v>18</v>
      </c>
      <c r="I45" s="29"/>
      <c r="J45" s="29">
        <v>1.494</v>
      </c>
      <c r="K45" s="29">
        <v>1.4510000000000001</v>
      </c>
      <c r="L45" s="29">
        <v>1.409</v>
      </c>
      <c r="M45" s="29"/>
      <c r="N45" s="29"/>
      <c r="O45" s="29"/>
      <c r="P45" s="29"/>
      <c r="Q45" s="29"/>
      <c r="R45" s="29"/>
      <c r="S45" s="29"/>
      <c r="T45" s="29"/>
      <c r="U45" s="29"/>
      <c r="V45" s="29"/>
      <c r="W45" s="29"/>
      <c r="X45" s="29"/>
      <c r="Y45" s="30"/>
      <c r="Z45" s="18"/>
      <c r="AA45" s="19"/>
      <c r="AB45" s="19"/>
      <c r="AC45" s="20">
        <f t="shared" si="1"/>
        <v>85</v>
      </c>
      <c r="AD45" s="20">
        <f t="shared" si="2"/>
        <v>1.409</v>
      </c>
      <c r="AE45" s="20">
        <f t="shared" si="3"/>
        <v>1.4510000000000001</v>
      </c>
      <c r="AF45" s="20">
        <f t="shared" si="4"/>
        <v>1.494</v>
      </c>
      <c r="AG45" s="20">
        <f>Table9[[#This Row],[RTH(min) (kΩ)]]*RT2_TH_MIN/(RT2_TH_MIN+Table9[[#This Row],[RTH(min) (kΩ)]])</f>
        <v>1.3467338133363211</v>
      </c>
      <c r="AH45" s="20">
        <f>Table9[[#This Row],[RTH(nom) (kΩ)]]*RT2_TH_S/(RT2_TH_S+Table9[[#This Row],[RTH(nom) (kΩ)]])</f>
        <v>1.385116202752753</v>
      </c>
      <c r="AI45" s="20">
        <f>Table9[[#This Row],[RTH(max) (kΩ)]]*RT2_TH_S_MAX/(RT2_TH_S_MAX+Table9[[#This Row],[RTH(max) (kΩ)]])</f>
        <v>1.424313735885735</v>
      </c>
      <c r="AJ45" s="20">
        <f>Table9[[#This Row],[RLower(min) (kΩ)]]/(Table9[[#This Row],[RLower(min) (kΩ)]]+RT1_TH_S_MAX)*100</f>
        <v>20.451669141954675</v>
      </c>
      <c r="AK45" s="20">
        <f>Table9[[#This Row],[RLower(nom) (kΩ)]]/(Table9[[#This Row],[RLower(nom) (kΩ)]]+RT1_TH_S)*100</f>
        <v>20.929189110890288</v>
      </c>
      <c r="AL45" s="20">
        <f>Table9[[#This Row],[RLower(max) (kΩ)]]/(Table9[[#This Row],[RLower(max) (kΩ)]]+RT1_TH_S_MIN)*100</f>
        <v>21.411580618877334</v>
      </c>
      <c r="AM45" s="20">
        <f>IF(Table9[[#This Row],[Vmin (%)]]&lt;$BA$14, 0, IF(Table9[[#This Row],[Vmin (%)]]&lt;$BA$12, 4, IF(Table9[[#This Row],[Vmin (%)]]&lt;$BA$9, 3, IF(Table9[[#This Row],[Vmin (%)]]&lt;$BA$7, 2, 0))))</f>
        <v>0</v>
      </c>
      <c r="AN45" s="20">
        <f>IF(Table9[[#This Row],[Vmin (%)]]&lt;$BA$13, 0, IF(Table9[[#This Row],[Vmin (%)]]&lt;$BA$11, 4, IF(Table9[[#This Row],[Vmin (%)]]&lt;$BA$10, 3, IF(Table9[[#This Row],[Vmin (%)]]&lt;$BA$8, 2, 0))))</f>
        <v>0</v>
      </c>
      <c r="AO45" s="76" t="str">
        <f>IF(Table9[[#This Row],[Vmin (%)]]&lt;$BA$14, "Hot", IF(Table9[[#This Row],[Vmin (%)]]&lt;$BA$12, "Warm", IF(Table9[[#This Row],[Vmin (%)]]&lt;$BA$9, "Normal", IF(Table9[[#This Row],[Vmin (%)]]&lt;$BA$7, "Cool", "Cold"))))</f>
        <v>Hot</v>
      </c>
      <c r="AP45" s="19"/>
      <c r="AQ45" s="19"/>
      <c r="AR45" s="19"/>
      <c r="AS45" s="19"/>
      <c r="AT45" s="19"/>
      <c r="AU45" s="19"/>
      <c r="AV45" s="19"/>
      <c r="AW45" s="19"/>
      <c r="AX45" s="19"/>
      <c r="AY45" s="19"/>
      <c r="AZ45" s="19"/>
      <c r="BA45" s="19"/>
      <c r="BB45" s="19"/>
      <c r="BC45" s="19"/>
      <c r="BD45" s="19"/>
      <c r="BE45" s="19"/>
      <c r="BF45" s="19"/>
      <c r="BG45" s="19"/>
      <c r="BH45" s="19"/>
      <c r="BI45" s="19"/>
      <c r="BJ45" s="19"/>
      <c r="BK45" s="19"/>
      <c r="BL45" s="19"/>
      <c r="BM45" s="19"/>
      <c r="BN45" s="19"/>
      <c r="BO45" s="19"/>
      <c r="BP45" s="19"/>
      <c r="BQ45" s="19"/>
      <c r="BR45" s="19"/>
      <c r="BS45" s="19"/>
      <c r="BT45" s="19"/>
      <c r="BU45" s="19"/>
      <c r="BV45" s="19"/>
      <c r="BW45" s="19"/>
      <c r="BX45" s="19"/>
      <c r="BY45" s="19"/>
      <c r="BZ45" s="19"/>
      <c r="CA45" s="19"/>
      <c r="CB45" s="19"/>
      <c r="CC45" s="19"/>
      <c r="CD45" s="19"/>
      <c r="CE45" s="19"/>
      <c r="CF45" s="19"/>
      <c r="CG45" s="19"/>
      <c r="CH45" s="19"/>
      <c r="CI45" s="19"/>
      <c r="CJ45" s="19"/>
      <c r="CK45" s="19"/>
      <c r="CL45" s="19"/>
      <c r="CM45" s="19"/>
      <c r="CN45" s="19"/>
      <c r="CO45" s="19"/>
      <c r="CP45" s="19"/>
      <c r="CQ45" s="19"/>
      <c r="CR45" s="19"/>
      <c r="CS45" s="19"/>
      <c r="CT45" s="19"/>
      <c r="CU45" s="19"/>
      <c r="CV45" s="19"/>
      <c r="CW45" s="19"/>
      <c r="CX45" s="19"/>
      <c r="CY45" s="19"/>
      <c r="CZ45" s="19"/>
      <c r="DA45" s="19"/>
      <c r="DB45" s="19"/>
      <c r="DC45" s="19"/>
      <c r="DD45" s="19"/>
      <c r="DE45" s="19"/>
      <c r="DF45" s="19"/>
      <c r="DG45" s="19"/>
      <c r="DH45" s="19"/>
      <c r="DI45" s="19"/>
      <c r="DJ45" s="19"/>
      <c r="DK45" s="19"/>
      <c r="DL45" s="19"/>
      <c r="DM45" s="19"/>
      <c r="DN45" s="19"/>
      <c r="DO45" s="19"/>
      <c r="DP45" s="19"/>
      <c r="DQ45" s="19"/>
      <c r="DR45" s="19"/>
      <c r="DS45" s="19"/>
      <c r="DT45" s="19"/>
      <c r="DU45" s="19"/>
      <c r="DV45" s="19"/>
      <c r="DW45" s="19"/>
      <c r="DX45" s="19"/>
      <c r="DY45" s="19"/>
      <c r="DZ45" s="19"/>
      <c r="EA45" s="19"/>
      <c r="EB45" s="19"/>
      <c r="EC45" s="19"/>
      <c r="ED45" s="19"/>
      <c r="EE45" s="19"/>
      <c r="EF45" s="19"/>
      <c r="EG45" s="19"/>
      <c r="EH45" s="19"/>
      <c r="EI45" s="19"/>
      <c r="EJ45" s="19"/>
      <c r="EK45" s="19"/>
      <c r="EL45" s="19"/>
      <c r="EM45" s="19"/>
      <c r="EN45" s="19"/>
      <c r="EO45" s="19"/>
      <c r="EP45" s="19"/>
      <c r="EQ45" s="19"/>
      <c r="ER45" s="19"/>
      <c r="ES45" s="19"/>
      <c r="ET45" s="19"/>
      <c r="EU45" s="19"/>
      <c r="EV45" s="19"/>
      <c r="EW45" s="19"/>
      <c r="EX45" s="19"/>
      <c r="EY45" s="19"/>
      <c r="EZ45" s="19"/>
      <c r="FA45" s="19"/>
      <c r="FB45" s="19"/>
      <c r="FC45" s="19"/>
      <c r="FD45" s="19"/>
      <c r="FE45" s="19"/>
      <c r="FF45" s="19"/>
      <c r="FG45" s="19"/>
      <c r="FH45" s="19"/>
      <c r="FI45" s="19"/>
      <c r="FJ45" s="19"/>
      <c r="FK45" s="19"/>
      <c r="FL45" s="19"/>
      <c r="FM45" s="19"/>
      <c r="FN45" s="19"/>
      <c r="FO45" s="19"/>
      <c r="FP45" s="19"/>
      <c r="FQ45" s="19"/>
      <c r="FR45" s="19"/>
      <c r="FS45" s="19"/>
      <c r="FT45" s="19"/>
      <c r="FU45" s="19"/>
      <c r="FV45" s="19"/>
      <c r="FW45" s="19"/>
      <c r="FX45" s="19"/>
      <c r="FY45" s="19"/>
      <c r="FZ45" s="19"/>
      <c r="GA45" s="19"/>
      <c r="GB45" s="19"/>
      <c r="GC45" s="19"/>
      <c r="GD45" s="19"/>
      <c r="GE45" s="19"/>
      <c r="GF45" s="19"/>
      <c r="GG45" s="19"/>
      <c r="GH45" s="19"/>
      <c r="GI45" s="19"/>
      <c r="GJ45" s="19"/>
      <c r="GK45" s="19"/>
      <c r="GL45" s="19"/>
      <c r="GM45" s="19"/>
      <c r="GN45" s="19"/>
      <c r="GO45" s="19"/>
      <c r="GP45" s="19"/>
      <c r="GQ45" s="19"/>
      <c r="GR45" s="19"/>
      <c r="GS45" s="19"/>
      <c r="GT45" s="19"/>
      <c r="GU45" s="19"/>
      <c r="GV45" s="19"/>
      <c r="GW45" s="19"/>
      <c r="GX45" s="19"/>
      <c r="GY45" s="19"/>
      <c r="GZ45" s="19"/>
      <c r="HA45" s="19"/>
      <c r="HB45" s="19"/>
    </row>
    <row r="46" spans="1:210" x14ac:dyDescent="0.25">
      <c r="A46" s="113">
        <f t="shared" si="5"/>
        <v>84</v>
      </c>
      <c r="B46" s="163"/>
      <c r="C46" s="172" t="str">
        <f t="shared" si="0"/>
        <v>RTH at 84 °C</v>
      </c>
      <c r="D46" s="196">
        <f t="shared" si="6"/>
        <v>2.7352941176470589</v>
      </c>
      <c r="E46" s="197">
        <v>1.448</v>
      </c>
      <c r="F46" s="198">
        <v>1.492</v>
      </c>
      <c r="G46" s="199">
        <v>1.5349999999999999</v>
      </c>
      <c r="H46" s="128" t="s">
        <v>18</v>
      </c>
      <c r="I46" s="29"/>
      <c r="J46" s="29">
        <v>1.5349999999999999</v>
      </c>
      <c r="K46" s="29">
        <v>1.492</v>
      </c>
      <c r="L46" s="29">
        <v>1.448</v>
      </c>
      <c r="M46" s="29"/>
      <c r="N46" s="29"/>
      <c r="O46" s="29"/>
      <c r="P46" s="29"/>
      <c r="Q46" s="29"/>
      <c r="R46" s="29"/>
      <c r="S46" s="29"/>
      <c r="T46" s="29"/>
      <c r="U46" s="29"/>
      <c r="V46" s="29"/>
      <c r="W46" s="29"/>
      <c r="X46" s="29"/>
      <c r="Y46" s="30"/>
      <c r="Z46" s="18"/>
      <c r="AA46" s="19"/>
      <c r="AB46" s="19"/>
      <c r="AC46" s="20">
        <f t="shared" si="1"/>
        <v>84</v>
      </c>
      <c r="AD46" s="20">
        <f t="shared" si="2"/>
        <v>1.448</v>
      </c>
      <c r="AE46" s="20">
        <f t="shared" si="3"/>
        <v>1.492</v>
      </c>
      <c r="AF46" s="20">
        <f t="shared" si="4"/>
        <v>1.5349999999999999</v>
      </c>
      <c r="AG46" s="20">
        <f>Table9[[#This Row],[RTH(min) (kΩ)]]*RT2_TH_MIN/(RT2_TH_MIN+Table9[[#This Row],[RTH(min) (kΩ)]])</f>
        <v>1.3823194916359356</v>
      </c>
      <c r="AH46" s="20">
        <f>Table9[[#This Row],[RTH(nom) (kΩ)]]*RT2_TH_S/(RT2_TH_S+Table9[[#This Row],[RTH(nom) (kΩ)]])</f>
        <v>1.4224295841289731</v>
      </c>
      <c r="AI46" s="20">
        <f>Table9[[#This Row],[RTH(max) (kΩ)]]*RT2_TH_S_MAX/(RT2_TH_S_MAX+Table9[[#This Row],[RTH(max) (kΩ)]])</f>
        <v>1.4615304837368515</v>
      </c>
      <c r="AJ46" s="20">
        <f>Table9[[#This Row],[RLower(min) (kΩ)]]/(Table9[[#This Row],[RLower(min) (kΩ)]]+RT1_TH_S_MAX)*100</f>
        <v>20.879244499744097</v>
      </c>
      <c r="AK46" s="20">
        <f>Table9[[#This Row],[RLower(nom) (kΩ)]]/(Table9[[#This Row],[RLower(nom) (kΩ)]]+RT1_TH_S)*100</f>
        <v>21.372496820756719</v>
      </c>
      <c r="AL46" s="20">
        <f>Table9[[#This Row],[RLower(max) (kΩ)]]/(Table9[[#This Row],[RLower(max) (kΩ)]]+RT1_TH_S_MIN)*100</f>
        <v>21.848817752119835</v>
      </c>
      <c r="AM46" s="20">
        <f>IF(Table9[[#This Row],[Vmin (%)]]&lt;$BA$14, 0, IF(Table9[[#This Row],[Vmin (%)]]&lt;$BA$12, 4, IF(Table9[[#This Row],[Vmin (%)]]&lt;$BA$9, 3, IF(Table9[[#This Row],[Vmin (%)]]&lt;$BA$7, 2, 0))))</f>
        <v>0</v>
      </c>
      <c r="AN46" s="20">
        <f>IF(Table9[[#This Row],[Vmin (%)]]&lt;$BA$13, 0, IF(Table9[[#This Row],[Vmin (%)]]&lt;$BA$11, 4, IF(Table9[[#This Row],[Vmin (%)]]&lt;$BA$10, 3, IF(Table9[[#This Row],[Vmin (%)]]&lt;$BA$8, 2, 0))))</f>
        <v>0</v>
      </c>
      <c r="AO46" s="76" t="str">
        <f>IF(Table9[[#This Row],[Vmin (%)]]&lt;$BA$14, "Hot", IF(Table9[[#This Row],[Vmin (%)]]&lt;$BA$12, "Warm", IF(Table9[[#This Row],[Vmin (%)]]&lt;$BA$9, "Normal", IF(Table9[[#This Row],[Vmin (%)]]&lt;$BA$7, "Cool", "Cold"))))</f>
        <v>Hot</v>
      </c>
      <c r="AP46" s="19"/>
      <c r="AQ46" s="19"/>
      <c r="AR46" s="19"/>
      <c r="AS46" s="19"/>
      <c r="AT46" s="19"/>
      <c r="AU46" s="19"/>
      <c r="AV46" s="19"/>
      <c r="AW46" s="19"/>
      <c r="AX46" s="19"/>
      <c r="AY46" s="19"/>
      <c r="AZ46" s="19"/>
      <c r="BA46" s="19"/>
      <c r="BB46" s="19"/>
      <c r="BC46" s="19"/>
      <c r="BD46" s="19"/>
      <c r="BE46" s="19"/>
      <c r="BF46" s="19"/>
      <c r="BG46" s="19"/>
      <c r="BH46" s="19"/>
      <c r="BI46" s="19"/>
      <c r="BJ46" s="19"/>
      <c r="BK46" s="19"/>
      <c r="BL46" s="19"/>
      <c r="BM46" s="19"/>
      <c r="BN46" s="19"/>
      <c r="BO46" s="19"/>
      <c r="BP46" s="19"/>
      <c r="BQ46" s="19"/>
      <c r="BR46" s="19"/>
      <c r="BS46" s="19"/>
      <c r="BT46" s="19"/>
      <c r="BU46" s="19"/>
      <c r="BV46" s="19"/>
      <c r="BW46" s="19"/>
      <c r="BX46" s="19"/>
      <c r="BY46" s="19"/>
      <c r="BZ46" s="19"/>
      <c r="CA46" s="19"/>
      <c r="CB46" s="19"/>
      <c r="CC46" s="19"/>
      <c r="CD46" s="19"/>
      <c r="CE46" s="19"/>
      <c r="CF46" s="19"/>
      <c r="CG46" s="19"/>
      <c r="CH46" s="19"/>
      <c r="CI46" s="19"/>
      <c r="CJ46" s="19"/>
      <c r="CK46" s="19"/>
      <c r="CL46" s="19"/>
      <c r="CM46" s="19"/>
      <c r="CN46" s="19"/>
      <c r="CO46" s="19"/>
      <c r="CP46" s="19"/>
      <c r="CQ46" s="19"/>
      <c r="CR46" s="19"/>
      <c r="CS46" s="19"/>
      <c r="CT46" s="19"/>
      <c r="CU46" s="19"/>
      <c r="CV46" s="19"/>
      <c r="CW46" s="19"/>
      <c r="CX46" s="19"/>
      <c r="CY46" s="19"/>
      <c r="CZ46" s="19"/>
      <c r="DA46" s="19"/>
      <c r="DB46" s="19"/>
      <c r="DC46" s="19"/>
      <c r="DD46" s="19"/>
      <c r="DE46" s="19"/>
      <c r="DF46" s="19"/>
      <c r="DG46" s="19"/>
      <c r="DH46" s="19"/>
      <c r="DI46" s="19"/>
      <c r="DJ46" s="19"/>
      <c r="DK46" s="19"/>
      <c r="DL46" s="19"/>
      <c r="DM46" s="19"/>
      <c r="DN46" s="19"/>
      <c r="DO46" s="19"/>
      <c r="DP46" s="19"/>
      <c r="DQ46" s="19"/>
      <c r="DR46" s="19"/>
      <c r="DS46" s="19"/>
      <c r="DT46" s="19"/>
      <c r="DU46" s="19"/>
      <c r="DV46" s="19"/>
      <c r="DW46" s="19"/>
      <c r="DX46" s="19"/>
      <c r="DY46" s="19"/>
      <c r="DZ46" s="19"/>
      <c r="EA46" s="19"/>
      <c r="EB46" s="19"/>
      <c r="EC46" s="19"/>
      <c r="ED46" s="19"/>
      <c r="EE46" s="19"/>
      <c r="EF46" s="19"/>
      <c r="EG46" s="19"/>
      <c r="EH46" s="19"/>
      <c r="EI46" s="19"/>
      <c r="EJ46" s="19"/>
      <c r="EK46" s="19"/>
      <c r="EL46" s="19"/>
      <c r="EM46" s="19"/>
      <c r="EN46" s="19"/>
      <c r="EO46" s="19"/>
      <c r="EP46" s="19"/>
      <c r="EQ46" s="19"/>
      <c r="ER46" s="19"/>
      <c r="ES46" s="19"/>
      <c r="ET46" s="19"/>
      <c r="EU46" s="19"/>
      <c r="EV46" s="19"/>
      <c r="EW46" s="19"/>
      <c r="EX46" s="19"/>
      <c r="EY46" s="19"/>
      <c r="EZ46" s="19"/>
      <c r="FA46" s="19"/>
      <c r="FB46" s="19"/>
      <c r="FC46" s="19"/>
      <c r="FD46" s="19"/>
      <c r="FE46" s="19"/>
      <c r="FF46" s="19"/>
      <c r="FG46" s="19"/>
      <c r="FH46" s="19"/>
      <c r="FI46" s="19"/>
      <c r="FJ46" s="19"/>
      <c r="FK46" s="19"/>
      <c r="FL46" s="19"/>
      <c r="FM46" s="19"/>
      <c r="FN46" s="19"/>
      <c r="FO46" s="19"/>
      <c r="FP46" s="19"/>
      <c r="FQ46" s="19"/>
      <c r="FR46" s="19"/>
      <c r="FS46" s="19"/>
      <c r="FT46" s="19"/>
      <c r="FU46" s="19"/>
      <c r="FV46" s="19"/>
      <c r="FW46" s="19"/>
      <c r="FX46" s="19"/>
      <c r="FY46" s="19"/>
      <c r="FZ46" s="19"/>
      <c r="GA46" s="19"/>
      <c r="GB46" s="19"/>
      <c r="GC46" s="19"/>
      <c r="GD46" s="19"/>
      <c r="GE46" s="19"/>
      <c r="GF46" s="19"/>
      <c r="GG46" s="19"/>
      <c r="GH46" s="19"/>
      <c r="GI46" s="19"/>
      <c r="GJ46" s="19"/>
      <c r="GK46" s="19"/>
      <c r="GL46" s="19"/>
      <c r="GM46" s="19"/>
      <c r="GN46" s="19"/>
      <c r="GO46" s="19"/>
      <c r="GP46" s="19"/>
      <c r="GQ46" s="19"/>
      <c r="GR46" s="19"/>
      <c r="GS46" s="19"/>
      <c r="GT46" s="19"/>
      <c r="GU46" s="19"/>
      <c r="GV46" s="19"/>
      <c r="GW46" s="19"/>
      <c r="GX46" s="19"/>
      <c r="GY46" s="19"/>
      <c r="GZ46" s="19"/>
      <c r="HA46" s="19"/>
      <c r="HB46" s="19"/>
    </row>
    <row r="47" spans="1:210" x14ac:dyDescent="0.25">
      <c r="A47" s="113">
        <f t="shared" si="5"/>
        <v>83</v>
      </c>
      <c r="B47" s="163"/>
      <c r="C47" s="172" t="str">
        <f t="shared" si="0"/>
        <v>RTH at 83 °C</v>
      </c>
      <c r="D47" s="196">
        <f t="shared" si="6"/>
        <v>2.7058823529411766</v>
      </c>
      <c r="E47" s="197">
        <v>1.4890000000000001</v>
      </c>
      <c r="F47" s="198">
        <v>1.5329999999999999</v>
      </c>
      <c r="G47" s="199">
        <v>1.5780000000000001</v>
      </c>
      <c r="H47" s="128" t="s">
        <v>18</v>
      </c>
      <c r="I47" s="29"/>
      <c r="J47" s="29">
        <v>1.5780000000000001</v>
      </c>
      <c r="K47" s="29">
        <v>1.5329999999999999</v>
      </c>
      <c r="L47" s="29">
        <v>1.4890000000000001</v>
      </c>
      <c r="M47" s="29"/>
      <c r="N47" s="29"/>
      <c r="O47" s="29"/>
      <c r="P47" s="29"/>
      <c r="Q47" s="29"/>
      <c r="R47" s="29"/>
      <c r="S47" s="29"/>
      <c r="T47" s="29"/>
      <c r="U47" s="29"/>
      <c r="V47" s="29"/>
      <c r="W47" s="29"/>
      <c r="X47" s="29"/>
      <c r="Y47" s="30"/>
      <c r="Z47" s="18"/>
      <c r="AA47" s="19"/>
      <c r="AB47" s="19"/>
      <c r="AC47" s="20">
        <f t="shared" si="1"/>
        <v>83</v>
      </c>
      <c r="AD47" s="20">
        <f t="shared" si="2"/>
        <v>1.4890000000000001</v>
      </c>
      <c r="AE47" s="20">
        <f t="shared" si="3"/>
        <v>1.5329999999999999</v>
      </c>
      <c r="AF47" s="20">
        <f t="shared" si="4"/>
        <v>1.5780000000000001</v>
      </c>
      <c r="AG47" s="20">
        <f>Table9[[#This Row],[RTH(min) (kΩ)]]*RT2_TH_MIN/(RT2_TH_MIN+Table9[[#This Row],[RTH(min) (kΩ)]])</f>
        <v>1.4196364440539213</v>
      </c>
      <c r="AH47" s="20">
        <f>Table9[[#This Row],[RTH(nom) (kΩ)]]*RT2_TH_S/(RT2_TH_S+Table9[[#This Row],[RTH(nom) (kΩ)]])</f>
        <v>1.4596474642055715</v>
      </c>
      <c r="AI47" s="20">
        <f>Table9[[#This Row],[RTH(max) (kΩ)]]*RT2_TH_S_MAX/(RT2_TH_S_MAX+Table9[[#This Row],[RTH(max) (kΩ)]])</f>
        <v>1.5004605862105524</v>
      </c>
      <c r="AJ47" s="20">
        <f>Table9[[#This Row],[RLower(min) (kΩ)]]/(Table9[[#This Row],[RLower(min) (kΩ)]]+RT1_TH_S_MAX)*100</f>
        <v>21.322712101972595</v>
      </c>
      <c r="AK47" s="20">
        <f>Table9[[#This Row],[RLower(nom) (kΩ)]]/(Table9[[#This Row],[RLower(nom) (kΩ)]]+RT1_TH_S)*100</f>
        <v>21.809745737682956</v>
      </c>
      <c r="AL47" s="20">
        <f>Table9[[#This Row],[RLower(max) (kΩ)]]/(Table9[[#This Row],[RLower(max) (kΩ)]]+RT1_TH_S_MIN)*100</f>
        <v>22.301007796776634</v>
      </c>
      <c r="AM47" s="20">
        <f>IF(Table9[[#This Row],[Vmin (%)]]&lt;$BA$14, 0, IF(Table9[[#This Row],[Vmin (%)]]&lt;$BA$12, 4, IF(Table9[[#This Row],[Vmin (%)]]&lt;$BA$9, 3, IF(Table9[[#This Row],[Vmin (%)]]&lt;$BA$7, 2, 0))))</f>
        <v>0</v>
      </c>
      <c r="AN47" s="20">
        <f>IF(Table9[[#This Row],[Vmin (%)]]&lt;$BA$13, 0, IF(Table9[[#This Row],[Vmin (%)]]&lt;$BA$11, 4, IF(Table9[[#This Row],[Vmin (%)]]&lt;$BA$10, 3, IF(Table9[[#This Row],[Vmin (%)]]&lt;$BA$8, 2, 0))))</f>
        <v>0</v>
      </c>
      <c r="AO47" s="76" t="str">
        <f>IF(Table9[[#This Row],[Vmin (%)]]&lt;$BA$14, "Hot", IF(Table9[[#This Row],[Vmin (%)]]&lt;$BA$12, "Warm", IF(Table9[[#This Row],[Vmin (%)]]&lt;$BA$9, "Normal", IF(Table9[[#This Row],[Vmin (%)]]&lt;$BA$7, "Cool", "Cold"))))</f>
        <v>Hot</v>
      </c>
      <c r="AP47" s="19"/>
      <c r="AQ47" s="19"/>
      <c r="AR47" s="19"/>
      <c r="AS47" s="19"/>
      <c r="AT47" s="19"/>
      <c r="AU47" s="19"/>
      <c r="AV47" s="19"/>
      <c r="AW47" s="19"/>
      <c r="AX47" s="19"/>
      <c r="AY47" s="19"/>
      <c r="AZ47" s="19"/>
      <c r="BA47" s="19"/>
      <c r="BB47" s="19"/>
      <c r="BC47" s="19"/>
      <c r="BD47" s="19"/>
      <c r="BE47" s="19"/>
      <c r="BF47" s="19"/>
      <c r="BG47" s="19"/>
      <c r="BH47" s="19"/>
      <c r="BI47" s="19"/>
      <c r="BJ47" s="19"/>
      <c r="BK47" s="19"/>
      <c r="BL47" s="19"/>
      <c r="BM47" s="19"/>
      <c r="BN47" s="19"/>
      <c r="BO47" s="19"/>
      <c r="BP47" s="19"/>
      <c r="BQ47" s="19"/>
      <c r="BR47" s="19"/>
      <c r="BS47" s="19"/>
      <c r="BT47" s="19"/>
      <c r="BU47" s="19"/>
      <c r="BV47" s="19"/>
      <c r="BW47" s="19"/>
      <c r="BX47" s="19"/>
      <c r="BY47" s="19"/>
      <c r="BZ47" s="19"/>
      <c r="CA47" s="19"/>
      <c r="CB47" s="19"/>
      <c r="CC47" s="19"/>
      <c r="CD47" s="19"/>
      <c r="CE47" s="19"/>
      <c r="CF47" s="19"/>
      <c r="CG47" s="19"/>
      <c r="CH47" s="19"/>
      <c r="CI47" s="19"/>
      <c r="CJ47" s="19"/>
      <c r="CK47" s="19"/>
      <c r="CL47" s="19"/>
      <c r="CM47" s="19"/>
      <c r="CN47" s="19"/>
      <c r="CO47" s="19"/>
      <c r="CP47" s="19"/>
      <c r="CQ47" s="19"/>
      <c r="CR47" s="19"/>
      <c r="CS47" s="19"/>
      <c r="CT47" s="19"/>
      <c r="CU47" s="19"/>
      <c r="CV47" s="19"/>
      <c r="CW47" s="19"/>
      <c r="CX47" s="19"/>
      <c r="CY47" s="19"/>
      <c r="CZ47" s="19"/>
      <c r="DA47" s="19"/>
      <c r="DB47" s="19"/>
      <c r="DC47" s="19"/>
      <c r="DD47" s="19"/>
      <c r="DE47" s="19"/>
      <c r="DF47" s="19"/>
      <c r="DG47" s="19"/>
      <c r="DH47" s="19"/>
      <c r="DI47" s="19"/>
      <c r="DJ47" s="19"/>
      <c r="DK47" s="19"/>
      <c r="DL47" s="19"/>
      <c r="DM47" s="19"/>
      <c r="DN47" s="19"/>
      <c r="DO47" s="19"/>
      <c r="DP47" s="19"/>
      <c r="DQ47" s="19"/>
      <c r="DR47" s="19"/>
      <c r="DS47" s="19"/>
      <c r="DT47" s="19"/>
      <c r="DU47" s="19"/>
      <c r="DV47" s="19"/>
      <c r="DW47" s="19"/>
      <c r="DX47" s="19"/>
      <c r="DY47" s="19"/>
      <c r="DZ47" s="19"/>
      <c r="EA47" s="19"/>
      <c r="EB47" s="19"/>
      <c r="EC47" s="19"/>
      <c r="ED47" s="19"/>
      <c r="EE47" s="19"/>
      <c r="EF47" s="19"/>
      <c r="EG47" s="19"/>
      <c r="EH47" s="19"/>
      <c r="EI47" s="19"/>
      <c r="EJ47" s="19"/>
      <c r="EK47" s="19"/>
      <c r="EL47" s="19"/>
      <c r="EM47" s="19"/>
      <c r="EN47" s="19"/>
      <c r="EO47" s="19"/>
      <c r="EP47" s="19"/>
      <c r="EQ47" s="19"/>
      <c r="ER47" s="19"/>
      <c r="ES47" s="19"/>
      <c r="ET47" s="19"/>
      <c r="EU47" s="19"/>
      <c r="EV47" s="19"/>
      <c r="EW47" s="19"/>
      <c r="EX47" s="19"/>
      <c r="EY47" s="19"/>
      <c r="EZ47" s="19"/>
      <c r="FA47" s="19"/>
      <c r="FB47" s="19"/>
      <c r="FC47" s="19"/>
      <c r="FD47" s="19"/>
      <c r="FE47" s="19"/>
      <c r="FF47" s="19"/>
      <c r="FG47" s="19"/>
      <c r="FH47" s="19"/>
      <c r="FI47" s="19"/>
      <c r="FJ47" s="19"/>
      <c r="FK47" s="19"/>
      <c r="FL47" s="19"/>
      <c r="FM47" s="19"/>
      <c r="FN47" s="19"/>
      <c r="FO47" s="19"/>
      <c r="FP47" s="19"/>
      <c r="FQ47" s="19"/>
      <c r="FR47" s="19"/>
      <c r="FS47" s="19"/>
      <c r="FT47" s="19"/>
      <c r="FU47" s="19"/>
      <c r="FV47" s="19"/>
      <c r="FW47" s="19"/>
      <c r="FX47" s="19"/>
      <c r="FY47" s="19"/>
      <c r="FZ47" s="19"/>
      <c r="GA47" s="19"/>
      <c r="GB47" s="19"/>
      <c r="GC47" s="19"/>
      <c r="GD47" s="19"/>
      <c r="GE47" s="19"/>
      <c r="GF47" s="19"/>
      <c r="GG47" s="19"/>
      <c r="GH47" s="19"/>
      <c r="GI47" s="19"/>
      <c r="GJ47" s="19"/>
      <c r="GK47" s="19"/>
      <c r="GL47" s="19"/>
      <c r="GM47" s="19"/>
      <c r="GN47" s="19"/>
      <c r="GO47" s="19"/>
      <c r="GP47" s="19"/>
      <c r="GQ47" s="19"/>
      <c r="GR47" s="19"/>
      <c r="GS47" s="19"/>
      <c r="GT47" s="19"/>
      <c r="GU47" s="19"/>
      <c r="GV47" s="19"/>
      <c r="GW47" s="19"/>
      <c r="GX47" s="19"/>
      <c r="GY47" s="19"/>
      <c r="GZ47" s="19"/>
      <c r="HA47" s="19"/>
      <c r="HB47" s="19"/>
    </row>
    <row r="48" spans="1:210" x14ac:dyDescent="0.25">
      <c r="A48" s="113">
        <f t="shared" si="5"/>
        <v>82</v>
      </c>
      <c r="B48" s="163"/>
      <c r="C48" s="172" t="str">
        <f t="shared" si="0"/>
        <v>RTH at 82 °C</v>
      </c>
      <c r="D48" s="196">
        <f t="shared" si="6"/>
        <v>2.6764705882352944</v>
      </c>
      <c r="E48" s="197">
        <v>1.532</v>
      </c>
      <c r="F48" s="198">
        <v>1.577</v>
      </c>
      <c r="G48" s="199">
        <v>1.6220000000000001</v>
      </c>
      <c r="H48" s="128" t="s">
        <v>18</v>
      </c>
      <c r="I48" s="29"/>
      <c r="J48" s="29">
        <v>1.6220000000000001</v>
      </c>
      <c r="K48" s="29">
        <v>1.577</v>
      </c>
      <c r="L48" s="29">
        <v>1.532</v>
      </c>
      <c r="M48" s="29"/>
      <c r="N48" s="29"/>
      <c r="O48" s="29"/>
      <c r="P48" s="29"/>
      <c r="Q48" s="29"/>
      <c r="R48" s="29"/>
      <c r="S48" s="29"/>
      <c r="T48" s="29"/>
      <c r="U48" s="29"/>
      <c r="V48" s="29"/>
      <c r="W48" s="29"/>
      <c r="X48" s="29"/>
      <c r="Y48" s="30"/>
      <c r="Z48" s="18"/>
      <c r="AA48" s="19"/>
      <c r="AB48" s="19"/>
      <c r="AC48" s="20">
        <f t="shared" si="1"/>
        <v>82</v>
      </c>
      <c r="AD48" s="20">
        <f t="shared" si="2"/>
        <v>1.532</v>
      </c>
      <c r="AE48" s="20">
        <f t="shared" si="3"/>
        <v>1.577</v>
      </c>
      <c r="AF48" s="20">
        <f t="shared" si="4"/>
        <v>1.6220000000000001</v>
      </c>
      <c r="AG48" s="20">
        <f>Table9[[#This Row],[RTH(min) (kΩ)]]*RT2_TH_MIN/(RT2_TH_MIN+Table9[[#This Row],[RTH(min) (kΩ)]])</f>
        <v>1.4586710219658894</v>
      </c>
      <c r="AH48" s="20">
        <f>Table9[[#This Row],[RTH(nom) (kΩ)]]*RT2_TH_S/(RT2_TH_S+Table9[[#This Row],[RTH(nom) (kΩ)]])</f>
        <v>1.4994827822379848</v>
      </c>
      <c r="AI48" s="20">
        <f>Table9[[#This Row],[RTH(max) (kΩ)]]*RT2_TH_S_MAX/(RT2_TH_S_MAX+Table9[[#This Row],[RTH(max) (kΩ)]])</f>
        <v>1.5401882686585244</v>
      </c>
      <c r="AJ48" s="20">
        <f>Table9[[#This Row],[RLower(min) (kΩ)]]/(Table9[[#This Row],[RLower(min) (kΩ)]]+RT1_TH_S_MAX)*100</f>
        <v>21.7813029341443</v>
      </c>
      <c r="AK48" s="20">
        <f>Table9[[#This Row],[RLower(nom) (kΩ)]]/(Table9[[#This Row],[RLower(nom) (kΩ)]]+RT1_TH_S)*100</f>
        <v>22.272388991618705</v>
      </c>
      <c r="AL48" s="20">
        <f>Table9[[#This Row],[RLower(max) (kΩ)]]/(Table9[[#This Row],[RLower(max) (kΩ)]]+RT1_TH_S_MIN)*100</f>
        <v>22.757099008976827</v>
      </c>
      <c r="AM48" s="20">
        <f>IF(Table9[[#This Row],[Vmin (%)]]&lt;$BA$14, 0, IF(Table9[[#This Row],[Vmin (%)]]&lt;$BA$12, 4, IF(Table9[[#This Row],[Vmin (%)]]&lt;$BA$9, 3, IF(Table9[[#This Row],[Vmin (%)]]&lt;$BA$7, 2, 0))))</f>
        <v>0</v>
      </c>
      <c r="AN48" s="20">
        <f>IF(Table9[[#This Row],[Vmin (%)]]&lt;$BA$13, 0, IF(Table9[[#This Row],[Vmin (%)]]&lt;$BA$11, 4, IF(Table9[[#This Row],[Vmin (%)]]&lt;$BA$10, 3, IF(Table9[[#This Row],[Vmin (%)]]&lt;$BA$8, 2, 0))))</f>
        <v>0</v>
      </c>
      <c r="AO48" s="76" t="str">
        <f>IF(Table9[[#This Row],[Vmin (%)]]&lt;$BA$14, "Hot", IF(Table9[[#This Row],[Vmin (%)]]&lt;$BA$12, "Warm", IF(Table9[[#This Row],[Vmin (%)]]&lt;$BA$9, "Normal", IF(Table9[[#This Row],[Vmin (%)]]&lt;$BA$7, "Cool", "Cold"))))</f>
        <v>Hot</v>
      </c>
      <c r="AP48" s="19"/>
      <c r="AQ48" s="19"/>
      <c r="AR48" s="19"/>
      <c r="AS48" s="19"/>
      <c r="AT48" s="19"/>
      <c r="AU48" s="19"/>
      <c r="AV48" s="19"/>
      <c r="AW48" s="19"/>
      <c r="AX48" s="19"/>
      <c r="AY48" s="19"/>
      <c r="AZ48" s="19"/>
      <c r="BA48" s="19"/>
      <c r="BB48" s="19"/>
      <c r="BC48" s="19"/>
      <c r="BD48" s="19"/>
      <c r="BE48" s="19"/>
      <c r="BF48" s="19"/>
      <c r="BG48" s="19"/>
      <c r="BH48" s="19"/>
      <c r="BI48" s="19"/>
      <c r="BJ48" s="19"/>
      <c r="BK48" s="19"/>
      <c r="BL48" s="19"/>
      <c r="BM48" s="19"/>
      <c r="BN48" s="19"/>
      <c r="BO48" s="19"/>
      <c r="BP48" s="19"/>
      <c r="BQ48" s="19"/>
      <c r="BR48" s="19"/>
      <c r="BS48" s="19"/>
      <c r="BT48" s="19"/>
      <c r="BU48" s="19"/>
      <c r="BV48" s="19"/>
      <c r="BW48" s="19"/>
      <c r="BX48" s="19"/>
      <c r="BY48" s="19"/>
      <c r="BZ48" s="19"/>
      <c r="CA48" s="19"/>
      <c r="CB48" s="19"/>
      <c r="CC48" s="19"/>
      <c r="CD48" s="19"/>
      <c r="CE48" s="19"/>
      <c r="CF48" s="19"/>
      <c r="CG48" s="19"/>
      <c r="CH48" s="19"/>
      <c r="CI48" s="19"/>
      <c r="CJ48" s="19"/>
      <c r="CK48" s="19"/>
      <c r="CL48" s="19"/>
      <c r="CM48" s="19"/>
      <c r="CN48" s="19"/>
      <c r="CO48" s="19"/>
      <c r="CP48" s="19"/>
      <c r="CQ48" s="19"/>
      <c r="CR48" s="19"/>
      <c r="CS48" s="19"/>
      <c r="CT48" s="19"/>
      <c r="CU48" s="19"/>
      <c r="CV48" s="19"/>
      <c r="CW48" s="19"/>
      <c r="CX48" s="19"/>
      <c r="CY48" s="19"/>
      <c r="CZ48" s="19"/>
      <c r="DA48" s="19"/>
      <c r="DB48" s="19"/>
      <c r="DC48" s="19"/>
      <c r="DD48" s="19"/>
      <c r="DE48" s="19"/>
      <c r="DF48" s="19"/>
      <c r="DG48" s="19"/>
      <c r="DH48" s="19"/>
      <c r="DI48" s="19"/>
      <c r="DJ48" s="19"/>
      <c r="DK48" s="19"/>
      <c r="DL48" s="19"/>
      <c r="DM48" s="19"/>
      <c r="DN48" s="19"/>
      <c r="DO48" s="19"/>
      <c r="DP48" s="19"/>
      <c r="DQ48" s="19"/>
      <c r="DR48" s="19"/>
      <c r="DS48" s="19"/>
      <c r="DT48" s="19"/>
      <c r="DU48" s="19"/>
      <c r="DV48" s="19"/>
      <c r="DW48" s="19"/>
      <c r="DX48" s="19"/>
      <c r="DY48" s="19"/>
      <c r="DZ48" s="19"/>
      <c r="EA48" s="19"/>
      <c r="EB48" s="19"/>
      <c r="EC48" s="19"/>
      <c r="ED48" s="19"/>
      <c r="EE48" s="19"/>
      <c r="EF48" s="19"/>
      <c r="EG48" s="19"/>
      <c r="EH48" s="19"/>
      <c r="EI48" s="19"/>
      <c r="EJ48" s="19"/>
      <c r="EK48" s="19"/>
      <c r="EL48" s="19"/>
      <c r="EM48" s="19"/>
      <c r="EN48" s="19"/>
      <c r="EO48" s="19"/>
      <c r="EP48" s="19"/>
      <c r="EQ48" s="19"/>
      <c r="ER48" s="19"/>
      <c r="ES48" s="19"/>
      <c r="ET48" s="19"/>
      <c r="EU48" s="19"/>
      <c r="EV48" s="19"/>
      <c r="EW48" s="19"/>
      <c r="EX48" s="19"/>
      <c r="EY48" s="19"/>
      <c r="EZ48" s="19"/>
      <c r="FA48" s="19"/>
      <c r="FB48" s="19"/>
      <c r="FC48" s="19"/>
      <c r="FD48" s="19"/>
      <c r="FE48" s="19"/>
      <c r="FF48" s="19"/>
      <c r="FG48" s="19"/>
      <c r="FH48" s="19"/>
      <c r="FI48" s="19"/>
      <c r="FJ48" s="19"/>
      <c r="FK48" s="19"/>
      <c r="FL48" s="19"/>
      <c r="FM48" s="19"/>
      <c r="FN48" s="19"/>
      <c r="FO48" s="19"/>
      <c r="FP48" s="19"/>
      <c r="FQ48" s="19"/>
      <c r="FR48" s="19"/>
      <c r="FS48" s="19"/>
      <c r="FT48" s="19"/>
      <c r="FU48" s="19"/>
      <c r="FV48" s="19"/>
      <c r="FW48" s="19"/>
      <c r="FX48" s="19"/>
      <c r="FY48" s="19"/>
      <c r="FZ48" s="19"/>
      <c r="GA48" s="19"/>
      <c r="GB48" s="19"/>
      <c r="GC48" s="19"/>
      <c r="GD48" s="19"/>
      <c r="GE48" s="19"/>
      <c r="GF48" s="19"/>
      <c r="GG48" s="19"/>
      <c r="GH48" s="19"/>
      <c r="GI48" s="19"/>
      <c r="GJ48" s="19"/>
      <c r="GK48" s="19"/>
      <c r="GL48" s="19"/>
      <c r="GM48" s="19"/>
      <c r="GN48" s="19"/>
      <c r="GO48" s="19"/>
      <c r="GP48" s="19"/>
      <c r="GQ48" s="19"/>
      <c r="GR48" s="19"/>
      <c r="GS48" s="19"/>
      <c r="GT48" s="19"/>
      <c r="GU48" s="19"/>
      <c r="GV48" s="19"/>
      <c r="GW48" s="19"/>
      <c r="GX48" s="19"/>
      <c r="GY48" s="19"/>
      <c r="GZ48" s="19"/>
      <c r="HA48" s="19"/>
      <c r="HB48" s="19"/>
    </row>
    <row r="49" spans="1:210" x14ac:dyDescent="0.25">
      <c r="A49" s="113">
        <f t="shared" si="5"/>
        <v>81</v>
      </c>
      <c r="B49" s="163"/>
      <c r="C49" s="172" t="str">
        <f t="shared" si="0"/>
        <v>RTH at 81 °C</v>
      </c>
      <c r="D49" s="196">
        <f t="shared" si="6"/>
        <v>2.6470588235294117</v>
      </c>
      <c r="E49" s="197">
        <v>1.5760000000000001</v>
      </c>
      <c r="F49" s="198">
        <v>1.6220000000000001</v>
      </c>
      <c r="G49" s="199">
        <v>1.6679999999999999</v>
      </c>
      <c r="H49" s="128" t="s">
        <v>18</v>
      </c>
      <c r="I49" s="29"/>
      <c r="J49" s="29">
        <v>1.6679999999999999</v>
      </c>
      <c r="K49" s="29">
        <v>1.6220000000000001</v>
      </c>
      <c r="L49" s="29">
        <v>1.5760000000000001</v>
      </c>
      <c r="M49" s="29"/>
      <c r="N49" s="29"/>
      <c r="O49" s="29"/>
      <c r="P49" s="29"/>
      <c r="Q49" s="29"/>
      <c r="R49" s="29"/>
      <c r="S49" s="29"/>
      <c r="T49" s="29"/>
      <c r="U49" s="29"/>
      <c r="V49" s="29"/>
      <c r="W49" s="29"/>
      <c r="X49" s="29"/>
      <c r="Y49" s="30"/>
      <c r="Z49" s="18"/>
      <c r="AA49" s="19"/>
      <c r="AB49" s="19"/>
      <c r="AC49" s="20">
        <f t="shared" si="1"/>
        <v>81</v>
      </c>
      <c r="AD49" s="20">
        <f t="shared" si="2"/>
        <v>1.5760000000000001</v>
      </c>
      <c r="AE49" s="20">
        <f t="shared" si="3"/>
        <v>1.6220000000000001</v>
      </c>
      <c r="AF49" s="20">
        <f t="shared" si="4"/>
        <v>1.6679999999999999</v>
      </c>
      <c r="AG49" s="20">
        <f>Table9[[#This Row],[RTH(min) (kΩ)]]*RT2_TH_MIN/(RT2_TH_MIN+Table9[[#This Row],[RTH(min) (kΩ)]])</f>
        <v>1.4985049595009423</v>
      </c>
      <c r="AH49" s="20">
        <f>Table9[[#This Row],[RTH(nom) (kΩ)]]*RT2_TH_S/(RT2_TH_S+Table9[[#This Row],[RTH(nom) (kΩ)]])</f>
        <v>1.5401105873307765</v>
      </c>
      <c r="AI49" s="20">
        <f>Table9[[#This Row],[RTH(max) (kΩ)]]*RT2_TH_S_MAX/(RT2_TH_S_MAX+Table9[[#This Row],[RTH(max) (kΩ)]])</f>
        <v>1.5816056811114765</v>
      </c>
      <c r="AJ49" s="20">
        <f>Table9[[#This Row],[RLower(min) (kΩ)]]/(Table9[[#This Row],[RLower(min) (kΩ)]]+RT1_TH_S_MAX)*100</f>
        <v>22.243806123439537</v>
      </c>
      <c r="AK49" s="20">
        <f>Table9[[#This Row],[RLower(nom) (kΩ)]]/(Table9[[#This Row],[RLower(nom) (kΩ)]]+RT1_TH_S)*100</f>
        <v>22.738630656712367</v>
      </c>
      <c r="AL49" s="20">
        <f>Table9[[#This Row],[RLower(max) (kΩ)]]/(Table9[[#This Row],[RLower(max) (kΩ)]]+RT1_TH_S_MIN)*100</f>
        <v>23.226922793708056</v>
      </c>
      <c r="AM49" s="20">
        <f>IF(Table9[[#This Row],[Vmin (%)]]&lt;$BA$14, 0, IF(Table9[[#This Row],[Vmin (%)]]&lt;$BA$12, 4, IF(Table9[[#This Row],[Vmin (%)]]&lt;$BA$9, 3, IF(Table9[[#This Row],[Vmin (%)]]&lt;$BA$7, 2, 0))))</f>
        <v>0</v>
      </c>
      <c r="AN49" s="20">
        <f>IF(Table9[[#This Row],[Vmin (%)]]&lt;$BA$13, 0, IF(Table9[[#This Row],[Vmin (%)]]&lt;$BA$11, 4, IF(Table9[[#This Row],[Vmin (%)]]&lt;$BA$10, 3, IF(Table9[[#This Row],[Vmin (%)]]&lt;$BA$8, 2, 0))))</f>
        <v>0</v>
      </c>
      <c r="AO49" s="76" t="str">
        <f>IF(Table9[[#This Row],[Vmin (%)]]&lt;$BA$14, "Hot", IF(Table9[[#This Row],[Vmin (%)]]&lt;$BA$12, "Warm", IF(Table9[[#This Row],[Vmin (%)]]&lt;$BA$9, "Normal", IF(Table9[[#This Row],[Vmin (%)]]&lt;$BA$7, "Cool", "Cold"))))</f>
        <v>Hot</v>
      </c>
      <c r="AP49" s="19"/>
      <c r="AQ49" s="19"/>
      <c r="AR49" s="19"/>
      <c r="AS49" s="19"/>
      <c r="AT49" s="19"/>
      <c r="AU49" s="19"/>
      <c r="AV49" s="19"/>
      <c r="AW49" s="19"/>
      <c r="AX49" s="19"/>
      <c r="AY49" s="19"/>
      <c r="AZ49" s="19"/>
      <c r="BA49" s="19"/>
      <c r="BB49" s="19"/>
      <c r="BC49" s="19"/>
      <c r="BD49" s="19"/>
      <c r="BE49" s="19"/>
      <c r="BF49" s="19"/>
      <c r="BG49" s="19"/>
      <c r="BH49" s="19"/>
      <c r="BI49" s="19"/>
      <c r="BJ49" s="19"/>
      <c r="BK49" s="19"/>
      <c r="BL49" s="19"/>
      <c r="BM49" s="19"/>
      <c r="BN49" s="19"/>
      <c r="BO49" s="19"/>
      <c r="BP49" s="19"/>
      <c r="BQ49" s="19"/>
      <c r="BR49" s="19"/>
      <c r="BS49" s="19"/>
      <c r="BT49" s="19"/>
      <c r="BU49" s="19"/>
      <c r="BV49" s="19"/>
      <c r="BW49" s="19"/>
      <c r="BX49" s="19"/>
      <c r="BY49" s="19"/>
      <c r="BZ49" s="19"/>
      <c r="CA49" s="19"/>
      <c r="CB49" s="19"/>
      <c r="CC49" s="19"/>
      <c r="CD49" s="19"/>
      <c r="CE49" s="19"/>
      <c r="CF49" s="19"/>
      <c r="CG49" s="19"/>
      <c r="CH49" s="19"/>
      <c r="CI49" s="19"/>
      <c r="CJ49" s="19"/>
      <c r="CK49" s="19"/>
      <c r="CL49" s="19"/>
      <c r="CM49" s="19"/>
      <c r="CN49" s="19"/>
      <c r="CO49" s="19"/>
      <c r="CP49" s="19"/>
      <c r="CQ49" s="19"/>
      <c r="CR49" s="19"/>
      <c r="CS49" s="19"/>
      <c r="CT49" s="19"/>
      <c r="CU49" s="19"/>
      <c r="CV49" s="19"/>
      <c r="CW49" s="19"/>
      <c r="CX49" s="19"/>
      <c r="CY49" s="19"/>
      <c r="CZ49" s="19"/>
      <c r="DA49" s="19"/>
      <c r="DB49" s="19"/>
      <c r="DC49" s="19"/>
      <c r="DD49" s="19"/>
      <c r="DE49" s="19"/>
      <c r="DF49" s="19"/>
      <c r="DG49" s="19"/>
      <c r="DH49" s="19"/>
      <c r="DI49" s="19"/>
      <c r="DJ49" s="19"/>
      <c r="DK49" s="19"/>
      <c r="DL49" s="19"/>
      <c r="DM49" s="19"/>
      <c r="DN49" s="19"/>
      <c r="DO49" s="19"/>
      <c r="DP49" s="19"/>
      <c r="DQ49" s="19"/>
      <c r="DR49" s="19"/>
      <c r="DS49" s="19"/>
      <c r="DT49" s="19"/>
      <c r="DU49" s="19"/>
      <c r="DV49" s="19"/>
      <c r="DW49" s="19"/>
      <c r="DX49" s="19"/>
      <c r="DY49" s="19"/>
      <c r="DZ49" s="19"/>
      <c r="EA49" s="19"/>
      <c r="EB49" s="19"/>
      <c r="EC49" s="19"/>
      <c r="ED49" s="19"/>
      <c r="EE49" s="19"/>
      <c r="EF49" s="19"/>
      <c r="EG49" s="19"/>
      <c r="EH49" s="19"/>
      <c r="EI49" s="19"/>
      <c r="EJ49" s="19"/>
      <c r="EK49" s="19"/>
      <c r="EL49" s="19"/>
      <c r="EM49" s="19"/>
      <c r="EN49" s="19"/>
      <c r="EO49" s="19"/>
      <c r="EP49" s="19"/>
      <c r="EQ49" s="19"/>
      <c r="ER49" s="19"/>
      <c r="ES49" s="19"/>
      <c r="ET49" s="19"/>
      <c r="EU49" s="19"/>
      <c r="EV49" s="19"/>
      <c r="EW49" s="19"/>
      <c r="EX49" s="19"/>
      <c r="EY49" s="19"/>
      <c r="EZ49" s="19"/>
      <c r="FA49" s="19"/>
      <c r="FB49" s="19"/>
      <c r="FC49" s="19"/>
      <c r="FD49" s="19"/>
      <c r="FE49" s="19"/>
      <c r="FF49" s="19"/>
      <c r="FG49" s="19"/>
      <c r="FH49" s="19"/>
      <c r="FI49" s="19"/>
      <c r="FJ49" s="19"/>
      <c r="FK49" s="19"/>
      <c r="FL49" s="19"/>
      <c r="FM49" s="19"/>
      <c r="FN49" s="19"/>
      <c r="FO49" s="19"/>
      <c r="FP49" s="19"/>
      <c r="FQ49" s="19"/>
      <c r="FR49" s="19"/>
      <c r="FS49" s="19"/>
      <c r="FT49" s="19"/>
      <c r="FU49" s="19"/>
      <c r="FV49" s="19"/>
      <c r="FW49" s="19"/>
      <c r="FX49" s="19"/>
      <c r="FY49" s="19"/>
      <c r="FZ49" s="19"/>
      <c r="GA49" s="19"/>
      <c r="GB49" s="19"/>
      <c r="GC49" s="19"/>
      <c r="GD49" s="19"/>
      <c r="GE49" s="19"/>
      <c r="GF49" s="19"/>
      <c r="GG49" s="19"/>
      <c r="GH49" s="19"/>
      <c r="GI49" s="19"/>
      <c r="GJ49" s="19"/>
      <c r="GK49" s="19"/>
      <c r="GL49" s="19"/>
      <c r="GM49" s="19"/>
      <c r="GN49" s="19"/>
      <c r="GO49" s="19"/>
      <c r="GP49" s="19"/>
      <c r="GQ49" s="19"/>
      <c r="GR49" s="19"/>
      <c r="GS49" s="19"/>
      <c r="GT49" s="19"/>
      <c r="GU49" s="19"/>
      <c r="GV49" s="19"/>
      <c r="GW49" s="19"/>
      <c r="GX49" s="19"/>
      <c r="GY49" s="19"/>
      <c r="GZ49" s="19"/>
      <c r="HA49" s="19"/>
      <c r="HB49" s="19"/>
    </row>
    <row r="50" spans="1:210" x14ac:dyDescent="0.25">
      <c r="A50" s="113">
        <f t="shared" si="5"/>
        <v>80</v>
      </c>
      <c r="B50" s="163"/>
      <c r="C50" s="172" t="str">
        <f t="shared" si="0"/>
        <v>RTH at 80 °C</v>
      </c>
      <c r="D50" s="196">
        <f t="shared" si="6"/>
        <v>2.6176470588235294</v>
      </c>
      <c r="E50" s="197">
        <v>1.621</v>
      </c>
      <c r="F50" s="198">
        <v>1.6679999999999999</v>
      </c>
      <c r="G50" s="199">
        <v>1.7150000000000001</v>
      </c>
      <c r="H50" s="128" t="s">
        <v>18</v>
      </c>
      <c r="I50" s="29"/>
      <c r="J50" s="29">
        <v>1.7150000000000001</v>
      </c>
      <c r="K50" s="29">
        <v>1.6679999999999999</v>
      </c>
      <c r="L50" s="29">
        <v>1.621</v>
      </c>
      <c r="M50" s="29"/>
      <c r="N50" s="29"/>
      <c r="O50" s="29"/>
      <c r="P50" s="29"/>
      <c r="Q50" s="29"/>
      <c r="R50" s="29"/>
      <c r="S50" s="29"/>
      <c r="T50" s="29"/>
      <c r="U50" s="29"/>
      <c r="V50" s="29"/>
      <c r="W50" s="29"/>
      <c r="X50" s="29"/>
      <c r="Y50" s="30"/>
      <c r="Z50" s="18"/>
      <c r="AA50" s="19"/>
      <c r="AB50" s="19"/>
      <c r="AC50" s="20">
        <f t="shared" si="1"/>
        <v>80</v>
      </c>
      <c r="AD50" s="20">
        <f t="shared" si="2"/>
        <v>1.621</v>
      </c>
      <c r="AE50" s="20">
        <f t="shared" si="3"/>
        <v>1.6679999999999999</v>
      </c>
      <c r="AF50" s="20">
        <f t="shared" si="4"/>
        <v>1.7150000000000001</v>
      </c>
      <c r="AG50" s="20">
        <f>Table9[[#This Row],[RTH(min) (kΩ)]]*RT2_TH_MIN/(RT2_TH_MIN+Table9[[#This Row],[RTH(min) (kΩ)]])</f>
        <v>1.5391312458518158</v>
      </c>
      <c r="AH50" s="20">
        <f>Table9[[#This Row],[RTH(nom) (kΩ)]]*RT2_TH_S/(RT2_TH_S+Table9[[#This Row],[RTH(nom) (kΩ)]])</f>
        <v>1.5815237658425578</v>
      </c>
      <c r="AI50" s="20">
        <f>Table9[[#This Row],[RTH(max) (kΩ)]]*RT2_TH_S_MAX/(RT2_TH_S_MAX+Table9[[#This Row],[RTH(max) (kΩ)]])</f>
        <v>1.6238014423636704</v>
      </c>
      <c r="AJ50" s="20">
        <f>Table9[[#This Row],[RLower(min) (kΩ)]]/(Table9[[#This Row],[RLower(min) (kΩ)]]+RT1_TH_S_MAX)*100</f>
        <v>22.709909082349991</v>
      </c>
      <c r="AK50" s="20">
        <f>Table9[[#This Row],[RLower(nom) (kΩ)]]/(Table9[[#This Row],[RLower(nom) (kΩ)]]+RT1_TH_S)*100</f>
        <v>23.208163546681558</v>
      </c>
      <c r="AL50" s="20">
        <f>Table9[[#This Row],[RLower(max) (kΩ)]]/(Table9[[#This Row],[RLower(max) (kΩ)]]+RT1_TH_S_MIN)*100</f>
        <v>23.699734624363884</v>
      </c>
      <c r="AM50" s="20">
        <f>IF(Table9[[#This Row],[Vmin (%)]]&lt;$BA$14, 0, IF(Table9[[#This Row],[Vmin (%)]]&lt;$BA$12, 4, IF(Table9[[#This Row],[Vmin (%)]]&lt;$BA$9, 3, IF(Table9[[#This Row],[Vmin (%)]]&lt;$BA$7, 2, 0))))</f>
        <v>0</v>
      </c>
      <c r="AN50" s="20">
        <f>IF(Table9[[#This Row],[Vmin (%)]]&lt;$BA$13, 0, IF(Table9[[#This Row],[Vmin (%)]]&lt;$BA$11, 4, IF(Table9[[#This Row],[Vmin (%)]]&lt;$BA$10, 3, IF(Table9[[#This Row],[Vmin (%)]]&lt;$BA$8, 2, 0))))</f>
        <v>0</v>
      </c>
      <c r="AO50" s="76" t="str">
        <f>IF(Table9[[#This Row],[Vmin (%)]]&lt;$BA$14, "Hot", IF(Table9[[#This Row],[Vmin (%)]]&lt;$BA$12, "Warm", IF(Table9[[#This Row],[Vmin (%)]]&lt;$BA$9, "Normal", IF(Table9[[#This Row],[Vmin (%)]]&lt;$BA$7, "Cool", "Cold"))))</f>
        <v>Hot</v>
      </c>
      <c r="AP50" s="19"/>
      <c r="AQ50" s="19"/>
      <c r="AR50" s="19"/>
      <c r="AS50" s="19"/>
      <c r="AT50" s="19"/>
      <c r="AU50" s="19"/>
      <c r="AV50" s="19"/>
      <c r="AW50" s="19"/>
      <c r="AX50" s="19"/>
      <c r="AY50" s="19"/>
      <c r="AZ50" s="19"/>
      <c r="BA50" s="19"/>
      <c r="BB50" s="19"/>
      <c r="BC50" s="19"/>
      <c r="BD50" s="19"/>
      <c r="BE50" s="19"/>
      <c r="BF50" s="19"/>
      <c r="BG50" s="19"/>
      <c r="BH50" s="19"/>
      <c r="BI50" s="19"/>
      <c r="BJ50" s="19"/>
      <c r="BK50" s="19"/>
      <c r="BL50" s="19"/>
      <c r="BM50" s="19"/>
      <c r="BN50" s="19"/>
      <c r="BO50" s="19"/>
      <c r="BP50" s="19"/>
      <c r="BQ50" s="19"/>
      <c r="BR50" s="19"/>
      <c r="BS50" s="19"/>
      <c r="BT50" s="19"/>
      <c r="BU50" s="19"/>
      <c r="BV50" s="19"/>
      <c r="BW50" s="19"/>
      <c r="BX50" s="19"/>
      <c r="BY50" s="19"/>
      <c r="BZ50" s="19"/>
      <c r="CA50" s="19"/>
      <c r="CB50" s="19"/>
      <c r="CC50" s="19"/>
      <c r="CD50" s="19"/>
      <c r="CE50" s="19"/>
      <c r="CF50" s="19"/>
      <c r="CG50" s="19"/>
      <c r="CH50" s="19"/>
      <c r="CI50" s="19"/>
      <c r="CJ50" s="19"/>
      <c r="CK50" s="19"/>
      <c r="CL50" s="19"/>
      <c r="CM50" s="19"/>
      <c r="CN50" s="19"/>
      <c r="CO50" s="19"/>
      <c r="CP50" s="19"/>
      <c r="CQ50" s="19"/>
      <c r="CR50" s="19"/>
      <c r="CS50" s="19"/>
      <c r="CT50" s="19"/>
      <c r="CU50" s="19"/>
      <c r="CV50" s="19"/>
      <c r="CW50" s="19"/>
      <c r="CX50" s="19"/>
      <c r="CY50" s="19"/>
      <c r="CZ50" s="19"/>
      <c r="DA50" s="19"/>
      <c r="DB50" s="19"/>
      <c r="DC50" s="19"/>
      <c r="DD50" s="19"/>
      <c r="DE50" s="19"/>
      <c r="DF50" s="19"/>
      <c r="DG50" s="19"/>
      <c r="DH50" s="19"/>
      <c r="DI50" s="19"/>
      <c r="DJ50" s="19"/>
      <c r="DK50" s="19"/>
      <c r="DL50" s="19"/>
      <c r="DM50" s="19"/>
      <c r="DN50" s="19"/>
      <c r="DO50" s="19"/>
      <c r="DP50" s="19"/>
      <c r="DQ50" s="19"/>
      <c r="DR50" s="19"/>
      <c r="DS50" s="19"/>
      <c r="DT50" s="19"/>
      <c r="DU50" s="19"/>
      <c r="DV50" s="19"/>
      <c r="DW50" s="19"/>
      <c r="DX50" s="19"/>
      <c r="DY50" s="19"/>
      <c r="DZ50" s="19"/>
      <c r="EA50" s="19"/>
      <c r="EB50" s="19"/>
      <c r="EC50" s="19"/>
      <c r="ED50" s="19"/>
      <c r="EE50" s="19"/>
      <c r="EF50" s="19"/>
      <c r="EG50" s="19"/>
      <c r="EH50" s="19"/>
      <c r="EI50" s="19"/>
      <c r="EJ50" s="19"/>
      <c r="EK50" s="19"/>
      <c r="EL50" s="19"/>
      <c r="EM50" s="19"/>
      <c r="EN50" s="19"/>
      <c r="EO50" s="19"/>
      <c r="EP50" s="19"/>
      <c r="EQ50" s="19"/>
      <c r="ER50" s="19"/>
      <c r="ES50" s="19"/>
      <c r="ET50" s="19"/>
      <c r="EU50" s="19"/>
      <c r="EV50" s="19"/>
      <c r="EW50" s="19"/>
      <c r="EX50" s="19"/>
      <c r="EY50" s="19"/>
      <c r="EZ50" s="19"/>
      <c r="FA50" s="19"/>
      <c r="FB50" s="19"/>
      <c r="FC50" s="19"/>
      <c r="FD50" s="19"/>
      <c r="FE50" s="19"/>
      <c r="FF50" s="19"/>
      <c r="FG50" s="19"/>
      <c r="FH50" s="19"/>
      <c r="FI50" s="19"/>
      <c r="FJ50" s="19"/>
      <c r="FK50" s="19"/>
      <c r="FL50" s="19"/>
      <c r="FM50" s="19"/>
      <c r="FN50" s="19"/>
      <c r="FO50" s="19"/>
      <c r="FP50" s="19"/>
      <c r="FQ50" s="19"/>
      <c r="FR50" s="19"/>
      <c r="FS50" s="19"/>
      <c r="FT50" s="19"/>
      <c r="FU50" s="19"/>
      <c r="FV50" s="19"/>
      <c r="FW50" s="19"/>
      <c r="FX50" s="19"/>
      <c r="FY50" s="19"/>
      <c r="FZ50" s="19"/>
      <c r="GA50" s="19"/>
      <c r="GB50" s="19"/>
      <c r="GC50" s="19"/>
      <c r="GD50" s="19"/>
      <c r="GE50" s="19"/>
      <c r="GF50" s="19"/>
      <c r="GG50" s="19"/>
      <c r="GH50" s="19"/>
      <c r="GI50" s="19"/>
      <c r="GJ50" s="19"/>
      <c r="GK50" s="19"/>
      <c r="GL50" s="19"/>
      <c r="GM50" s="19"/>
      <c r="GN50" s="19"/>
      <c r="GO50" s="19"/>
      <c r="GP50" s="19"/>
      <c r="GQ50" s="19"/>
      <c r="GR50" s="19"/>
      <c r="GS50" s="19"/>
      <c r="GT50" s="19"/>
      <c r="GU50" s="19"/>
      <c r="GV50" s="19"/>
      <c r="GW50" s="19"/>
      <c r="GX50" s="19"/>
      <c r="GY50" s="19"/>
      <c r="GZ50" s="19"/>
      <c r="HA50" s="19"/>
      <c r="HB50" s="19"/>
    </row>
    <row r="51" spans="1:210" x14ac:dyDescent="0.25">
      <c r="A51" s="113">
        <f t="shared" si="5"/>
        <v>79</v>
      </c>
      <c r="B51" s="163"/>
      <c r="C51" s="172" t="str">
        <f t="shared" si="0"/>
        <v>RTH at 79 °C</v>
      </c>
      <c r="D51" s="196">
        <f t="shared" si="6"/>
        <v>2.5882352941176472</v>
      </c>
      <c r="E51" s="197">
        <v>1.6679999999999999</v>
      </c>
      <c r="F51" s="198">
        <v>1.716</v>
      </c>
      <c r="G51" s="199">
        <v>1.764</v>
      </c>
      <c r="H51" s="128" t="s">
        <v>18</v>
      </c>
      <c r="I51" s="29"/>
      <c r="J51" s="29">
        <v>1.764</v>
      </c>
      <c r="K51" s="29">
        <v>1.716</v>
      </c>
      <c r="L51" s="29">
        <v>1.6679999999999999</v>
      </c>
      <c r="M51" s="29"/>
      <c r="N51" s="29"/>
      <c r="O51" s="29"/>
      <c r="P51" s="29"/>
      <c r="Q51" s="29"/>
      <c r="R51" s="29"/>
      <c r="S51" s="29"/>
      <c r="T51" s="29"/>
      <c r="U51" s="29"/>
      <c r="V51" s="29"/>
      <c r="W51" s="29"/>
      <c r="X51" s="29"/>
      <c r="Y51" s="30"/>
      <c r="Z51" s="18"/>
      <c r="AA51" s="19"/>
      <c r="AB51" s="19"/>
      <c r="AC51" s="20">
        <f t="shared" si="1"/>
        <v>79</v>
      </c>
      <c r="AD51" s="20">
        <f t="shared" si="2"/>
        <v>1.6679999999999999</v>
      </c>
      <c r="AE51" s="20">
        <f t="shared" si="3"/>
        <v>1.716</v>
      </c>
      <c r="AF51" s="20">
        <f t="shared" si="4"/>
        <v>1.764</v>
      </c>
      <c r="AG51" s="20">
        <f>Table9[[#This Row],[RTH(min) (kΩ)]]*RT2_TH_MIN/(RT2_TH_MIN+Table9[[#This Row],[RTH(min) (kΩ)]])</f>
        <v>1.5814416950893522</v>
      </c>
      <c r="AH51" s="20">
        <f>Table9[[#This Row],[RTH(nom) (kΩ)]]*RT2_TH_S/(RT2_TH_S+Table9[[#This Row],[RTH(nom) (kΩ)]])</f>
        <v>1.6246114486983951</v>
      </c>
      <c r="AI51" s="20">
        <f>Table9[[#This Row],[RTH(max) (kΩ)]]*RT2_TH_S_MAX/(RT2_TH_S_MAX+Table9[[#This Row],[RTH(max) (kΩ)]])</f>
        <v>1.6676620188386513</v>
      </c>
      <c r="AJ51" s="20">
        <f>Table9[[#This Row],[RLower(min) (kΩ)]]/(Table9[[#This Row],[RLower(min) (kΩ)]]+RT1_TH_S_MAX)*100</f>
        <v>23.189430887140933</v>
      </c>
      <c r="AK51" s="20">
        <f>Table9[[#This Row],[RLower(nom) (kΩ)]]/(Table9[[#This Row],[RLower(nom) (kΩ)]]+RT1_TH_S)*100</f>
        <v>23.690661948846582</v>
      </c>
      <c r="AL51" s="20">
        <f>Table9[[#This Row],[RLower(max) (kΩ)]]/(Table9[[#This Row],[RLower(max) (kΩ)]]+RT1_TH_S_MIN)*100</f>
        <v>24.185067430759368</v>
      </c>
      <c r="AM51" s="20">
        <f>IF(Table9[[#This Row],[Vmin (%)]]&lt;$BA$14, 0, IF(Table9[[#This Row],[Vmin (%)]]&lt;$BA$12, 4, IF(Table9[[#This Row],[Vmin (%)]]&lt;$BA$9, 3, IF(Table9[[#This Row],[Vmin (%)]]&lt;$BA$7, 2, 0))))</f>
        <v>0</v>
      </c>
      <c r="AN51" s="20">
        <f>IF(Table9[[#This Row],[Vmin (%)]]&lt;$BA$13, 0, IF(Table9[[#This Row],[Vmin (%)]]&lt;$BA$11, 4, IF(Table9[[#This Row],[Vmin (%)]]&lt;$BA$10, 3, IF(Table9[[#This Row],[Vmin (%)]]&lt;$BA$8, 2, 0))))</f>
        <v>0</v>
      </c>
      <c r="AO51" s="76" t="str">
        <f>IF(Table9[[#This Row],[Vmin (%)]]&lt;$BA$14, "Hot", IF(Table9[[#This Row],[Vmin (%)]]&lt;$BA$12, "Warm", IF(Table9[[#This Row],[Vmin (%)]]&lt;$BA$9, "Normal", IF(Table9[[#This Row],[Vmin (%)]]&lt;$BA$7, "Cool", "Cold"))))</f>
        <v>Hot</v>
      </c>
      <c r="AP51" s="19"/>
      <c r="AQ51" s="19"/>
      <c r="AR51" s="19"/>
      <c r="AS51" s="19"/>
      <c r="AT51" s="19"/>
      <c r="AU51" s="19"/>
      <c r="AV51" s="19"/>
      <c r="AW51" s="19"/>
      <c r="AX51" s="19"/>
      <c r="AY51" s="19"/>
      <c r="AZ51" s="19"/>
      <c r="BA51" s="19"/>
      <c r="BB51" s="19"/>
      <c r="BC51" s="19"/>
      <c r="BD51" s="19"/>
      <c r="BE51" s="19"/>
      <c r="BF51" s="19"/>
      <c r="BG51" s="19"/>
      <c r="BH51" s="19"/>
      <c r="BI51" s="19"/>
      <c r="BJ51" s="19"/>
      <c r="BK51" s="19"/>
      <c r="BL51" s="19"/>
      <c r="BM51" s="19"/>
      <c r="BN51" s="19"/>
      <c r="BO51" s="19"/>
      <c r="BP51" s="19"/>
      <c r="BQ51" s="19"/>
      <c r="BR51" s="19"/>
      <c r="BS51" s="19"/>
      <c r="BT51" s="19"/>
      <c r="BU51" s="19"/>
      <c r="BV51" s="19"/>
      <c r="BW51" s="19"/>
      <c r="BX51" s="19"/>
      <c r="BY51" s="19"/>
      <c r="BZ51" s="19"/>
      <c r="CA51" s="19"/>
      <c r="CB51" s="19"/>
      <c r="CC51" s="19"/>
      <c r="CD51" s="19"/>
      <c r="CE51" s="19"/>
      <c r="CF51" s="19"/>
      <c r="CG51" s="19"/>
      <c r="CH51" s="19"/>
      <c r="CI51" s="19"/>
      <c r="CJ51" s="19"/>
      <c r="CK51" s="19"/>
      <c r="CL51" s="19"/>
      <c r="CM51" s="19"/>
      <c r="CN51" s="19"/>
      <c r="CO51" s="19"/>
      <c r="CP51" s="19"/>
      <c r="CQ51" s="19"/>
      <c r="CR51" s="19"/>
      <c r="CS51" s="19"/>
      <c r="CT51" s="19"/>
      <c r="CU51" s="19"/>
      <c r="CV51" s="19"/>
      <c r="CW51" s="19"/>
      <c r="CX51" s="19"/>
      <c r="CY51" s="19"/>
      <c r="CZ51" s="19"/>
      <c r="DA51" s="19"/>
      <c r="DB51" s="19"/>
      <c r="DC51" s="19"/>
      <c r="DD51" s="19"/>
      <c r="DE51" s="19"/>
      <c r="DF51" s="19"/>
      <c r="DG51" s="19"/>
      <c r="DH51" s="19"/>
      <c r="DI51" s="19"/>
      <c r="DJ51" s="19"/>
      <c r="DK51" s="19"/>
      <c r="DL51" s="19"/>
      <c r="DM51" s="19"/>
      <c r="DN51" s="19"/>
      <c r="DO51" s="19"/>
      <c r="DP51" s="19"/>
      <c r="DQ51" s="19"/>
      <c r="DR51" s="19"/>
      <c r="DS51" s="19"/>
      <c r="DT51" s="19"/>
      <c r="DU51" s="19"/>
      <c r="DV51" s="19"/>
      <c r="DW51" s="19"/>
      <c r="DX51" s="19"/>
      <c r="DY51" s="19"/>
      <c r="DZ51" s="19"/>
      <c r="EA51" s="19"/>
      <c r="EB51" s="19"/>
      <c r="EC51" s="19"/>
      <c r="ED51" s="19"/>
      <c r="EE51" s="19"/>
      <c r="EF51" s="19"/>
      <c r="EG51" s="19"/>
      <c r="EH51" s="19"/>
      <c r="EI51" s="19"/>
      <c r="EJ51" s="19"/>
      <c r="EK51" s="19"/>
      <c r="EL51" s="19"/>
      <c r="EM51" s="19"/>
      <c r="EN51" s="19"/>
      <c r="EO51" s="19"/>
      <c r="EP51" s="19"/>
      <c r="EQ51" s="19"/>
      <c r="ER51" s="19"/>
      <c r="ES51" s="19"/>
      <c r="ET51" s="19"/>
      <c r="EU51" s="19"/>
      <c r="EV51" s="19"/>
      <c r="EW51" s="19"/>
      <c r="EX51" s="19"/>
      <c r="EY51" s="19"/>
      <c r="EZ51" s="19"/>
      <c r="FA51" s="19"/>
      <c r="FB51" s="19"/>
      <c r="FC51" s="19"/>
      <c r="FD51" s="19"/>
      <c r="FE51" s="19"/>
      <c r="FF51" s="19"/>
      <c r="FG51" s="19"/>
      <c r="FH51" s="19"/>
      <c r="FI51" s="19"/>
      <c r="FJ51" s="19"/>
      <c r="FK51" s="19"/>
      <c r="FL51" s="19"/>
      <c r="FM51" s="19"/>
      <c r="FN51" s="19"/>
      <c r="FO51" s="19"/>
      <c r="FP51" s="19"/>
      <c r="FQ51" s="19"/>
      <c r="FR51" s="19"/>
      <c r="FS51" s="19"/>
      <c r="FT51" s="19"/>
      <c r="FU51" s="19"/>
      <c r="FV51" s="19"/>
      <c r="FW51" s="19"/>
      <c r="FX51" s="19"/>
      <c r="FY51" s="19"/>
      <c r="FZ51" s="19"/>
      <c r="GA51" s="19"/>
      <c r="GB51" s="19"/>
      <c r="GC51" s="19"/>
      <c r="GD51" s="19"/>
      <c r="GE51" s="19"/>
      <c r="GF51" s="19"/>
      <c r="GG51" s="19"/>
      <c r="GH51" s="19"/>
      <c r="GI51" s="19"/>
      <c r="GJ51" s="19"/>
      <c r="GK51" s="19"/>
      <c r="GL51" s="19"/>
      <c r="GM51" s="19"/>
      <c r="GN51" s="19"/>
      <c r="GO51" s="19"/>
      <c r="GP51" s="19"/>
      <c r="GQ51" s="19"/>
      <c r="GR51" s="19"/>
      <c r="GS51" s="19"/>
      <c r="GT51" s="19"/>
      <c r="GU51" s="19"/>
      <c r="GV51" s="19"/>
      <c r="GW51" s="19"/>
      <c r="GX51" s="19"/>
      <c r="GY51" s="19"/>
      <c r="GZ51" s="19"/>
      <c r="HA51" s="19"/>
      <c r="HB51" s="19"/>
    </row>
    <row r="52" spans="1:210" x14ac:dyDescent="0.25">
      <c r="A52" s="113">
        <f t="shared" si="5"/>
        <v>78</v>
      </c>
      <c r="B52" s="163"/>
      <c r="C52" s="172" t="str">
        <f t="shared" ref="C52:C83" si="7">_xlfn.CONCAT("RTH at ",A52, " °C")</f>
        <v>RTH at 78 °C</v>
      </c>
      <c r="D52" s="196">
        <f t="shared" si="6"/>
        <v>2.5588235294117645</v>
      </c>
      <c r="E52" s="197">
        <v>1.7170000000000001</v>
      </c>
      <c r="F52" s="198">
        <v>1.7649999999999999</v>
      </c>
      <c r="G52" s="199">
        <v>1.8140000000000001</v>
      </c>
      <c r="H52" s="128" t="s">
        <v>18</v>
      </c>
      <c r="I52" s="29"/>
      <c r="J52" s="29">
        <v>1.8140000000000001</v>
      </c>
      <c r="K52" s="29">
        <v>1.7649999999999999</v>
      </c>
      <c r="L52" s="29">
        <v>1.7170000000000001</v>
      </c>
      <c r="M52" s="29"/>
      <c r="N52" s="29"/>
      <c r="O52" s="29"/>
      <c r="P52" s="29"/>
      <c r="Q52" s="29"/>
      <c r="R52" s="29"/>
      <c r="S52" s="29"/>
      <c r="T52" s="29"/>
      <c r="U52" s="29"/>
      <c r="V52" s="29"/>
      <c r="W52" s="29"/>
      <c r="X52" s="29"/>
      <c r="Y52" s="30"/>
      <c r="Z52" s="18"/>
      <c r="AA52" s="19"/>
      <c r="AB52" s="19"/>
      <c r="AC52" s="20">
        <f t="shared" ref="AC52:AC83" si="8">A52</f>
        <v>78</v>
      </c>
      <c r="AD52" s="20">
        <f t="shared" ref="AD52:AD83" si="9">E52</f>
        <v>1.7170000000000001</v>
      </c>
      <c r="AE52" s="20">
        <f t="shared" ref="AE52:AE83" si="10">F52</f>
        <v>1.7649999999999999</v>
      </c>
      <c r="AF52" s="20">
        <f t="shared" ref="AF52:AF83" si="11">G52</f>
        <v>1.8140000000000001</v>
      </c>
      <c r="AG52" s="20">
        <f>Table9[[#This Row],[RTH(min) (kΩ)]]*RT2_TH_MIN/(RT2_TH_MIN+Table9[[#This Row],[RTH(min) (kΩ)]])</f>
        <v>1.6254210446291348</v>
      </c>
      <c r="AH52" s="20">
        <f>Table9[[#This Row],[RTH(nom) (kΩ)]]*RT2_TH_S/(RT2_TH_S+Table9[[#This Row],[RTH(nom) (kΩ)]])</f>
        <v>1.6684645777498306</v>
      </c>
      <c r="AI52" s="20">
        <f>Table9[[#This Row],[RTH(max) (kΩ)]]*RT2_TH_S_MAX/(RT2_TH_S_MAX+Table9[[#This Row],[RTH(max) (kΩ)]])</f>
        <v>1.7122807433418865</v>
      </c>
      <c r="AJ52" s="20">
        <f>Table9[[#This Row],[RLower(min) (kΩ)]]/(Table9[[#This Row],[RLower(min) (kΩ)]]+RT1_TH_S_MAX)*100</f>
        <v>23.681600685768096</v>
      </c>
      <c r="AK52" s="20">
        <f>Table9[[#This Row],[RLower(nom) (kΩ)]]/(Table9[[#This Row],[RLower(nom) (kΩ)]]+RT1_TH_S)*100</f>
        <v>24.175545628890458</v>
      </c>
      <c r="AL52" s="20">
        <f>Table9[[#This Row],[RLower(max) (kΩ)]]/(Table9[[#This Row],[RLower(max) (kΩ)]]+RT1_TH_S_MIN)*100</f>
        <v>24.672494898928296</v>
      </c>
      <c r="AM52" s="20">
        <f>IF(Table9[[#This Row],[Vmin (%)]]&lt;$BA$14, 0, IF(Table9[[#This Row],[Vmin (%)]]&lt;$BA$12, 4, IF(Table9[[#This Row],[Vmin (%)]]&lt;$BA$9, 3, IF(Table9[[#This Row],[Vmin (%)]]&lt;$BA$7, 2, 0))))</f>
        <v>0</v>
      </c>
      <c r="AN52" s="20">
        <f>IF(Table9[[#This Row],[Vmin (%)]]&lt;$BA$13, 0, IF(Table9[[#This Row],[Vmin (%)]]&lt;$BA$11, 4, IF(Table9[[#This Row],[Vmin (%)]]&lt;$BA$10, 3, IF(Table9[[#This Row],[Vmin (%)]]&lt;$BA$8, 2, 0))))</f>
        <v>0</v>
      </c>
      <c r="AO52" s="76" t="str">
        <f>IF(Table9[[#This Row],[Vmin (%)]]&lt;$BA$14, "Hot", IF(Table9[[#This Row],[Vmin (%)]]&lt;$BA$12, "Warm", IF(Table9[[#This Row],[Vmin (%)]]&lt;$BA$9, "Normal", IF(Table9[[#This Row],[Vmin (%)]]&lt;$BA$7, "Cool", "Cold"))))</f>
        <v>Hot</v>
      </c>
      <c r="AP52" s="19"/>
      <c r="AQ52" s="19"/>
      <c r="AR52" s="19"/>
      <c r="AS52" s="19"/>
      <c r="AT52" s="19"/>
      <c r="AU52" s="19"/>
      <c r="AV52" s="19"/>
      <c r="AW52" s="19"/>
      <c r="AX52" s="19"/>
      <c r="AY52" s="19"/>
      <c r="AZ52" s="19"/>
      <c r="BA52" s="19"/>
      <c r="BB52" s="19"/>
      <c r="BC52" s="19"/>
      <c r="BD52" s="19"/>
      <c r="BE52" s="19"/>
      <c r="BF52" s="19"/>
      <c r="BG52" s="19"/>
      <c r="BH52" s="19"/>
      <c r="BI52" s="19"/>
      <c r="BJ52" s="19"/>
      <c r="BK52" s="19"/>
      <c r="BL52" s="19"/>
      <c r="BM52" s="19"/>
      <c r="BN52" s="19"/>
      <c r="BO52" s="19"/>
      <c r="BP52" s="19"/>
      <c r="BQ52" s="19"/>
      <c r="BR52" s="19"/>
      <c r="BS52" s="19"/>
      <c r="BT52" s="19"/>
      <c r="BU52" s="19"/>
      <c r="BV52" s="19"/>
      <c r="BW52" s="19"/>
      <c r="BX52" s="19"/>
      <c r="BY52" s="19"/>
      <c r="BZ52" s="19"/>
      <c r="CA52" s="19"/>
      <c r="CB52" s="19"/>
      <c r="CC52" s="19"/>
      <c r="CD52" s="19"/>
      <c r="CE52" s="19"/>
      <c r="CF52" s="19"/>
      <c r="CG52" s="19"/>
      <c r="CH52" s="19"/>
      <c r="CI52" s="19"/>
      <c r="CJ52" s="19"/>
      <c r="CK52" s="19"/>
      <c r="CL52" s="19"/>
      <c r="CM52" s="19"/>
      <c r="CN52" s="19"/>
      <c r="CO52" s="19"/>
      <c r="CP52" s="19"/>
      <c r="CQ52" s="19"/>
      <c r="CR52" s="19"/>
      <c r="CS52" s="19"/>
      <c r="CT52" s="19"/>
      <c r="CU52" s="19"/>
      <c r="CV52" s="19"/>
      <c r="CW52" s="19"/>
      <c r="CX52" s="19"/>
      <c r="CY52" s="19"/>
      <c r="CZ52" s="19"/>
      <c r="DA52" s="19"/>
      <c r="DB52" s="19"/>
      <c r="DC52" s="19"/>
      <c r="DD52" s="19"/>
      <c r="DE52" s="19"/>
      <c r="DF52" s="19"/>
      <c r="DG52" s="19"/>
      <c r="DH52" s="19"/>
      <c r="DI52" s="19"/>
      <c r="DJ52" s="19"/>
      <c r="DK52" s="19"/>
      <c r="DL52" s="19"/>
      <c r="DM52" s="19"/>
      <c r="DN52" s="19"/>
      <c r="DO52" s="19"/>
      <c r="DP52" s="19"/>
      <c r="DQ52" s="19"/>
      <c r="DR52" s="19"/>
      <c r="DS52" s="19"/>
      <c r="DT52" s="19"/>
      <c r="DU52" s="19"/>
      <c r="DV52" s="19"/>
      <c r="DW52" s="19"/>
      <c r="DX52" s="19"/>
      <c r="DY52" s="19"/>
      <c r="DZ52" s="19"/>
      <c r="EA52" s="19"/>
      <c r="EB52" s="19"/>
      <c r="EC52" s="19"/>
      <c r="ED52" s="19"/>
      <c r="EE52" s="19"/>
      <c r="EF52" s="19"/>
      <c r="EG52" s="19"/>
      <c r="EH52" s="19"/>
      <c r="EI52" s="19"/>
      <c r="EJ52" s="19"/>
      <c r="EK52" s="19"/>
      <c r="EL52" s="19"/>
      <c r="EM52" s="19"/>
      <c r="EN52" s="19"/>
      <c r="EO52" s="19"/>
      <c r="EP52" s="19"/>
      <c r="EQ52" s="19"/>
      <c r="ER52" s="19"/>
      <c r="ES52" s="19"/>
      <c r="ET52" s="19"/>
      <c r="EU52" s="19"/>
      <c r="EV52" s="19"/>
      <c r="EW52" s="19"/>
      <c r="EX52" s="19"/>
      <c r="EY52" s="19"/>
      <c r="EZ52" s="19"/>
      <c r="FA52" s="19"/>
      <c r="FB52" s="19"/>
      <c r="FC52" s="19"/>
      <c r="FD52" s="19"/>
      <c r="FE52" s="19"/>
      <c r="FF52" s="19"/>
      <c r="FG52" s="19"/>
      <c r="FH52" s="19"/>
      <c r="FI52" s="19"/>
      <c r="FJ52" s="19"/>
      <c r="FK52" s="19"/>
      <c r="FL52" s="19"/>
      <c r="FM52" s="19"/>
      <c r="FN52" s="19"/>
      <c r="FO52" s="19"/>
      <c r="FP52" s="19"/>
      <c r="FQ52" s="19"/>
      <c r="FR52" s="19"/>
      <c r="FS52" s="19"/>
      <c r="FT52" s="19"/>
      <c r="FU52" s="19"/>
      <c r="FV52" s="19"/>
      <c r="FW52" s="19"/>
      <c r="FX52" s="19"/>
      <c r="FY52" s="19"/>
      <c r="FZ52" s="19"/>
      <c r="GA52" s="19"/>
      <c r="GB52" s="19"/>
      <c r="GC52" s="19"/>
      <c r="GD52" s="19"/>
      <c r="GE52" s="19"/>
      <c r="GF52" s="19"/>
      <c r="GG52" s="19"/>
      <c r="GH52" s="19"/>
      <c r="GI52" s="19"/>
      <c r="GJ52" s="19"/>
      <c r="GK52" s="19"/>
      <c r="GL52" s="19"/>
      <c r="GM52" s="19"/>
      <c r="GN52" s="19"/>
      <c r="GO52" s="19"/>
      <c r="GP52" s="19"/>
      <c r="GQ52" s="19"/>
      <c r="GR52" s="19"/>
      <c r="GS52" s="19"/>
      <c r="GT52" s="19"/>
      <c r="GU52" s="19"/>
      <c r="GV52" s="19"/>
      <c r="GW52" s="19"/>
      <c r="GX52" s="19"/>
      <c r="GY52" s="19"/>
      <c r="GZ52" s="19"/>
      <c r="HA52" s="19"/>
      <c r="HB52" s="19"/>
    </row>
    <row r="53" spans="1:210" x14ac:dyDescent="0.25">
      <c r="A53" s="113">
        <f t="shared" si="5"/>
        <v>77</v>
      </c>
      <c r="B53" s="163"/>
      <c r="C53" s="172" t="str">
        <f t="shared" si="7"/>
        <v>RTH at 77 °C</v>
      </c>
      <c r="D53" s="196">
        <f t="shared" si="6"/>
        <v>2.5294117647058822</v>
      </c>
      <c r="E53" s="197">
        <v>1.7669999999999999</v>
      </c>
      <c r="F53" s="198">
        <v>1.8160000000000001</v>
      </c>
      <c r="G53" s="199">
        <v>1.8660000000000001</v>
      </c>
      <c r="H53" s="128" t="s">
        <v>18</v>
      </c>
      <c r="I53" s="29"/>
      <c r="J53" s="29">
        <v>1.8660000000000001</v>
      </c>
      <c r="K53" s="29">
        <v>1.8160000000000001</v>
      </c>
      <c r="L53" s="29">
        <v>1.7669999999999999</v>
      </c>
      <c r="M53" s="29"/>
      <c r="N53" s="29"/>
      <c r="O53" s="29"/>
      <c r="P53" s="29"/>
      <c r="Q53" s="29"/>
      <c r="R53" s="29"/>
      <c r="S53" s="29"/>
      <c r="T53" s="29"/>
      <c r="U53" s="29"/>
      <c r="V53" s="29"/>
      <c r="W53" s="29"/>
      <c r="X53" s="29"/>
      <c r="Y53" s="30"/>
      <c r="Z53" s="18"/>
      <c r="AA53" s="19"/>
      <c r="AB53" s="19"/>
      <c r="AC53" s="20">
        <f t="shared" si="8"/>
        <v>77</v>
      </c>
      <c r="AD53" s="20">
        <f t="shared" si="9"/>
        <v>1.7669999999999999</v>
      </c>
      <c r="AE53" s="20">
        <f t="shared" si="10"/>
        <v>1.8160000000000001</v>
      </c>
      <c r="AF53" s="20">
        <f t="shared" si="11"/>
        <v>1.8660000000000001</v>
      </c>
      <c r="AG53" s="20">
        <f>Table9[[#This Row],[RTH(min) (kΩ)]]*RT2_TH_MIN/(RT2_TH_MIN+Table9[[#This Row],[RTH(min) (kΩ)]])</f>
        <v>1.6701601351577522</v>
      </c>
      <c r="AH53" s="20">
        <f>Table9[[#This Row],[RTH(nom) (kΩ)]]*RT2_TH_S/(RT2_TH_S+Table9[[#This Row],[RTH(nom) (kΩ)]])</f>
        <v>1.7139664137074864</v>
      </c>
      <c r="AI53" s="20">
        <f>Table9[[#This Row],[RTH(max) (kΩ)]]*RT2_TH_S_MAX/(RT2_TH_S_MAX+Table9[[#This Row],[RTH(max) (kΩ)]])</f>
        <v>1.7585381398602054</v>
      </c>
      <c r="AJ53" s="20">
        <f>Table9[[#This Row],[RLower(min) (kΩ)]]/(Table9[[#This Row],[RLower(min) (kΩ)]]+RT1_TH_S_MAX)*100</f>
        <v>24.175842992063082</v>
      </c>
      <c r="AK53" s="20">
        <f>Table9[[#This Row],[RLower(nom) (kΩ)]]/(Table9[[#This Row],[RLower(nom) (kΩ)]]+RT1_TH_S)*100</f>
        <v>24.672187771053412</v>
      </c>
      <c r="AL53" s="20">
        <f>Table9[[#This Row],[RLower(max) (kΩ)]]/(Table9[[#This Row],[RLower(max) (kΩ)]]+RT1_TH_S_MIN)*100</f>
        <v>25.171250480541147</v>
      </c>
      <c r="AM53" s="20">
        <f>IF(Table9[[#This Row],[Vmin (%)]]&lt;$BA$14, 0, IF(Table9[[#This Row],[Vmin (%)]]&lt;$BA$12, 4, IF(Table9[[#This Row],[Vmin (%)]]&lt;$BA$9, 3, IF(Table9[[#This Row],[Vmin (%)]]&lt;$BA$7, 2, 0))))</f>
        <v>0</v>
      </c>
      <c r="AN53" s="20">
        <f>IF(Table9[[#This Row],[Vmin (%)]]&lt;$BA$13, 0, IF(Table9[[#This Row],[Vmin (%)]]&lt;$BA$11, 4, IF(Table9[[#This Row],[Vmin (%)]]&lt;$BA$10, 3, IF(Table9[[#This Row],[Vmin (%)]]&lt;$BA$8, 2, 0))))</f>
        <v>0</v>
      </c>
      <c r="AO53" s="76" t="str">
        <f>IF(Table9[[#This Row],[Vmin (%)]]&lt;$BA$14, "Hot", IF(Table9[[#This Row],[Vmin (%)]]&lt;$BA$12, "Warm", IF(Table9[[#This Row],[Vmin (%)]]&lt;$BA$9, "Normal", IF(Table9[[#This Row],[Vmin (%)]]&lt;$BA$7, "Cool", "Cold"))))</f>
        <v>Hot</v>
      </c>
      <c r="AP53" s="19"/>
      <c r="AQ53" s="19"/>
      <c r="AR53" s="19"/>
      <c r="AS53" s="19"/>
      <c r="AT53" s="19"/>
      <c r="AU53" s="19"/>
      <c r="AV53" s="19"/>
      <c r="AW53" s="19"/>
      <c r="AX53" s="19"/>
      <c r="AY53" s="19"/>
      <c r="AZ53" s="19"/>
      <c r="BA53" s="19"/>
      <c r="BB53" s="19"/>
      <c r="BC53" s="19"/>
      <c r="BD53" s="19"/>
      <c r="BE53" s="19"/>
      <c r="BF53" s="19"/>
      <c r="BG53" s="19"/>
      <c r="BH53" s="19"/>
      <c r="BI53" s="19"/>
      <c r="BJ53" s="19"/>
      <c r="BK53" s="19"/>
      <c r="BL53" s="19"/>
      <c r="BM53" s="19"/>
      <c r="BN53" s="19"/>
      <c r="BO53" s="19"/>
      <c r="BP53" s="19"/>
      <c r="BQ53" s="19"/>
      <c r="BR53" s="19"/>
      <c r="BS53" s="19"/>
      <c r="BT53" s="19"/>
      <c r="BU53" s="19"/>
      <c r="BV53" s="19"/>
      <c r="BW53" s="19"/>
      <c r="BX53" s="19"/>
      <c r="BY53" s="19"/>
      <c r="BZ53" s="19"/>
      <c r="CA53" s="19"/>
      <c r="CB53" s="19"/>
      <c r="CC53" s="19"/>
      <c r="CD53" s="19"/>
      <c r="CE53" s="19"/>
      <c r="CF53" s="19"/>
      <c r="CG53" s="19"/>
      <c r="CH53" s="19"/>
      <c r="CI53" s="19"/>
      <c r="CJ53" s="19"/>
      <c r="CK53" s="19"/>
      <c r="CL53" s="19"/>
      <c r="CM53" s="19"/>
      <c r="CN53" s="19"/>
      <c r="CO53" s="19"/>
      <c r="CP53" s="19"/>
      <c r="CQ53" s="19"/>
      <c r="CR53" s="19"/>
      <c r="CS53" s="19"/>
      <c r="CT53" s="19"/>
      <c r="CU53" s="19"/>
      <c r="CV53" s="19"/>
      <c r="CW53" s="19"/>
      <c r="CX53" s="19"/>
      <c r="CY53" s="19"/>
      <c r="CZ53" s="19"/>
      <c r="DA53" s="19"/>
      <c r="DB53" s="19"/>
      <c r="DC53" s="19"/>
      <c r="DD53" s="19"/>
      <c r="DE53" s="19"/>
      <c r="DF53" s="19"/>
      <c r="DG53" s="19"/>
      <c r="DH53" s="19"/>
      <c r="DI53" s="19"/>
      <c r="DJ53" s="19"/>
      <c r="DK53" s="19"/>
      <c r="DL53" s="19"/>
      <c r="DM53" s="19"/>
      <c r="DN53" s="19"/>
      <c r="DO53" s="19"/>
      <c r="DP53" s="19"/>
      <c r="DQ53" s="19"/>
      <c r="DR53" s="19"/>
      <c r="DS53" s="19"/>
      <c r="DT53" s="19"/>
      <c r="DU53" s="19"/>
      <c r="DV53" s="19"/>
      <c r="DW53" s="19"/>
      <c r="DX53" s="19"/>
      <c r="DY53" s="19"/>
      <c r="DZ53" s="19"/>
      <c r="EA53" s="19"/>
      <c r="EB53" s="19"/>
      <c r="EC53" s="19"/>
      <c r="ED53" s="19"/>
      <c r="EE53" s="19"/>
      <c r="EF53" s="19"/>
      <c r="EG53" s="19"/>
      <c r="EH53" s="19"/>
      <c r="EI53" s="19"/>
      <c r="EJ53" s="19"/>
      <c r="EK53" s="19"/>
      <c r="EL53" s="19"/>
      <c r="EM53" s="19"/>
      <c r="EN53" s="19"/>
      <c r="EO53" s="19"/>
      <c r="EP53" s="19"/>
      <c r="EQ53" s="19"/>
      <c r="ER53" s="19"/>
      <c r="ES53" s="19"/>
      <c r="ET53" s="19"/>
      <c r="EU53" s="19"/>
      <c r="EV53" s="19"/>
      <c r="EW53" s="19"/>
      <c r="EX53" s="19"/>
      <c r="EY53" s="19"/>
      <c r="EZ53" s="19"/>
      <c r="FA53" s="19"/>
      <c r="FB53" s="19"/>
      <c r="FC53" s="19"/>
      <c r="FD53" s="19"/>
      <c r="FE53" s="19"/>
      <c r="FF53" s="19"/>
      <c r="FG53" s="19"/>
      <c r="FH53" s="19"/>
      <c r="FI53" s="19"/>
      <c r="FJ53" s="19"/>
      <c r="FK53" s="19"/>
      <c r="FL53" s="19"/>
      <c r="FM53" s="19"/>
      <c r="FN53" s="19"/>
      <c r="FO53" s="19"/>
      <c r="FP53" s="19"/>
      <c r="FQ53" s="19"/>
      <c r="FR53" s="19"/>
      <c r="FS53" s="19"/>
      <c r="FT53" s="19"/>
      <c r="FU53" s="19"/>
      <c r="FV53" s="19"/>
      <c r="FW53" s="19"/>
      <c r="FX53" s="19"/>
      <c r="FY53" s="19"/>
      <c r="FZ53" s="19"/>
      <c r="GA53" s="19"/>
      <c r="GB53" s="19"/>
      <c r="GC53" s="19"/>
      <c r="GD53" s="19"/>
      <c r="GE53" s="19"/>
      <c r="GF53" s="19"/>
      <c r="GG53" s="19"/>
      <c r="GH53" s="19"/>
      <c r="GI53" s="19"/>
      <c r="GJ53" s="19"/>
      <c r="GK53" s="19"/>
      <c r="GL53" s="19"/>
      <c r="GM53" s="19"/>
      <c r="GN53" s="19"/>
      <c r="GO53" s="19"/>
      <c r="GP53" s="19"/>
      <c r="GQ53" s="19"/>
      <c r="GR53" s="19"/>
      <c r="GS53" s="19"/>
      <c r="GT53" s="19"/>
      <c r="GU53" s="19"/>
      <c r="GV53" s="19"/>
      <c r="GW53" s="19"/>
      <c r="GX53" s="19"/>
      <c r="GY53" s="19"/>
      <c r="GZ53" s="19"/>
      <c r="HA53" s="19"/>
      <c r="HB53" s="19"/>
    </row>
    <row r="54" spans="1:210" x14ac:dyDescent="0.25">
      <c r="A54" s="113">
        <f t="shared" si="5"/>
        <v>76</v>
      </c>
      <c r="B54" s="163"/>
      <c r="C54" s="172" t="str">
        <f t="shared" si="7"/>
        <v>RTH at 76 °C</v>
      </c>
      <c r="D54" s="196">
        <f t="shared" si="6"/>
        <v>2.5</v>
      </c>
      <c r="E54" s="197">
        <v>1.819</v>
      </c>
      <c r="F54" s="198">
        <v>1.869</v>
      </c>
      <c r="G54" s="199">
        <v>1.92</v>
      </c>
      <c r="H54" s="128" t="s">
        <v>18</v>
      </c>
      <c r="I54" s="29"/>
      <c r="J54" s="29">
        <v>1.92</v>
      </c>
      <c r="K54" s="29">
        <v>1.869</v>
      </c>
      <c r="L54" s="29">
        <v>1.819</v>
      </c>
      <c r="M54" s="29"/>
      <c r="N54" s="29"/>
      <c r="O54" s="29"/>
      <c r="P54" s="29"/>
      <c r="Q54" s="29"/>
      <c r="R54" s="29"/>
      <c r="S54" s="29"/>
      <c r="T54" s="29"/>
      <c r="U54" s="29"/>
      <c r="V54" s="29"/>
      <c r="W54" s="29"/>
      <c r="X54" s="29"/>
      <c r="Y54" s="30"/>
      <c r="Z54" s="18"/>
      <c r="AA54" s="19"/>
      <c r="AB54" s="19"/>
      <c r="AC54" s="20">
        <f t="shared" si="8"/>
        <v>76</v>
      </c>
      <c r="AD54" s="20">
        <f t="shared" si="9"/>
        <v>1.819</v>
      </c>
      <c r="AE54" s="20">
        <f t="shared" si="10"/>
        <v>1.869</v>
      </c>
      <c r="AF54" s="20">
        <f t="shared" si="11"/>
        <v>1.92</v>
      </c>
      <c r="AG54" s="20">
        <f>Table9[[#This Row],[RTH(min) (kΩ)]]*RT2_TH_MIN/(RT2_TH_MIN+Table9[[#This Row],[RTH(min) (kΩ)]])</f>
        <v>1.7165418283862368</v>
      </c>
      <c r="AH54" s="20">
        <f>Table9[[#This Row],[RTH(nom) (kΩ)]]*RT2_TH_S/(RT2_TH_S+Table9[[#This Row],[RTH(nom) (kΩ)]])</f>
        <v>1.7611007318648917</v>
      </c>
      <c r="AI54" s="20">
        <f>Table9[[#This Row],[RTH(max) (kΩ)]]*RT2_TH_S_MAX/(RT2_TH_S_MAX+Table9[[#This Row],[RTH(max) (kΩ)]])</f>
        <v>1.8064177805910788</v>
      </c>
      <c r="AJ54" s="20">
        <f>Table9[[#This Row],[RLower(min) (kΩ)]]/(Table9[[#This Row],[RLower(min) (kΩ)]]+RT1_TH_S_MAX)*100</f>
        <v>24.681518209125393</v>
      </c>
      <c r="AK54" s="20">
        <f>Table9[[#This Row],[RLower(nom) (kΩ)]]/(Table9[[#This Row],[RLower(nom) (kΩ)]]+RT1_TH_S)*100</f>
        <v>25.179834100167781</v>
      </c>
      <c r="AL54" s="20">
        <f>Table9[[#This Row],[RLower(max) (kΩ)]]/(Table9[[#This Row],[RLower(max) (kΩ)]]+RT1_TH_S_MIN)*100</f>
        <v>25.680588557353246</v>
      </c>
      <c r="AM54" s="20">
        <f>IF(Table9[[#This Row],[Vmin (%)]]&lt;$BA$14, 0, IF(Table9[[#This Row],[Vmin (%)]]&lt;$BA$12, 4, IF(Table9[[#This Row],[Vmin (%)]]&lt;$BA$9, 3, IF(Table9[[#This Row],[Vmin (%)]]&lt;$BA$7, 2, 0))))</f>
        <v>0</v>
      </c>
      <c r="AN54" s="20">
        <f>IF(Table9[[#This Row],[Vmin (%)]]&lt;$BA$13, 0, IF(Table9[[#This Row],[Vmin (%)]]&lt;$BA$11, 4, IF(Table9[[#This Row],[Vmin (%)]]&lt;$BA$10, 3, IF(Table9[[#This Row],[Vmin (%)]]&lt;$BA$8, 2, 0))))</f>
        <v>0</v>
      </c>
      <c r="AO54" s="76" t="str">
        <f>IF(Table9[[#This Row],[Vmin (%)]]&lt;$BA$14, "Hot", IF(Table9[[#This Row],[Vmin (%)]]&lt;$BA$12, "Warm", IF(Table9[[#This Row],[Vmin (%)]]&lt;$BA$9, "Normal", IF(Table9[[#This Row],[Vmin (%)]]&lt;$BA$7, "Cool", "Cold"))))</f>
        <v>Hot</v>
      </c>
      <c r="AP54" s="19"/>
      <c r="AQ54" s="19"/>
      <c r="AR54" s="19"/>
      <c r="AS54" s="19"/>
      <c r="AT54" s="19"/>
      <c r="AU54" s="19"/>
      <c r="AV54" s="19"/>
      <c r="AW54" s="19"/>
      <c r="AX54" s="19"/>
      <c r="AY54" s="19"/>
      <c r="AZ54" s="19"/>
      <c r="BA54" s="19"/>
      <c r="BB54" s="19"/>
      <c r="BC54" s="19"/>
      <c r="BD54" s="19"/>
      <c r="BE54" s="19"/>
      <c r="BF54" s="19"/>
      <c r="BG54" s="19"/>
      <c r="BH54" s="19"/>
      <c r="BI54" s="19"/>
      <c r="BJ54" s="19"/>
      <c r="BK54" s="19"/>
      <c r="BL54" s="19"/>
      <c r="BM54" s="19"/>
      <c r="BN54" s="19"/>
      <c r="BO54" s="19"/>
      <c r="BP54" s="19"/>
      <c r="BQ54" s="19"/>
      <c r="BR54" s="19"/>
      <c r="BS54" s="19"/>
      <c r="BT54" s="19"/>
      <c r="BU54" s="19"/>
      <c r="BV54" s="19"/>
      <c r="BW54" s="19"/>
      <c r="BX54" s="19"/>
      <c r="BY54" s="19"/>
      <c r="BZ54" s="19"/>
      <c r="CA54" s="19"/>
      <c r="CB54" s="19"/>
      <c r="CC54" s="19"/>
      <c r="CD54" s="19"/>
      <c r="CE54" s="19"/>
      <c r="CF54" s="19"/>
      <c r="CG54" s="19"/>
      <c r="CH54" s="19"/>
      <c r="CI54" s="19"/>
      <c r="CJ54" s="19"/>
      <c r="CK54" s="19"/>
      <c r="CL54" s="19"/>
      <c r="CM54" s="19"/>
      <c r="CN54" s="19"/>
      <c r="CO54" s="19"/>
      <c r="CP54" s="19"/>
      <c r="CQ54" s="19"/>
      <c r="CR54" s="19"/>
      <c r="CS54" s="19"/>
      <c r="CT54" s="19"/>
      <c r="CU54" s="19"/>
      <c r="CV54" s="19"/>
      <c r="CW54" s="19"/>
      <c r="CX54" s="19"/>
      <c r="CY54" s="19"/>
      <c r="CZ54" s="19"/>
      <c r="DA54" s="19"/>
      <c r="DB54" s="19"/>
      <c r="DC54" s="19"/>
      <c r="DD54" s="19"/>
      <c r="DE54" s="19"/>
      <c r="DF54" s="19"/>
      <c r="DG54" s="19"/>
      <c r="DH54" s="19"/>
      <c r="DI54" s="19"/>
      <c r="DJ54" s="19"/>
      <c r="DK54" s="19"/>
      <c r="DL54" s="19"/>
      <c r="DM54" s="19"/>
      <c r="DN54" s="19"/>
      <c r="DO54" s="19"/>
      <c r="DP54" s="19"/>
      <c r="DQ54" s="19"/>
      <c r="DR54" s="19"/>
      <c r="DS54" s="19"/>
      <c r="DT54" s="19"/>
      <c r="DU54" s="19"/>
      <c r="DV54" s="19"/>
      <c r="DW54" s="19"/>
      <c r="DX54" s="19"/>
      <c r="DY54" s="19"/>
      <c r="DZ54" s="19"/>
      <c r="EA54" s="19"/>
      <c r="EB54" s="19"/>
      <c r="EC54" s="19"/>
      <c r="ED54" s="19"/>
      <c r="EE54" s="19"/>
      <c r="EF54" s="19"/>
      <c r="EG54" s="19"/>
      <c r="EH54" s="19"/>
      <c r="EI54" s="19"/>
      <c r="EJ54" s="19"/>
      <c r="EK54" s="19"/>
      <c r="EL54" s="19"/>
      <c r="EM54" s="19"/>
      <c r="EN54" s="19"/>
      <c r="EO54" s="19"/>
      <c r="EP54" s="19"/>
      <c r="EQ54" s="19"/>
      <c r="ER54" s="19"/>
      <c r="ES54" s="19"/>
      <c r="ET54" s="19"/>
      <c r="EU54" s="19"/>
      <c r="EV54" s="19"/>
      <c r="EW54" s="19"/>
      <c r="EX54" s="19"/>
      <c r="EY54" s="19"/>
      <c r="EZ54" s="19"/>
      <c r="FA54" s="19"/>
      <c r="FB54" s="19"/>
      <c r="FC54" s="19"/>
      <c r="FD54" s="19"/>
      <c r="FE54" s="19"/>
      <c r="FF54" s="19"/>
      <c r="FG54" s="19"/>
      <c r="FH54" s="19"/>
      <c r="FI54" s="19"/>
      <c r="FJ54" s="19"/>
      <c r="FK54" s="19"/>
      <c r="FL54" s="19"/>
      <c r="FM54" s="19"/>
      <c r="FN54" s="19"/>
      <c r="FO54" s="19"/>
      <c r="FP54" s="19"/>
      <c r="FQ54" s="19"/>
      <c r="FR54" s="19"/>
      <c r="FS54" s="19"/>
      <c r="FT54" s="19"/>
      <c r="FU54" s="19"/>
      <c r="FV54" s="19"/>
      <c r="FW54" s="19"/>
      <c r="FX54" s="19"/>
      <c r="FY54" s="19"/>
      <c r="FZ54" s="19"/>
      <c r="GA54" s="19"/>
      <c r="GB54" s="19"/>
      <c r="GC54" s="19"/>
      <c r="GD54" s="19"/>
      <c r="GE54" s="19"/>
      <c r="GF54" s="19"/>
      <c r="GG54" s="19"/>
      <c r="GH54" s="19"/>
      <c r="GI54" s="19"/>
      <c r="GJ54" s="19"/>
      <c r="GK54" s="19"/>
      <c r="GL54" s="19"/>
      <c r="GM54" s="19"/>
      <c r="GN54" s="19"/>
      <c r="GO54" s="19"/>
      <c r="GP54" s="19"/>
      <c r="GQ54" s="19"/>
      <c r="GR54" s="19"/>
      <c r="GS54" s="19"/>
      <c r="GT54" s="19"/>
      <c r="GU54" s="19"/>
      <c r="GV54" s="19"/>
      <c r="GW54" s="19"/>
      <c r="GX54" s="19"/>
      <c r="GY54" s="19"/>
      <c r="GZ54" s="19"/>
      <c r="HA54" s="19"/>
      <c r="HB54" s="19"/>
    </row>
    <row r="55" spans="1:210" x14ac:dyDescent="0.25">
      <c r="A55" s="113">
        <f t="shared" si="5"/>
        <v>75</v>
      </c>
      <c r="B55" s="163"/>
      <c r="C55" s="172" t="str">
        <f t="shared" si="7"/>
        <v>RTH at 75 °C</v>
      </c>
      <c r="D55" s="196">
        <f t="shared" si="6"/>
        <v>2.4705882352941178</v>
      </c>
      <c r="E55" s="197">
        <v>1.873</v>
      </c>
      <c r="F55" s="198">
        <v>1.9239999999999999</v>
      </c>
      <c r="G55" s="199">
        <v>1.9750000000000001</v>
      </c>
      <c r="H55" s="128" t="s">
        <v>18</v>
      </c>
      <c r="I55" s="29"/>
      <c r="J55" s="29">
        <v>1.9750000000000001</v>
      </c>
      <c r="K55" s="29">
        <v>1.9239999999999999</v>
      </c>
      <c r="L55" s="29">
        <v>1.873</v>
      </c>
      <c r="M55" s="29"/>
      <c r="N55" s="29"/>
      <c r="O55" s="29"/>
      <c r="P55" s="29"/>
      <c r="Q55" s="29"/>
      <c r="R55" s="29"/>
      <c r="S55" s="29"/>
      <c r="T55" s="29"/>
      <c r="U55" s="29"/>
      <c r="V55" s="29"/>
      <c r="W55" s="29"/>
      <c r="X55" s="29"/>
      <c r="Y55" s="30"/>
      <c r="Z55" s="18"/>
      <c r="AA55" s="19"/>
      <c r="AB55" s="19"/>
      <c r="AC55" s="20">
        <f t="shared" si="8"/>
        <v>75</v>
      </c>
      <c r="AD55" s="20">
        <f t="shared" si="9"/>
        <v>1.873</v>
      </c>
      <c r="AE55" s="20">
        <f t="shared" si="10"/>
        <v>1.9239999999999999</v>
      </c>
      <c r="AF55" s="20">
        <f t="shared" si="11"/>
        <v>1.9750000000000001</v>
      </c>
      <c r="AG55" s="20">
        <f>Table9[[#This Row],[RTH(min) (kΩ)]]*RT2_TH_MIN/(RT2_TH_MIN+Table9[[#This Row],[RTH(min) (kΩ)]])</f>
        <v>1.7645495996477978</v>
      </c>
      <c r="AH55" s="20">
        <f>Table9[[#This Row],[RTH(nom) (kΩ)]]*RT2_TH_S/(RT2_TH_S+Table9[[#This Row],[RTH(nom) (kΩ)]])</f>
        <v>1.809850807502994</v>
      </c>
      <c r="AI55" s="20">
        <f>Table9[[#This Row],[RTH(max) (kΩ)]]*RT2_TH_S_MAX/(RT2_TH_S_MAX+Table9[[#This Row],[RTH(max) (kΩ)]])</f>
        <v>1.8550205809181659</v>
      </c>
      <c r="AJ55" s="20">
        <f>Table9[[#This Row],[RLower(min) (kΩ)]]/(Table9[[#This Row],[RLower(min) (kΩ)]]+RT1_TH_S_MAX)*100</f>
        <v>25.197866813416958</v>
      </c>
      <c r="AK55" s="20">
        <f>Table9[[#This Row],[RLower(nom) (kΩ)]]/(Table9[[#This Row],[RLower(nom) (kΩ)]]+RT1_TH_S)*100</f>
        <v>25.697734227776909</v>
      </c>
      <c r="AL55" s="20">
        <f>Table9[[#This Row],[RLower(max) (kΩ)]]/(Table9[[#This Row],[RLower(max) (kΩ)]]+RT1_TH_S_MIN)*100</f>
        <v>26.190576465928594</v>
      </c>
      <c r="AM55" s="20">
        <f>IF(Table9[[#This Row],[Vmin (%)]]&lt;$BA$14, 0, IF(Table9[[#This Row],[Vmin (%)]]&lt;$BA$12, 4, IF(Table9[[#This Row],[Vmin (%)]]&lt;$BA$9, 3, IF(Table9[[#This Row],[Vmin (%)]]&lt;$BA$7, 2, 0))))</f>
        <v>0</v>
      </c>
      <c r="AN55" s="20">
        <f>IF(Table9[[#This Row],[Vmin (%)]]&lt;$BA$13, 0, IF(Table9[[#This Row],[Vmin (%)]]&lt;$BA$11, 4, IF(Table9[[#This Row],[Vmin (%)]]&lt;$BA$10, 3, IF(Table9[[#This Row],[Vmin (%)]]&lt;$BA$8, 2, 0))))</f>
        <v>0</v>
      </c>
      <c r="AO55" s="76" t="str">
        <f>IF(Table9[[#This Row],[Vmin (%)]]&lt;$BA$14, "Hot", IF(Table9[[#This Row],[Vmin (%)]]&lt;$BA$12, "Warm", IF(Table9[[#This Row],[Vmin (%)]]&lt;$BA$9, "Normal", IF(Table9[[#This Row],[Vmin (%)]]&lt;$BA$7, "Cool", "Cold"))))</f>
        <v>Hot</v>
      </c>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19"/>
      <c r="BO55" s="19"/>
      <c r="BP55" s="19"/>
      <c r="BQ55" s="19"/>
      <c r="BR55" s="19"/>
      <c r="BS55" s="19"/>
      <c r="BT55" s="19"/>
      <c r="BU55" s="19"/>
      <c r="BV55" s="19"/>
      <c r="BW55" s="19"/>
      <c r="BX55" s="19"/>
      <c r="BY55" s="19"/>
      <c r="BZ55" s="19"/>
      <c r="CA55" s="19"/>
      <c r="CB55" s="19"/>
      <c r="CC55" s="19"/>
      <c r="CD55" s="19"/>
      <c r="CE55" s="19"/>
      <c r="CF55" s="19"/>
      <c r="CG55" s="19"/>
      <c r="CH55" s="19"/>
      <c r="CI55" s="19"/>
      <c r="CJ55" s="19"/>
      <c r="CK55" s="19"/>
      <c r="CL55" s="19"/>
      <c r="CM55" s="19"/>
      <c r="CN55" s="19"/>
      <c r="CO55" s="19"/>
      <c r="CP55" s="19"/>
      <c r="CQ55" s="19"/>
      <c r="CR55" s="19"/>
      <c r="CS55" s="19"/>
      <c r="CT55" s="19"/>
      <c r="CU55" s="19"/>
      <c r="CV55" s="19"/>
      <c r="CW55" s="19"/>
      <c r="CX55" s="19"/>
      <c r="CY55" s="19"/>
      <c r="CZ55" s="19"/>
      <c r="DA55" s="19"/>
      <c r="DB55" s="19"/>
      <c r="DC55" s="19"/>
      <c r="DD55" s="19"/>
      <c r="DE55" s="19"/>
      <c r="DF55" s="19"/>
      <c r="DG55" s="19"/>
      <c r="DH55" s="19"/>
      <c r="DI55" s="19"/>
      <c r="DJ55" s="19"/>
      <c r="DK55" s="19"/>
      <c r="DL55" s="19"/>
      <c r="DM55" s="19"/>
      <c r="DN55" s="19"/>
      <c r="DO55" s="19"/>
      <c r="DP55" s="19"/>
      <c r="DQ55" s="19"/>
      <c r="DR55" s="19"/>
      <c r="DS55" s="19"/>
      <c r="DT55" s="19"/>
      <c r="DU55" s="19"/>
      <c r="DV55" s="19"/>
      <c r="DW55" s="19"/>
      <c r="DX55" s="19"/>
      <c r="DY55" s="19"/>
      <c r="DZ55" s="19"/>
      <c r="EA55" s="19"/>
      <c r="EB55" s="19"/>
      <c r="EC55" s="19"/>
      <c r="ED55" s="19"/>
      <c r="EE55" s="19"/>
      <c r="EF55" s="19"/>
      <c r="EG55" s="19"/>
      <c r="EH55" s="19"/>
      <c r="EI55" s="19"/>
      <c r="EJ55" s="19"/>
      <c r="EK55" s="19"/>
      <c r="EL55" s="19"/>
      <c r="EM55" s="19"/>
      <c r="EN55" s="19"/>
      <c r="EO55" s="19"/>
      <c r="EP55" s="19"/>
      <c r="EQ55" s="19"/>
      <c r="ER55" s="19"/>
      <c r="ES55" s="19"/>
      <c r="ET55" s="19"/>
      <c r="EU55" s="19"/>
      <c r="EV55" s="19"/>
      <c r="EW55" s="19"/>
      <c r="EX55" s="19"/>
      <c r="EY55" s="19"/>
      <c r="EZ55" s="19"/>
      <c r="FA55" s="19"/>
      <c r="FB55" s="19"/>
      <c r="FC55" s="19"/>
      <c r="FD55" s="19"/>
      <c r="FE55" s="19"/>
      <c r="FF55" s="19"/>
      <c r="FG55" s="19"/>
      <c r="FH55" s="19"/>
      <c r="FI55" s="19"/>
      <c r="FJ55" s="19"/>
      <c r="FK55" s="19"/>
      <c r="FL55" s="19"/>
      <c r="FM55" s="19"/>
      <c r="FN55" s="19"/>
      <c r="FO55" s="19"/>
      <c r="FP55" s="19"/>
      <c r="FQ55" s="19"/>
      <c r="FR55" s="19"/>
      <c r="FS55" s="19"/>
      <c r="FT55" s="19"/>
      <c r="FU55" s="19"/>
      <c r="FV55" s="19"/>
      <c r="FW55" s="19"/>
      <c r="FX55" s="19"/>
      <c r="FY55" s="19"/>
      <c r="FZ55" s="19"/>
      <c r="GA55" s="19"/>
      <c r="GB55" s="19"/>
      <c r="GC55" s="19"/>
      <c r="GD55" s="19"/>
      <c r="GE55" s="19"/>
      <c r="GF55" s="19"/>
      <c r="GG55" s="19"/>
      <c r="GH55" s="19"/>
      <c r="GI55" s="19"/>
      <c r="GJ55" s="19"/>
      <c r="GK55" s="19"/>
      <c r="GL55" s="19"/>
      <c r="GM55" s="19"/>
      <c r="GN55" s="19"/>
      <c r="GO55" s="19"/>
      <c r="GP55" s="19"/>
      <c r="GQ55" s="19"/>
      <c r="GR55" s="19"/>
      <c r="GS55" s="19"/>
      <c r="GT55" s="19"/>
      <c r="GU55" s="19"/>
      <c r="GV55" s="19"/>
      <c r="GW55" s="19"/>
      <c r="GX55" s="19"/>
      <c r="GY55" s="19"/>
      <c r="GZ55" s="19"/>
      <c r="HA55" s="19"/>
      <c r="HB55" s="19"/>
    </row>
    <row r="56" spans="1:210" x14ac:dyDescent="0.25">
      <c r="A56" s="113">
        <f t="shared" si="5"/>
        <v>74</v>
      </c>
      <c r="B56" s="163"/>
      <c r="C56" s="172" t="str">
        <f t="shared" si="7"/>
        <v>RTH at 74 °C</v>
      </c>
      <c r="D56" s="196">
        <f t="shared" si="6"/>
        <v>2.4411764705882355</v>
      </c>
      <c r="E56" s="197">
        <v>1.929</v>
      </c>
      <c r="F56" s="198">
        <v>1.98</v>
      </c>
      <c r="G56" s="199">
        <v>2.0329999999999999</v>
      </c>
      <c r="H56" s="128" t="s">
        <v>18</v>
      </c>
      <c r="I56" s="29"/>
      <c r="J56" s="29">
        <v>2.0329999999999999</v>
      </c>
      <c r="K56" s="29">
        <v>1.98</v>
      </c>
      <c r="L56" s="29">
        <v>1.929</v>
      </c>
      <c r="M56" s="29"/>
      <c r="N56" s="29"/>
      <c r="O56" s="29"/>
      <c r="P56" s="29"/>
      <c r="Q56" s="29"/>
      <c r="R56" s="29"/>
      <c r="S56" s="29"/>
      <c r="T56" s="29"/>
      <c r="U56" s="29"/>
      <c r="V56" s="29"/>
      <c r="W56" s="29"/>
      <c r="X56" s="29"/>
      <c r="Y56" s="30"/>
      <c r="Z56" s="18"/>
      <c r="AA56" s="19"/>
      <c r="AB56" s="19"/>
      <c r="AC56" s="20">
        <f t="shared" si="8"/>
        <v>74</v>
      </c>
      <c r="AD56" s="20">
        <f t="shared" si="9"/>
        <v>1.929</v>
      </c>
      <c r="AE56" s="20">
        <f t="shared" si="10"/>
        <v>1.98</v>
      </c>
      <c r="AF56" s="20">
        <f t="shared" si="11"/>
        <v>2.0329999999999999</v>
      </c>
      <c r="AG56" s="20">
        <f>Table9[[#This Row],[RTH(min) (kΩ)]]*RT2_TH_MIN/(RT2_TH_MIN+Table9[[#This Row],[RTH(min) (kΩ)]])</f>
        <v>1.8141664302064289</v>
      </c>
      <c r="AH56" s="20">
        <f>Table9[[#This Row],[RTH(nom) (kΩ)]]*RT2_TH_S/(RT2_TH_S+Table9[[#This Row],[RTH(nom) (kΩ)]])</f>
        <v>1.8593176437934864</v>
      </c>
      <c r="AI56" s="20">
        <f>Table9[[#This Row],[RTH(max) (kΩ)]]*RT2_TH_S_MAX/(RT2_TH_S_MAX+Table9[[#This Row],[RTH(max) (kΩ)]])</f>
        <v>1.9060966137096862</v>
      </c>
      <c r="AJ56" s="20">
        <f>Table9[[#This Row],[RLower(min) (kΩ)]]/(Table9[[#This Row],[RLower(min) (kΩ)]]+RT1_TH_S_MAX)*100</f>
        <v>25.724134428896861</v>
      </c>
      <c r="AK56" s="20">
        <f>Table9[[#This Row],[RLower(nom) (kΩ)]]/(Table9[[#This Row],[RLower(nom) (kΩ)]]+RT1_TH_S)*100</f>
        <v>26.215971395035371</v>
      </c>
      <c r="AL56" s="20">
        <f>Table9[[#This Row],[RLower(max) (kΩ)]]/(Table9[[#This Row],[RLower(max) (kΩ)]]+RT1_TH_S_MIN)*100</f>
        <v>26.719027444904469</v>
      </c>
      <c r="AM56" s="20">
        <f>IF(Table9[[#This Row],[Vmin (%)]]&lt;$BA$14, 0, IF(Table9[[#This Row],[Vmin (%)]]&lt;$BA$12, 4, IF(Table9[[#This Row],[Vmin (%)]]&lt;$BA$9, 3, IF(Table9[[#This Row],[Vmin (%)]]&lt;$BA$7, 2, 0))))</f>
        <v>0</v>
      </c>
      <c r="AN56" s="20">
        <f>IF(Table9[[#This Row],[Vmin (%)]]&lt;$BA$13, 0, IF(Table9[[#This Row],[Vmin (%)]]&lt;$BA$11, 4, IF(Table9[[#This Row],[Vmin (%)]]&lt;$BA$10, 3, IF(Table9[[#This Row],[Vmin (%)]]&lt;$BA$8, 2, 0))))</f>
        <v>0</v>
      </c>
      <c r="AO56" s="76" t="str">
        <f>IF(Table9[[#This Row],[Vmin (%)]]&lt;$BA$14, "Hot", IF(Table9[[#This Row],[Vmin (%)]]&lt;$BA$12, "Warm", IF(Table9[[#This Row],[Vmin (%)]]&lt;$BA$9, "Normal", IF(Table9[[#This Row],[Vmin (%)]]&lt;$BA$7, "Cool", "Cold"))))</f>
        <v>Hot</v>
      </c>
      <c r="AP56" s="19"/>
      <c r="AQ56" s="19"/>
      <c r="AR56" s="19"/>
      <c r="AS56" s="19"/>
      <c r="AT56" s="19"/>
      <c r="AU56" s="19"/>
      <c r="AV56" s="19"/>
      <c r="AW56" s="19"/>
      <c r="AX56" s="19"/>
      <c r="AY56" s="19"/>
      <c r="AZ56" s="19"/>
      <c r="BA56" s="19"/>
      <c r="BB56" s="19"/>
      <c r="BC56" s="19"/>
      <c r="BD56" s="19"/>
      <c r="BE56" s="19"/>
      <c r="BF56" s="19"/>
      <c r="BG56" s="19"/>
      <c r="BH56" s="19"/>
      <c r="BI56" s="19"/>
      <c r="BJ56" s="19"/>
      <c r="BK56" s="19"/>
      <c r="BL56" s="19"/>
      <c r="BM56" s="19"/>
      <c r="BN56" s="19"/>
      <c r="BO56" s="19"/>
      <c r="BP56" s="19"/>
      <c r="BQ56" s="19"/>
      <c r="BR56" s="19"/>
      <c r="BS56" s="19"/>
      <c r="BT56" s="19"/>
      <c r="BU56" s="19"/>
      <c r="BV56" s="19"/>
      <c r="BW56" s="19"/>
      <c r="BX56" s="19"/>
      <c r="BY56" s="19"/>
      <c r="BZ56" s="19"/>
      <c r="CA56" s="19"/>
      <c r="CB56" s="19"/>
      <c r="CC56" s="19"/>
      <c r="CD56" s="19"/>
      <c r="CE56" s="19"/>
      <c r="CF56" s="19"/>
      <c r="CG56" s="19"/>
      <c r="CH56" s="19"/>
      <c r="CI56" s="19"/>
      <c r="CJ56" s="19"/>
      <c r="CK56" s="19"/>
      <c r="CL56" s="19"/>
      <c r="CM56" s="19"/>
      <c r="CN56" s="19"/>
      <c r="CO56" s="19"/>
      <c r="CP56" s="19"/>
      <c r="CQ56" s="19"/>
      <c r="CR56" s="19"/>
      <c r="CS56" s="19"/>
      <c r="CT56" s="19"/>
      <c r="CU56" s="19"/>
      <c r="CV56" s="19"/>
      <c r="CW56" s="19"/>
      <c r="CX56" s="19"/>
      <c r="CY56" s="19"/>
      <c r="CZ56" s="19"/>
      <c r="DA56" s="19"/>
      <c r="DB56" s="19"/>
      <c r="DC56" s="19"/>
      <c r="DD56" s="19"/>
      <c r="DE56" s="19"/>
      <c r="DF56" s="19"/>
      <c r="DG56" s="19"/>
      <c r="DH56" s="19"/>
      <c r="DI56" s="19"/>
      <c r="DJ56" s="19"/>
      <c r="DK56" s="19"/>
      <c r="DL56" s="19"/>
      <c r="DM56" s="19"/>
      <c r="DN56" s="19"/>
      <c r="DO56" s="19"/>
      <c r="DP56" s="19"/>
      <c r="DQ56" s="19"/>
      <c r="DR56" s="19"/>
      <c r="DS56" s="19"/>
      <c r="DT56" s="19"/>
      <c r="DU56" s="19"/>
      <c r="DV56" s="19"/>
      <c r="DW56" s="19"/>
      <c r="DX56" s="19"/>
      <c r="DY56" s="19"/>
      <c r="DZ56" s="19"/>
      <c r="EA56" s="19"/>
      <c r="EB56" s="19"/>
      <c r="EC56" s="19"/>
      <c r="ED56" s="19"/>
      <c r="EE56" s="19"/>
      <c r="EF56" s="19"/>
      <c r="EG56" s="19"/>
      <c r="EH56" s="19"/>
      <c r="EI56" s="19"/>
      <c r="EJ56" s="19"/>
      <c r="EK56" s="19"/>
      <c r="EL56" s="19"/>
      <c r="EM56" s="19"/>
      <c r="EN56" s="19"/>
      <c r="EO56" s="19"/>
      <c r="EP56" s="19"/>
      <c r="EQ56" s="19"/>
      <c r="ER56" s="19"/>
      <c r="ES56" s="19"/>
      <c r="ET56" s="19"/>
      <c r="EU56" s="19"/>
      <c r="EV56" s="19"/>
      <c r="EW56" s="19"/>
      <c r="EX56" s="19"/>
      <c r="EY56" s="19"/>
      <c r="EZ56" s="19"/>
      <c r="FA56" s="19"/>
      <c r="FB56" s="19"/>
      <c r="FC56" s="19"/>
      <c r="FD56" s="19"/>
      <c r="FE56" s="19"/>
      <c r="FF56" s="19"/>
      <c r="FG56" s="19"/>
      <c r="FH56" s="19"/>
      <c r="FI56" s="19"/>
      <c r="FJ56" s="19"/>
      <c r="FK56" s="19"/>
      <c r="FL56" s="19"/>
      <c r="FM56" s="19"/>
      <c r="FN56" s="19"/>
      <c r="FO56" s="19"/>
      <c r="FP56" s="19"/>
      <c r="FQ56" s="19"/>
      <c r="FR56" s="19"/>
      <c r="FS56" s="19"/>
      <c r="FT56" s="19"/>
      <c r="FU56" s="19"/>
      <c r="FV56" s="19"/>
      <c r="FW56" s="19"/>
      <c r="FX56" s="19"/>
      <c r="FY56" s="19"/>
      <c r="FZ56" s="19"/>
      <c r="GA56" s="19"/>
      <c r="GB56" s="19"/>
      <c r="GC56" s="19"/>
      <c r="GD56" s="19"/>
      <c r="GE56" s="19"/>
      <c r="GF56" s="19"/>
      <c r="GG56" s="19"/>
      <c r="GH56" s="19"/>
      <c r="GI56" s="19"/>
      <c r="GJ56" s="19"/>
      <c r="GK56" s="19"/>
      <c r="GL56" s="19"/>
      <c r="GM56" s="19"/>
      <c r="GN56" s="19"/>
      <c r="GO56" s="19"/>
      <c r="GP56" s="19"/>
      <c r="GQ56" s="19"/>
      <c r="GR56" s="19"/>
      <c r="GS56" s="19"/>
      <c r="GT56" s="19"/>
      <c r="GU56" s="19"/>
      <c r="GV56" s="19"/>
      <c r="GW56" s="19"/>
      <c r="GX56" s="19"/>
      <c r="GY56" s="19"/>
      <c r="GZ56" s="19"/>
      <c r="HA56" s="19"/>
      <c r="HB56" s="19"/>
    </row>
    <row r="57" spans="1:210" x14ac:dyDescent="0.25">
      <c r="A57" s="113">
        <f t="shared" si="5"/>
        <v>73</v>
      </c>
      <c r="B57" s="163"/>
      <c r="C57" s="172" t="str">
        <f t="shared" si="7"/>
        <v>RTH at 73 °C</v>
      </c>
      <c r="D57" s="196">
        <f t="shared" si="6"/>
        <v>2.4117647058823533</v>
      </c>
      <c r="E57" s="197">
        <v>1.986</v>
      </c>
      <c r="F57" s="198">
        <v>2.0390000000000001</v>
      </c>
      <c r="G57" s="199">
        <v>2.0920000000000001</v>
      </c>
      <c r="H57" s="128" t="s">
        <v>18</v>
      </c>
      <c r="I57" s="29"/>
      <c r="J57" s="29">
        <v>2.0920000000000001</v>
      </c>
      <c r="K57" s="29">
        <v>2.0390000000000001</v>
      </c>
      <c r="L57" s="29">
        <v>1.986</v>
      </c>
      <c r="M57" s="29"/>
      <c r="N57" s="29"/>
      <c r="O57" s="29"/>
      <c r="P57" s="29"/>
      <c r="Q57" s="29"/>
      <c r="R57" s="29"/>
      <c r="S57" s="29"/>
      <c r="T57" s="29"/>
      <c r="U57" s="29"/>
      <c r="V57" s="29"/>
      <c r="W57" s="29"/>
      <c r="X57" s="29"/>
      <c r="Y57" s="30"/>
      <c r="Z57" s="18"/>
      <c r="AA57" s="19"/>
      <c r="AB57" s="19"/>
      <c r="AC57" s="20">
        <f t="shared" si="8"/>
        <v>73</v>
      </c>
      <c r="AD57" s="20">
        <f t="shared" si="9"/>
        <v>1.986</v>
      </c>
      <c r="AE57" s="20">
        <f t="shared" si="10"/>
        <v>2.0390000000000001</v>
      </c>
      <c r="AF57" s="20">
        <f t="shared" si="11"/>
        <v>2.0920000000000001</v>
      </c>
      <c r="AG57" s="20">
        <f>Table9[[#This Row],[RTH(min) (kΩ)]]*RT2_TH_MIN/(RT2_TH_MIN+Table9[[#This Row],[RTH(min) (kΩ)]])</f>
        <v>1.8644934688952672</v>
      </c>
      <c r="AH57" s="20">
        <f>Table9[[#This Row],[RTH(nom) (kΩ)]]*RT2_TH_S/(RT2_TH_S+Table9[[#This Row],[RTH(nom) (kΩ)]])</f>
        <v>1.9112503266262608</v>
      </c>
      <c r="AI57" s="20">
        <f>Table9[[#This Row],[RTH(max) (kΩ)]]*RT2_TH_S_MAX/(RT2_TH_S_MAX+Table9[[#This Row],[RTH(max) (kΩ)]])</f>
        <v>1.9578669563447808</v>
      </c>
      <c r="AJ57" s="20">
        <f>Table9[[#This Row],[RLower(min) (kΩ)]]/(Table9[[#This Row],[RLower(min) (kΩ)]]+RT1_TH_S_MAX)*100</f>
        <v>26.250423740559075</v>
      </c>
      <c r="AK57" s="20">
        <f>Table9[[#This Row],[RLower(nom) (kΩ)]]/(Table9[[#This Row],[RLower(nom) (kΩ)]]+RT1_TH_S)*100</f>
        <v>26.752319805137514</v>
      </c>
      <c r="AL57" s="20">
        <f>Table9[[#This Row],[RLower(max) (kΩ)]]/(Table9[[#This Row],[RLower(max) (kΩ)]]+RT1_TH_S_MIN)*100</f>
        <v>27.246995575536253</v>
      </c>
      <c r="AM57" s="20">
        <f>IF(Table9[[#This Row],[Vmin (%)]]&lt;$BA$14, 0, IF(Table9[[#This Row],[Vmin (%)]]&lt;$BA$12, 4, IF(Table9[[#This Row],[Vmin (%)]]&lt;$BA$9, 3, IF(Table9[[#This Row],[Vmin (%)]]&lt;$BA$7, 2, 0))))</f>
        <v>0</v>
      </c>
      <c r="AN57" s="20">
        <f>IF(Table9[[#This Row],[Vmin (%)]]&lt;$BA$13, 0, IF(Table9[[#This Row],[Vmin (%)]]&lt;$BA$11, 4, IF(Table9[[#This Row],[Vmin (%)]]&lt;$BA$10, 3, IF(Table9[[#This Row],[Vmin (%)]]&lt;$BA$8, 2, 0))))</f>
        <v>0</v>
      </c>
      <c r="AO57" s="76" t="str">
        <f>IF(Table9[[#This Row],[Vmin (%)]]&lt;$BA$14, "Hot", IF(Table9[[#This Row],[Vmin (%)]]&lt;$BA$12, "Warm", IF(Table9[[#This Row],[Vmin (%)]]&lt;$BA$9, "Normal", IF(Table9[[#This Row],[Vmin (%)]]&lt;$BA$7, "Cool", "Cold"))))</f>
        <v>Hot</v>
      </c>
      <c r="AP57" s="19"/>
      <c r="AQ57" s="19"/>
      <c r="AR57" s="19"/>
      <c r="AS57" s="19"/>
      <c r="AT57" s="19"/>
      <c r="AU57" s="19"/>
      <c r="AV57" s="19"/>
      <c r="AW57" s="19"/>
      <c r="AX57" s="19"/>
      <c r="AY57" s="19"/>
      <c r="AZ57" s="19"/>
      <c r="BA57" s="19"/>
      <c r="BB57" s="19"/>
      <c r="BC57" s="19"/>
      <c r="BD57" s="19"/>
      <c r="BE57" s="19"/>
      <c r="BF57" s="19"/>
      <c r="BG57" s="19"/>
      <c r="BH57" s="19"/>
      <c r="BI57" s="19"/>
      <c r="BJ57" s="19"/>
      <c r="BK57" s="19"/>
      <c r="BL57" s="19"/>
      <c r="BM57" s="19"/>
      <c r="BN57" s="19"/>
      <c r="BO57" s="19"/>
      <c r="BP57" s="19"/>
      <c r="BQ57" s="19"/>
      <c r="BR57" s="19"/>
      <c r="BS57" s="19"/>
      <c r="BT57" s="19"/>
      <c r="BU57" s="19"/>
      <c r="BV57" s="19"/>
      <c r="BW57" s="19"/>
      <c r="BX57" s="19"/>
      <c r="BY57" s="19"/>
      <c r="BZ57" s="19"/>
      <c r="CA57" s="19"/>
      <c r="CB57" s="19"/>
      <c r="CC57" s="19"/>
      <c r="CD57" s="19"/>
      <c r="CE57" s="19"/>
      <c r="CF57" s="19"/>
      <c r="CG57" s="19"/>
      <c r="CH57" s="19"/>
      <c r="CI57" s="19"/>
      <c r="CJ57" s="19"/>
      <c r="CK57" s="19"/>
      <c r="CL57" s="19"/>
      <c r="CM57" s="19"/>
      <c r="CN57" s="19"/>
      <c r="CO57" s="19"/>
      <c r="CP57" s="19"/>
      <c r="CQ57" s="19"/>
      <c r="CR57" s="19"/>
      <c r="CS57" s="19"/>
      <c r="CT57" s="19"/>
      <c r="CU57" s="19"/>
      <c r="CV57" s="19"/>
      <c r="CW57" s="19"/>
      <c r="CX57" s="19"/>
      <c r="CY57" s="19"/>
      <c r="CZ57" s="19"/>
      <c r="DA57" s="19"/>
      <c r="DB57" s="19"/>
      <c r="DC57" s="19"/>
      <c r="DD57" s="19"/>
      <c r="DE57" s="19"/>
      <c r="DF57" s="19"/>
      <c r="DG57" s="19"/>
      <c r="DH57" s="19"/>
      <c r="DI57" s="19"/>
      <c r="DJ57" s="19"/>
      <c r="DK57" s="19"/>
      <c r="DL57" s="19"/>
      <c r="DM57" s="19"/>
      <c r="DN57" s="19"/>
      <c r="DO57" s="19"/>
      <c r="DP57" s="19"/>
      <c r="DQ57" s="19"/>
      <c r="DR57" s="19"/>
      <c r="DS57" s="19"/>
      <c r="DT57" s="19"/>
      <c r="DU57" s="19"/>
      <c r="DV57" s="19"/>
      <c r="DW57" s="19"/>
      <c r="DX57" s="19"/>
      <c r="DY57" s="19"/>
      <c r="DZ57" s="19"/>
      <c r="EA57" s="19"/>
      <c r="EB57" s="19"/>
      <c r="EC57" s="19"/>
      <c r="ED57" s="19"/>
      <c r="EE57" s="19"/>
      <c r="EF57" s="19"/>
      <c r="EG57" s="19"/>
      <c r="EH57" s="19"/>
      <c r="EI57" s="19"/>
      <c r="EJ57" s="19"/>
      <c r="EK57" s="19"/>
      <c r="EL57" s="19"/>
      <c r="EM57" s="19"/>
      <c r="EN57" s="19"/>
      <c r="EO57" s="19"/>
      <c r="EP57" s="19"/>
      <c r="EQ57" s="19"/>
      <c r="ER57" s="19"/>
      <c r="ES57" s="19"/>
      <c r="ET57" s="19"/>
      <c r="EU57" s="19"/>
      <c r="EV57" s="19"/>
      <c r="EW57" s="19"/>
      <c r="EX57" s="19"/>
      <c r="EY57" s="19"/>
      <c r="EZ57" s="19"/>
      <c r="FA57" s="19"/>
      <c r="FB57" s="19"/>
      <c r="FC57" s="19"/>
      <c r="FD57" s="19"/>
      <c r="FE57" s="19"/>
      <c r="FF57" s="19"/>
      <c r="FG57" s="19"/>
      <c r="FH57" s="19"/>
      <c r="FI57" s="19"/>
      <c r="FJ57" s="19"/>
      <c r="FK57" s="19"/>
      <c r="FL57" s="19"/>
      <c r="FM57" s="19"/>
      <c r="FN57" s="19"/>
      <c r="FO57" s="19"/>
      <c r="FP57" s="19"/>
      <c r="FQ57" s="19"/>
      <c r="FR57" s="19"/>
      <c r="FS57" s="19"/>
      <c r="FT57" s="19"/>
      <c r="FU57" s="19"/>
      <c r="FV57" s="19"/>
      <c r="FW57" s="19"/>
      <c r="FX57" s="19"/>
      <c r="FY57" s="19"/>
      <c r="FZ57" s="19"/>
      <c r="GA57" s="19"/>
      <c r="GB57" s="19"/>
      <c r="GC57" s="19"/>
      <c r="GD57" s="19"/>
      <c r="GE57" s="19"/>
      <c r="GF57" s="19"/>
      <c r="GG57" s="19"/>
      <c r="GH57" s="19"/>
      <c r="GI57" s="19"/>
      <c r="GJ57" s="19"/>
      <c r="GK57" s="19"/>
      <c r="GL57" s="19"/>
      <c r="GM57" s="19"/>
      <c r="GN57" s="19"/>
      <c r="GO57" s="19"/>
      <c r="GP57" s="19"/>
      <c r="GQ57" s="19"/>
      <c r="GR57" s="19"/>
      <c r="GS57" s="19"/>
      <c r="GT57" s="19"/>
      <c r="GU57" s="19"/>
      <c r="GV57" s="19"/>
      <c r="GW57" s="19"/>
      <c r="GX57" s="19"/>
      <c r="GY57" s="19"/>
      <c r="GZ57" s="19"/>
      <c r="HA57" s="19"/>
      <c r="HB57" s="19"/>
    </row>
    <row r="58" spans="1:210" x14ac:dyDescent="0.25">
      <c r="A58" s="113">
        <f t="shared" si="5"/>
        <v>72</v>
      </c>
      <c r="B58" s="163"/>
      <c r="C58" s="172" t="str">
        <f t="shared" si="7"/>
        <v>RTH at 72 °C</v>
      </c>
      <c r="D58" s="196">
        <f t="shared" si="6"/>
        <v>2.3823529411764706</v>
      </c>
      <c r="E58" s="197">
        <v>2.0459999999999998</v>
      </c>
      <c r="F58" s="198">
        <v>2.1</v>
      </c>
      <c r="G58" s="199">
        <v>2.1539999999999999</v>
      </c>
      <c r="H58" s="128" t="s">
        <v>18</v>
      </c>
      <c r="I58" s="29"/>
      <c r="J58" s="29">
        <v>2.1539999999999999</v>
      </c>
      <c r="K58" s="29">
        <v>2.1</v>
      </c>
      <c r="L58" s="29">
        <v>2.0459999999999998</v>
      </c>
      <c r="M58" s="29"/>
      <c r="N58" s="29"/>
      <c r="O58" s="29"/>
      <c r="P58" s="29"/>
      <c r="Q58" s="29"/>
      <c r="R58" s="29"/>
      <c r="S58" s="29"/>
      <c r="T58" s="29"/>
      <c r="U58" s="29"/>
      <c r="V58" s="29"/>
      <c r="W58" s="29"/>
      <c r="X58" s="29"/>
      <c r="Y58" s="30"/>
      <c r="Z58" s="18"/>
      <c r="AA58" s="19"/>
      <c r="AB58" s="19"/>
      <c r="AC58" s="20">
        <f t="shared" si="8"/>
        <v>72</v>
      </c>
      <c r="AD58" s="20">
        <f t="shared" si="9"/>
        <v>2.0459999999999998</v>
      </c>
      <c r="AE58" s="20">
        <f t="shared" si="10"/>
        <v>2.1</v>
      </c>
      <c r="AF58" s="20">
        <f t="shared" si="11"/>
        <v>2.1539999999999999</v>
      </c>
      <c r="AG58" s="20">
        <f>Table9[[#This Row],[RTH(min) (kΩ)]]*RT2_TH_MIN/(RT2_TH_MIN+Table9[[#This Row],[RTH(min) (kΩ)]])</f>
        <v>1.9172787079289955</v>
      </c>
      <c r="AH58" s="20">
        <f>Table9[[#This Row],[RTH(nom) (kΩ)]]*RT2_TH_S/(RT2_TH_S+Table9[[#This Row],[RTH(nom) (kΩ)]])</f>
        <v>1.9647458280248347</v>
      </c>
      <c r="AI58" s="20">
        <f>Table9[[#This Row],[RTH(max) (kΩ)]]*RT2_TH_S_MAX/(RT2_TH_S_MAX+Table9[[#This Row],[RTH(max) (kΩ)]])</f>
        <v>2.0120683196245945</v>
      </c>
      <c r="AJ58" s="20">
        <f>Table9[[#This Row],[RLower(min) (kΩ)]]/(Table9[[#This Row],[RLower(min) (kΩ)]]+RT1_TH_S_MAX)*100</f>
        <v>26.794465032321867</v>
      </c>
      <c r="AK58" s="20">
        <f>Table9[[#This Row],[RLower(nom) (kΩ)]]/(Table9[[#This Row],[RLower(nom) (kΩ)]]+RT1_TH_S)*100</f>
        <v>27.296716105252912</v>
      </c>
      <c r="AL58" s="20">
        <f>Table9[[#This Row],[RLower(max) (kΩ)]]/(Table9[[#This Row],[RLower(max) (kΩ)]]+RT1_TH_S_MIN)*100</f>
        <v>27.791664986600949</v>
      </c>
      <c r="AM58" s="20">
        <f>IF(Table9[[#This Row],[Vmin (%)]]&lt;$BA$14, 0, IF(Table9[[#This Row],[Vmin (%)]]&lt;$BA$12, 4, IF(Table9[[#This Row],[Vmin (%)]]&lt;$BA$9, 3, IF(Table9[[#This Row],[Vmin (%)]]&lt;$BA$7, 2, 0))))</f>
        <v>0</v>
      </c>
      <c r="AN58" s="20">
        <f>IF(Table9[[#This Row],[Vmin (%)]]&lt;$BA$13, 0, IF(Table9[[#This Row],[Vmin (%)]]&lt;$BA$11, 4, IF(Table9[[#This Row],[Vmin (%)]]&lt;$BA$10, 3, IF(Table9[[#This Row],[Vmin (%)]]&lt;$BA$8, 2, 0))))</f>
        <v>0</v>
      </c>
      <c r="AO58" s="76" t="str">
        <f>IF(Table9[[#This Row],[Vmin (%)]]&lt;$BA$14, "Hot", IF(Table9[[#This Row],[Vmin (%)]]&lt;$BA$12, "Warm", IF(Table9[[#This Row],[Vmin (%)]]&lt;$BA$9, "Normal", IF(Table9[[#This Row],[Vmin (%)]]&lt;$BA$7, "Cool", "Cold"))))</f>
        <v>Hot</v>
      </c>
      <c r="AP58" s="19"/>
      <c r="AQ58" s="19"/>
      <c r="AR58" s="19"/>
      <c r="AS58" s="19"/>
      <c r="AT58" s="19"/>
      <c r="AU58" s="19"/>
      <c r="AV58" s="19"/>
      <c r="AW58" s="19"/>
      <c r="AX58" s="19"/>
      <c r="AY58" s="19"/>
      <c r="AZ58" s="19"/>
      <c r="BA58" s="19"/>
      <c r="BB58" s="19"/>
      <c r="BC58" s="19"/>
      <c r="BD58" s="19"/>
      <c r="BE58" s="19"/>
      <c r="BF58" s="19"/>
      <c r="BG58" s="19"/>
      <c r="BH58" s="19"/>
      <c r="BI58" s="19"/>
      <c r="BJ58" s="19"/>
      <c r="BK58" s="19"/>
      <c r="BL58" s="19"/>
      <c r="BM58" s="19"/>
      <c r="BN58" s="19"/>
      <c r="BO58" s="19"/>
      <c r="BP58" s="19"/>
      <c r="BQ58" s="19"/>
      <c r="BR58" s="19"/>
      <c r="BS58" s="19"/>
      <c r="BT58" s="19"/>
      <c r="BU58" s="19"/>
      <c r="BV58" s="19"/>
      <c r="BW58" s="19"/>
      <c r="BX58" s="19"/>
      <c r="BY58" s="19"/>
      <c r="BZ58" s="19"/>
      <c r="CA58" s="19"/>
      <c r="CB58" s="19"/>
      <c r="CC58" s="19"/>
      <c r="CD58" s="19"/>
      <c r="CE58" s="19"/>
      <c r="CF58" s="19"/>
      <c r="CG58" s="19"/>
      <c r="CH58" s="19"/>
      <c r="CI58" s="19"/>
      <c r="CJ58" s="19"/>
      <c r="CK58" s="19"/>
      <c r="CL58" s="19"/>
      <c r="CM58" s="19"/>
      <c r="CN58" s="19"/>
      <c r="CO58" s="19"/>
      <c r="CP58" s="19"/>
      <c r="CQ58" s="19"/>
      <c r="CR58" s="19"/>
      <c r="CS58" s="19"/>
      <c r="CT58" s="19"/>
      <c r="CU58" s="19"/>
      <c r="CV58" s="19"/>
      <c r="CW58" s="19"/>
      <c r="CX58" s="19"/>
      <c r="CY58" s="19"/>
      <c r="CZ58" s="19"/>
      <c r="DA58" s="19"/>
      <c r="DB58" s="19"/>
      <c r="DC58" s="19"/>
      <c r="DD58" s="19"/>
      <c r="DE58" s="19"/>
      <c r="DF58" s="19"/>
      <c r="DG58" s="19"/>
      <c r="DH58" s="19"/>
      <c r="DI58" s="19"/>
      <c r="DJ58" s="19"/>
      <c r="DK58" s="19"/>
      <c r="DL58" s="19"/>
      <c r="DM58" s="19"/>
      <c r="DN58" s="19"/>
      <c r="DO58" s="19"/>
      <c r="DP58" s="19"/>
      <c r="DQ58" s="19"/>
      <c r="DR58" s="19"/>
      <c r="DS58" s="19"/>
      <c r="DT58" s="19"/>
      <c r="DU58" s="19"/>
      <c r="DV58" s="19"/>
      <c r="DW58" s="19"/>
      <c r="DX58" s="19"/>
      <c r="DY58" s="19"/>
      <c r="DZ58" s="19"/>
      <c r="EA58" s="19"/>
      <c r="EB58" s="19"/>
      <c r="EC58" s="19"/>
      <c r="ED58" s="19"/>
      <c r="EE58" s="19"/>
      <c r="EF58" s="19"/>
      <c r="EG58" s="19"/>
      <c r="EH58" s="19"/>
      <c r="EI58" s="19"/>
      <c r="EJ58" s="19"/>
      <c r="EK58" s="19"/>
      <c r="EL58" s="19"/>
      <c r="EM58" s="19"/>
      <c r="EN58" s="19"/>
      <c r="EO58" s="19"/>
      <c r="EP58" s="19"/>
      <c r="EQ58" s="19"/>
      <c r="ER58" s="19"/>
      <c r="ES58" s="19"/>
      <c r="ET58" s="19"/>
      <c r="EU58" s="19"/>
      <c r="EV58" s="19"/>
      <c r="EW58" s="19"/>
      <c r="EX58" s="19"/>
      <c r="EY58" s="19"/>
      <c r="EZ58" s="19"/>
      <c r="FA58" s="19"/>
      <c r="FB58" s="19"/>
      <c r="FC58" s="19"/>
      <c r="FD58" s="19"/>
      <c r="FE58" s="19"/>
      <c r="FF58" s="19"/>
      <c r="FG58" s="19"/>
      <c r="FH58" s="19"/>
      <c r="FI58" s="19"/>
      <c r="FJ58" s="19"/>
      <c r="FK58" s="19"/>
      <c r="FL58" s="19"/>
      <c r="FM58" s="19"/>
      <c r="FN58" s="19"/>
      <c r="FO58" s="19"/>
      <c r="FP58" s="19"/>
      <c r="FQ58" s="19"/>
      <c r="FR58" s="19"/>
      <c r="FS58" s="19"/>
      <c r="FT58" s="19"/>
      <c r="FU58" s="19"/>
      <c r="FV58" s="19"/>
      <c r="FW58" s="19"/>
      <c r="FX58" s="19"/>
      <c r="FY58" s="19"/>
      <c r="FZ58" s="19"/>
      <c r="GA58" s="19"/>
      <c r="GB58" s="19"/>
      <c r="GC58" s="19"/>
      <c r="GD58" s="19"/>
      <c r="GE58" s="19"/>
      <c r="GF58" s="19"/>
      <c r="GG58" s="19"/>
      <c r="GH58" s="19"/>
      <c r="GI58" s="19"/>
      <c r="GJ58" s="19"/>
      <c r="GK58" s="19"/>
      <c r="GL58" s="19"/>
      <c r="GM58" s="19"/>
      <c r="GN58" s="19"/>
      <c r="GO58" s="19"/>
      <c r="GP58" s="19"/>
      <c r="GQ58" s="19"/>
      <c r="GR58" s="19"/>
      <c r="GS58" s="19"/>
      <c r="GT58" s="19"/>
      <c r="GU58" s="19"/>
      <c r="GV58" s="19"/>
      <c r="GW58" s="19"/>
      <c r="GX58" s="19"/>
      <c r="GY58" s="19"/>
      <c r="GZ58" s="19"/>
      <c r="HA58" s="19"/>
      <c r="HB58" s="19"/>
    </row>
    <row r="59" spans="1:210" x14ac:dyDescent="0.25">
      <c r="A59" s="113">
        <f t="shared" si="5"/>
        <v>71</v>
      </c>
      <c r="B59" s="163"/>
      <c r="C59" s="172" t="str">
        <f t="shared" si="7"/>
        <v>RTH at 71 °C</v>
      </c>
      <c r="D59" s="196">
        <f t="shared" si="6"/>
        <v>2.3529411764705883</v>
      </c>
      <c r="E59" s="197">
        <v>2.1080000000000001</v>
      </c>
      <c r="F59" s="198">
        <v>2.1629999999999998</v>
      </c>
      <c r="G59" s="199">
        <v>2.218</v>
      </c>
      <c r="H59" s="128" t="s">
        <v>18</v>
      </c>
      <c r="I59" s="29"/>
      <c r="J59" s="29">
        <v>2.218</v>
      </c>
      <c r="K59" s="29">
        <v>2.1629999999999998</v>
      </c>
      <c r="L59" s="29">
        <v>2.1080000000000001</v>
      </c>
      <c r="M59" s="29"/>
      <c r="N59" s="29"/>
      <c r="O59" s="29"/>
      <c r="P59" s="29"/>
      <c r="Q59" s="29"/>
      <c r="R59" s="29"/>
      <c r="S59" s="29"/>
      <c r="T59" s="29"/>
      <c r="U59" s="29"/>
      <c r="V59" s="29"/>
      <c r="W59" s="29"/>
      <c r="X59" s="29"/>
      <c r="Y59" s="30"/>
      <c r="Z59" s="18"/>
      <c r="AA59" s="19"/>
      <c r="AB59" s="19"/>
      <c r="AC59" s="20">
        <f t="shared" si="8"/>
        <v>71</v>
      </c>
      <c r="AD59" s="20">
        <f t="shared" si="9"/>
        <v>2.1080000000000001</v>
      </c>
      <c r="AE59" s="20">
        <f t="shared" si="10"/>
        <v>2.1629999999999998</v>
      </c>
      <c r="AF59" s="20">
        <f t="shared" si="11"/>
        <v>2.218</v>
      </c>
      <c r="AG59" s="20">
        <f>Table9[[#This Row],[RTH(min) (kΩ)]]*RT2_TH_MIN/(RT2_TH_MIN+Table9[[#This Row],[RTH(min) (kΩ)]])</f>
        <v>1.9716192224974194</v>
      </c>
      <c r="AH59" s="20">
        <f>Table9[[#This Row],[RTH(nom) (kΩ)]]*RT2_TH_S/(RT2_TH_S+Table9[[#This Row],[RTH(nom) (kΩ)]])</f>
        <v>2.0197855682284636</v>
      </c>
      <c r="AI59" s="20">
        <f>Table9[[#This Row],[RTH(max) (kΩ)]]*RT2_TH_S_MAX/(RT2_TH_S_MAX+Table9[[#This Row],[RTH(max) (kΩ)]])</f>
        <v>2.0678028816234399</v>
      </c>
      <c r="AJ59" s="20">
        <f>Table9[[#This Row],[RLower(min) (kΩ)]]/(Table9[[#This Row],[RLower(min) (kΩ)]]+RT1_TH_S_MAX)*100</f>
        <v>27.346214389487798</v>
      </c>
      <c r="AK59" s="20">
        <f>Table9[[#This Row],[RLower(nom) (kΩ)]]/(Table9[[#This Row],[RLower(nom) (kΩ)]]+RT1_TH_S)*100</f>
        <v>27.848445465570549</v>
      </c>
      <c r="AL59" s="20">
        <f>Table9[[#This Row],[RLower(max) (kΩ)]]/(Table9[[#This Row],[RLower(max) (kΩ)]]+RT1_TH_S_MIN)*100</f>
        <v>28.343301783835084</v>
      </c>
      <c r="AM59" s="20">
        <f>IF(Table9[[#This Row],[Vmin (%)]]&lt;$BA$14, 0, IF(Table9[[#This Row],[Vmin (%)]]&lt;$BA$12, 4, IF(Table9[[#This Row],[Vmin (%)]]&lt;$BA$9, 3, IF(Table9[[#This Row],[Vmin (%)]]&lt;$BA$7, 2, 0))))</f>
        <v>0</v>
      </c>
      <c r="AN59" s="20">
        <f>IF(Table9[[#This Row],[Vmin (%)]]&lt;$BA$13, 0, IF(Table9[[#This Row],[Vmin (%)]]&lt;$BA$11, 4, IF(Table9[[#This Row],[Vmin (%)]]&lt;$BA$10, 3, IF(Table9[[#This Row],[Vmin (%)]]&lt;$BA$8, 2, 0))))</f>
        <v>0</v>
      </c>
      <c r="AO59" s="76" t="str">
        <f>IF(Table9[[#This Row],[Vmin (%)]]&lt;$BA$14, "Hot", IF(Table9[[#This Row],[Vmin (%)]]&lt;$BA$12, "Warm", IF(Table9[[#This Row],[Vmin (%)]]&lt;$BA$9, "Normal", IF(Table9[[#This Row],[Vmin (%)]]&lt;$BA$7, "Cool", "Cold"))))</f>
        <v>Hot</v>
      </c>
      <c r="AP59" s="19"/>
      <c r="AQ59" s="19"/>
      <c r="AR59" s="19"/>
      <c r="AS59" s="19"/>
      <c r="AT59" s="19"/>
      <c r="AU59" s="19"/>
      <c r="AV59" s="19"/>
      <c r="AW59" s="19"/>
      <c r="AX59" s="19"/>
      <c r="AY59" s="19"/>
      <c r="AZ59" s="19"/>
      <c r="BA59" s="19"/>
      <c r="BB59" s="19"/>
      <c r="BC59" s="19"/>
      <c r="BD59" s="19"/>
      <c r="BE59" s="19"/>
      <c r="BF59" s="19"/>
      <c r="BG59" s="19"/>
      <c r="BH59" s="19"/>
      <c r="BI59" s="19"/>
      <c r="BJ59" s="19"/>
      <c r="BK59" s="19"/>
      <c r="BL59" s="19"/>
      <c r="BM59" s="19"/>
      <c r="BN59" s="19"/>
      <c r="BO59" s="19"/>
      <c r="BP59" s="19"/>
      <c r="BQ59" s="19"/>
      <c r="BR59" s="19"/>
      <c r="BS59" s="19"/>
      <c r="BT59" s="19"/>
      <c r="BU59" s="19"/>
      <c r="BV59" s="19"/>
      <c r="BW59" s="19"/>
      <c r="BX59" s="19"/>
      <c r="BY59" s="19"/>
      <c r="BZ59" s="19"/>
      <c r="CA59" s="19"/>
      <c r="CB59" s="19"/>
      <c r="CC59" s="19"/>
      <c r="CD59" s="19"/>
      <c r="CE59" s="19"/>
      <c r="CF59" s="19"/>
      <c r="CG59" s="19"/>
      <c r="CH59" s="19"/>
      <c r="CI59" s="19"/>
      <c r="CJ59" s="19"/>
      <c r="CK59" s="19"/>
      <c r="CL59" s="19"/>
      <c r="CM59" s="19"/>
      <c r="CN59" s="19"/>
      <c r="CO59" s="19"/>
      <c r="CP59" s="19"/>
      <c r="CQ59" s="19"/>
      <c r="CR59" s="19"/>
      <c r="CS59" s="19"/>
      <c r="CT59" s="19"/>
      <c r="CU59" s="19"/>
      <c r="CV59" s="19"/>
      <c r="CW59" s="19"/>
      <c r="CX59" s="19"/>
      <c r="CY59" s="19"/>
      <c r="CZ59" s="19"/>
      <c r="DA59" s="19"/>
      <c r="DB59" s="19"/>
      <c r="DC59" s="19"/>
      <c r="DD59" s="19"/>
      <c r="DE59" s="19"/>
      <c r="DF59" s="19"/>
      <c r="DG59" s="19"/>
      <c r="DH59" s="19"/>
      <c r="DI59" s="19"/>
      <c r="DJ59" s="19"/>
      <c r="DK59" s="19"/>
      <c r="DL59" s="19"/>
      <c r="DM59" s="19"/>
      <c r="DN59" s="19"/>
      <c r="DO59" s="19"/>
      <c r="DP59" s="19"/>
      <c r="DQ59" s="19"/>
      <c r="DR59" s="19"/>
      <c r="DS59" s="19"/>
      <c r="DT59" s="19"/>
      <c r="DU59" s="19"/>
      <c r="DV59" s="19"/>
      <c r="DW59" s="19"/>
      <c r="DX59" s="19"/>
      <c r="DY59" s="19"/>
      <c r="DZ59" s="19"/>
      <c r="EA59" s="19"/>
      <c r="EB59" s="19"/>
      <c r="EC59" s="19"/>
      <c r="ED59" s="19"/>
      <c r="EE59" s="19"/>
      <c r="EF59" s="19"/>
      <c r="EG59" s="19"/>
      <c r="EH59" s="19"/>
      <c r="EI59" s="19"/>
      <c r="EJ59" s="19"/>
      <c r="EK59" s="19"/>
      <c r="EL59" s="19"/>
      <c r="EM59" s="19"/>
      <c r="EN59" s="19"/>
      <c r="EO59" s="19"/>
      <c r="EP59" s="19"/>
      <c r="EQ59" s="19"/>
      <c r="ER59" s="19"/>
      <c r="ES59" s="19"/>
      <c r="ET59" s="19"/>
      <c r="EU59" s="19"/>
      <c r="EV59" s="19"/>
      <c r="EW59" s="19"/>
      <c r="EX59" s="19"/>
      <c r="EY59" s="19"/>
      <c r="EZ59" s="19"/>
      <c r="FA59" s="19"/>
      <c r="FB59" s="19"/>
      <c r="FC59" s="19"/>
      <c r="FD59" s="19"/>
      <c r="FE59" s="19"/>
      <c r="FF59" s="19"/>
      <c r="FG59" s="19"/>
      <c r="FH59" s="19"/>
      <c r="FI59" s="19"/>
      <c r="FJ59" s="19"/>
      <c r="FK59" s="19"/>
      <c r="FL59" s="19"/>
      <c r="FM59" s="19"/>
      <c r="FN59" s="19"/>
      <c r="FO59" s="19"/>
      <c r="FP59" s="19"/>
      <c r="FQ59" s="19"/>
      <c r="FR59" s="19"/>
      <c r="FS59" s="19"/>
      <c r="FT59" s="19"/>
      <c r="FU59" s="19"/>
      <c r="FV59" s="19"/>
      <c r="FW59" s="19"/>
      <c r="FX59" s="19"/>
      <c r="FY59" s="19"/>
      <c r="FZ59" s="19"/>
      <c r="GA59" s="19"/>
      <c r="GB59" s="19"/>
      <c r="GC59" s="19"/>
      <c r="GD59" s="19"/>
      <c r="GE59" s="19"/>
      <c r="GF59" s="19"/>
      <c r="GG59" s="19"/>
      <c r="GH59" s="19"/>
      <c r="GI59" s="19"/>
      <c r="GJ59" s="19"/>
      <c r="GK59" s="19"/>
      <c r="GL59" s="19"/>
      <c r="GM59" s="19"/>
      <c r="GN59" s="19"/>
      <c r="GO59" s="19"/>
      <c r="GP59" s="19"/>
      <c r="GQ59" s="19"/>
      <c r="GR59" s="19"/>
      <c r="GS59" s="19"/>
      <c r="GT59" s="19"/>
      <c r="GU59" s="19"/>
      <c r="GV59" s="19"/>
      <c r="GW59" s="19"/>
      <c r="GX59" s="19"/>
      <c r="GY59" s="19"/>
      <c r="GZ59" s="19"/>
      <c r="HA59" s="19"/>
      <c r="HB59" s="19"/>
    </row>
    <row r="60" spans="1:210" x14ac:dyDescent="0.25">
      <c r="A60" s="113">
        <f t="shared" si="5"/>
        <v>70</v>
      </c>
      <c r="B60" s="163"/>
      <c r="C60" s="172" t="str">
        <f t="shared" si="7"/>
        <v>RTH at 70 °C</v>
      </c>
      <c r="D60" s="196">
        <f t="shared" si="6"/>
        <v>2.3235294117647056</v>
      </c>
      <c r="E60" s="197">
        <v>2.1720000000000002</v>
      </c>
      <c r="F60" s="198">
        <v>2.2280000000000002</v>
      </c>
      <c r="G60" s="199">
        <v>2.2839999999999998</v>
      </c>
      <c r="H60" s="128" t="s">
        <v>18</v>
      </c>
      <c r="I60" s="29"/>
      <c r="J60" s="29">
        <v>2.2839999999999998</v>
      </c>
      <c r="K60" s="29">
        <v>2.2280000000000002</v>
      </c>
      <c r="L60" s="29">
        <v>2.1720000000000002</v>
      </c>
      <c r="M60" s="29"/>
      <c r="N60" s="29"/>
      <c r="O60" s="29"/>
      <c r="P60" s="29"/>
      <c r="Q60" s="29"/>
      <c r="R60" s="29"/>
      <c r="S60" s="29"/>
      <c r="T60" s="29"/>
      <c r="U60" s="29"/>
      <c r="V60" s="29"/>
      <c r="W60" s="29"/>
      <c r="X60" s="29"/>
      <c r="Y60" s="30"/>
      <c r="Z60" s="18"/>
      <c r="AA60" s="19"/>
      <c r="AB60" s="19"/>
      <c r="AC60" s="20">
        <f t="shared" si="8"/>
        <v>70</v>
      </c>
      <c r="AD60" s="20">
        <f t="shared" si="9"/>
        <v>2.1720000000000002</v>
      </c>
      <c r="AE60" s="20">
        <f t="shared" si="10"/>
        <v>2.2280000000000002</v>
      </c>
      <c r="AF60" s="20">
        <f t="shared" si="11"/>
        <v>2.2839999999999998</v>
      </c>
      <c r="AG60" s="20">
        <f>Table9[[#This Row],[RTH(min) (kΩ)]]*RT2_TH_MIN/(RT2_TH_MIN+Table9[[#This Row],[RTH(min) (kΩ)]])</f>
        <v>2.0274961646634053</v>
      </c>
      <c r="AH60" s="20">
        <f>Table9[[#This Row],[RTH(nom) (kΩ)]]*RT2_TH_S/(RT2_TH_S+Table9[[#This Row],[RTH(nom) (kΩ)]])</f>
        <v>2.0763505421268671</v>
      </c>
      <c r="AI60" s="20">
        <f>Table9[[#This Row],[RTH(max) (kΩ)]]*RT2_TH_S_MAX/(RT2_TH_S_MAX+Table9[[#This Row],[RTH(max) (kΩ)]])</f>
        <v>2.125051483728861</v>
      </c>
      <c r="AJ60" s="20">
        <f>Table9[[#This Row],[RLower(min) (kΩ)]]/(Table9[[#This Row],[RLower(min) (kΩ)]]+RT1_TH_S_MAX)*100</f>
        <v>27.904957529549456</v>
      </c>
      <c r="AK60" s="20">
        <f>Table9[[#This Row],[RLower(nom) (kΩ)]]/(Table9[[#This Row],[RLower(nom) (kΩ)]]+RT1_TH_S)*100</f>
        <v>28.406806392265725</v>
      </c>
      <c r="AL60" s="20">
        <f>Table9[[#This Row],[RLower(max) (kΩ)]]/(Table9[[#This Row],[RLower(max) (kΩ)]]+RT1_TH_S_MIN)*100</f>
        <v>28.901217193800992</v>
      </c>
      <c r="AM60" s="20">
        <f>IF(Table9[[#This Row],[Vmin (%)]]&lt;$BA$14, 0, IF(Table9[[#This Row],[Vmin (%)]]&lt;$BA$12, 4, IF(Table9[[#This Row],[Vmin (%)]]&lt;$BA$9, 3, IF(Table9[[#This Row],[Vmin (%)]]&lt;$BA$7, 2, 0))))</f>
        <v>0</v>
      </c>
      <c r="AN60" s="20">
        <f>IF(Table9[[#This Row],[Vmin (%)]]&lt;$BA$13, 0, IF(Table9[[#This Row],[Vmin (%)]]&lt;$BA$11, 4, IF(Table9[[#This Row],[Vmin (%)]]&lt;$BA$10, 3, IF(Table9[[#This Row],[Vmin (%)]]&lt;$BA$8, 2, 0))))</f>
        <v>0</v>
      </c>
      <c r="AO60" s="76" t="str">
        <f>IF(Table9[[#This Row],[Vmin (%)]]&lt;$BA$14, "Hot", IF(Table9[[#This Row],[Vmin (%)]]&lt;$BA$12, "Warm", IF(Table9[[#This Row],[Vmin (%)]]&lt;$BA$9, "Normal", IF(Table9[[#This Row],[Vmin (%)]]&lt;$BA$7, "Cool", "Cold"))))</f>
        <v>Hot</v>
      </c>
      <c r="AP60" s="19"/>
      <c r="AQ60" s="19"/>
      <c r="AR60" s="19"/>
      <c r="AS60" s="19"/>
      <c r="AT60" s="19"/>
      <c r="AU60" s="19"/>
      <c r="AV60" s="19"/>
      <c r="AW60" s="19"/>
      <c r="AX60" s="19"/>
      <c r="AY60" s="19"/>
      <c r="AZ60" s="19"/>
      <c r="BA60" s="19"/>
      <c r="BB60" s="19"/>
      <c r="BC60" s="19"/>
      <c r="BD60" s="19"/>
      <c r="BE60" s="19"/>
      <c r="BF60" s="19"/>
      <c r="BG60" s="19"/>
      <c r="BH60" s="19"/>
      <c r="BI60" s="19"/>
      <c r="BJ60" s="19"/>
      <c r="BK60" s="19"/>
      <c r="BL60" s="19"/>
      <c r="BM60" s="19"/>
      <c r="BN60" s="19"/>
      <c r="BO60" s="19"/>
      <c r="BP60" s="19"/>
      <c r="BQ60" s="19"/>
      <c r="BR60" s="19"/>
      <c r="BS60" s="19"/>
      <c r="BT60" s="19"/>
      <c r="BU60" s="19"/>
      <c r="BV60" s="19"/>
      <c r="BW60" s="19"/>
      <c r="BX60" s="19"/>
      <c r="BY60" s="19"/>
      <c r="BZ60" s="19"/>
      <c r="CA60" s="19"/>
      <c r="CB60" s="19"/>
      <c r="CC60" s="19"/>
      <c r="CD60" s="19"/>
      <c r="CE60" s="19"/>
      <c r="CF60" s="19"/>
      <c r="CG60" s="19"/>
      <c r="CH60" s="19"/>
      <c r="CI60" s="19"/>
      <c r="CJ60" s="19"/>
      <c r="CK60" s="19"/>
      <c r="CL60" s="19"/>
      <c r="CM60" s="19"/>
      <c r="CN60" s="19"/>
      <c r="CO60" s="19"/>
      <c r="CP60" s="19"/>
      <c r="CQ60" s="19"/>
      <c r="CR60" s="19"/>
      <c r="CS60" s="19"/>
      <c r="CT60" s="19"/>
      <c r="CU60" s="19"/>
      <c r="CV60" s="19"/>
      <c r="CW60" s="19"/>
      <c r="CX60" s="19"/>
      <c r="CY60" s="19"/>
      <c r="CZ60" s="19"/>
      <c r="DA60" s="19"/>
      <c r="DB60" s="19"/>
      <c r="DC60" s="19"/>
      <c r="DD60" s="19"/>
      <c r="DE60" s="19"/>
      <c r="DF60" s="19"/>
      <c r="DG60" s="19"/>
      <c r="DH60" s="19"/>
      <c r="DI60" s="19"/>
      <c r="DJ60" s="19"/>
      <c r="DK60" s="19"/>
      <c r="DL60" s="19"/>
      <c r="DM60" s="19"/>
      <c r="DN60" s="19"/>
      <c r="DO60" s="19"/>
      <c r="DP60" s="19"/>
      <c r="DQ60" s="19"/>
      <c r="DR60" s="19"/>
      <c r="DS60" s="19"/>
      <c r="DT60" s="19"/>
      <c r="DU60" s="19"/>
      <c r="DV60" s="19"/>
      <c r="DW60" s="19"/>
      <c r="DX60" s="19"/>
      <c r="DY60" s="19"/>
      <c r="DZ60" s="19"/>
      <c r="EA60" s="19"/>
      <c r="EB60" s="19"/>
      <c r="EC60" s="19"/>
      <c r="ED60" s="19"/>
      <c r="EE60" s="19"/>
      <c r="EF60" s="19"/>
      <c r="EG60" s="19"/>
      <c r="EH60" s="19"/>
      <c r="EI60" s="19"/>
      <c r="EJ60" s="19"/>
      <c r="EK60" s="19"/>
      <c r="EL60" s="19"/>
      <c r="EM60" s="19"/>
      <c r="EN60" s="19"/>
      <c r="EO60" s="19"/>
      <c r="EP60" s="19"/>
      <c r="EQ60" s="19"/>
      <c r="ER60" s="19"/>
      <c r="ES60" s="19"/>
      <c r="ET60" s="19"/>
      <c r="EU60" s="19"/>
      <c r="EV60" s="19"/>
      <c r="EW60" s="19"/>
      <c r="EX60" s="19"/>
      <c r="EY60" s="19"/>
      <c r="EZ60" s="19"/>
      <c r="FA60" s="19"/>
      <c r="FB60" s="19"/>
      <c r="FC60" s="19"/>
      <c r="FD60" s="19"/>
      <c r="FE60" s="19"/>
      <c r="FF60" s="19"/>
      <c r="FG60" s="19"/>
      <c r="FH60" s="19"/>
      <c r="FI60" s="19"/>
      <c r="FJ60" s="19"/>
      <c r="FK60" s="19"/>
      <c r="FL60" s="19"/>
      <c r="FM60" s="19"/>
      <c r="FN60" s="19"/>
      <c r="FO60" s="19"/>
      <c r="FP60" s="19"/>
      <c r="FQ60" s="19"/>
      <c r="FR60" s="19"/>
      <c r="FS60" s="19"/>
      <c r="FT60" s="19"/>
      <c r="FU60" s="19"/>
      <c r="FV60" s="19"/>
      <c r="FW60" s="19"/>
      <c r="FX60" s="19"/>
      <c r="FY60" s="19"/>
      <c r="FZ60" s="19"/>
      <c r="GA60" s="19"/>
      <c r="GB60" s="19"/>
      <c r="GC60" s="19"/>
      <c r="GD60" s="19"/>
      <c r="GE60" s="19"/>
      <c r="GF60" s="19"/>
      <c r="GG60" s="19"/>
      <c r="GH60" s="19"/>
      <c r="GI60" s="19"/>
      <c r="GJ60" s="19"/>
      <c r="GK60" s="19"/>
      <c r="GL60" s="19"/>
      <c r="GM60" s="19"/>
      <c r="GN60" s="19"/>
      <c r="GO60" s="19"/>
      <c r="GP60" s="19"/>
      <c r="GQ60" s="19"/>
      <c r="GR60" s="19"/>
      <c r="GS60" s="19"/>
      <c r="GT60" s="19"/>
      <c r="GU60" s="19"/>
      <c r="GV60" s="19"/>
      <c r="GW60" s="19"/>
      <c r="GX60" s="19"/>
      <c r="GY60" s="19"/>
      <c r="GZ60" s="19"/>
      <c r="HA60" s="19"/>
      <c r="HB60" s="19"/>
    </row>
    <row r="61" spans="1:210" x14ac:dyDescent="0.25">
      <c r="A61" s="113">
        <f t="shared" si="5"/>
        <v>69</v>
      </c>
      <c r="B61" s="163"/>
      <c r="C61" s="172" t="str">
        <f t="shared" si="7"/>
        <v>RTH at 69 °C</v>
      </c>
      <c r="D61" s="196">
        <f t="shared" si="6"/>
        <v>2.2941176470588234</v>
      </c>
      <c r="E61" s="197">
        <v>2.238</v>
      </c>
      <c r="F61" s="198">
        <v>2.2949999999999999</v>
      </c>
      <c r="G61" s="199">
        <v>2.3519999999999999</v>
      </c>
      <c r="H61" s="128" t="s">
        <v>18</v>
      </c>
      <c r="I61" s="29"/>
      <c r="J61" s="29">
        <v>2.3519999999999999</v>
      </c>
      <c r="K61" s="29">
        <v>2.2949999999999999</v>
      </c>
      <c r="L61" s="29">
        <v>2.238</v>
      </c>
      <c r="M61" s="29"/>
      <c r="N61" s="29"/>
      <c r="O61" s="29"/>
      <c r="P61" s="29"/>
      <c r="Q61" s="29"/>
      <c r="R61" s="29"/>
      <c r="S61" s="29"/>
      <c r="T61" s="29"/>
      <c r="U61" s="29"/>
      <c r="V61" s="29"/>
      <c r="W61" s="29"/>
      <c r="X61" s="29"/>
      <c r="Y61" s="30"/>
      <c r="Z61" s="18"/>
      <c r="AA61" s="19"/>
      <c r="AB61" s="19"/>
      <c r="AC61" s="20">
        <f t="shared" si="8"/>
        <v>69</v>
      </c>
      <c r="AD61" s="20">
        <f t="shared" si="9"/>
        <v>2.238</v>
      </c>
      <c r="AE61" s="20">
        <f t="shared" si="10"/>
        <v>2.2949999999999999</v>
      </c>
      <c r="AF61" s="20">
        <f t="shared" si="11"/>
        <v>2.3519999999999999</v>
      </c>
      <c r="AG61" s="20">
        <f>Table9[[#This Row],[RTH(min) (kΩ)]]*RT2_TH_MIN/(RT2_TH_MIN+Table9[[#This Row],[RTH(min) (kΩ)]])</f>
        <v>2.0848902680767809</v>
      </c>
      <c r="AH61" s="20">
        <f>Table9[[#This Row],[RTH(nom) (kΩ)]]*RT2_TH_S/(RT2_TH_S+Table9[[#This Row],[RTH(nom) (kΩ)]])</f>
        <v>2.13442133493349</v>
      </c>
      <c r="AI61" s="20">
        <f>Table9[[#This Row],[RTH(max) (kΩ)]]*RT2_TH_S_MAX/(RT2_TH_S_MAX+Table9[[#This Row],[RTH(max) (kΩ)]])</f>
        <v>2.1837945663514926</v>
      </c>
      <c r="AJ61" s="20">
        <f>Table9[[#This Row],[RLower(min) (kΩ)]]/(Table9[[#This Row],[RLower(min) (kΩ)]]+RT1_TH_S_MAX)*100</f>
        <v>28.469994492474509</v>
      </c>
      <c r="AK61" s="20">
        <f>Table9[[#This Row],[RLower(nom) (kΩ)]]/(Table9[[#This Row],[RLower(nom) (kΩ)]]+RT1_TH_S)*100</f>
        <v>28.971112181124248</v>
      </c>
      <c r="AL61" s="20">
        <f>Table9[[#This Row],[RLower(max) (kΩ)]]/(Table9[[#This Row],[RLower(max) (kΩ)]]+RT1_TH_S_MIN)*100</f>
        <v>29.464737663721497</v>
      </c>
      <c r="AM61" s="20">
        <f>IF(Table9[[#This Row],[Vmin (%)]]&lt;$BA$14, 0, IF(Table9[[#This Row],[Vmin (%)]]&lt;$BA$12, 4, IF(Table9[[#This Row],[Vmin (%)]]&lt;$BA$9, 3, IF(Table9[[#This Row],[Vmin (%)]]&lt;$BA$7, 2, 0))))</f>
        <v>0</v>
      </c>
      <c r="AN61" s="20">
        <f>IF(Table9[[#This Row],[Vmin (%)]]&lt;$BA$13, 0, IF(Table9[[#This Row],[Vmin (%)]]&lt;$BA$11, 4, IF(Table9[[#This Row],[Vmin (%)]]&lt;$BA$10, 3, IF(Table9[[#This Row],[Vmin (%)]]&lt;$BA$8, 2, 0))))</f>
        <v>0</v>
      </c>
      <c r="AO61" s="76" t="str">
        <f>IF(Table9[[#This Row],[Vmin (%)]]&lt;$BA$14, "Hot", IF(Table9[[#This Row],[Vmin (%)]]&lt;$BA$12, "Warm", IF(Table9[[#This Row],[Vmin (%)]]&lt;$BA$9, "Normal", IF(Table9[[#This Row],[Vmin (%)]]&lt;$BA$7, "Cool", "Cold"))))</f>
        <v>Hot</v>
      </c>
      <c r="AP61" s="19"/>
      <c r="AQ61" s="19"/>
      <c r="AR61" s="19"/>
      <c r="AS61" s="19"/>
      <c r="AT61" s="19"/>
      <c r="AU61" s="19"/>
      <c r="AV61" s="19"/>
      <c r="AW61" s="19"/>
      <c r="AX61" s="19"/>
      <c r="AY61" s="19"/>
      <c r="AZ61" s="19"/>
      <c r="BA61" s="19"/>
      <c r="BB61" s="19"/>
      <c r="BC61" s="19"/>
      <c r="BD61" s="19"/>
      <c r="BE61" s="19"/>
      <c r="BF61" s="19"/>
      <c r="BG61" s="19"/>
      <c r="BH61" s="19"/>
      <c r="BI61" s="19"/>
      <c r="BJ61" s="19"/>
      <c r="BK61" s="19"/>
      <c r="BL61" s="19"/>
      <c r="BM61" s="19"/>
      <c r="BN61" s="19"/>
      <c r="BO61" s="19"/>
      <c r="BP61" s="19"/>
      <c r="BQ61" s="19"/>
      <c r="BR61" s="19"/>
      <c r="BS61" s="19"/>
      <c r="BT61" s="19"/>
      <c r="BU61" s="19"/>
      <c r="BV61" s="19"/>
      <c r="BW61" s="19"/>
      <c r="BX61" s="19"/>
      <c r="BY61" s="19"/>
      <c r="BZ61" s="19"/>
      <c r="CA61" s="19"/>
      <c r="CB61" s="19"/>
      <c r="CC61" s="19"/>
      <c r="CD61" s="19"/>
      <c r="CE61" s="19"/>
      <c r="CF61" s="19"/>
      <c r="CG61" s="19"/>
      <c r="CH61" s="19"/>
      <c r="CI61" s="19"/>
      <c r="CJ61" s="19"/>
      <c r="CK61" s="19"/>
      <c r="CL61" s="19"/>
      <c r="CM61" s="19"/>
      <c r="CN61" s="19"/>
      <c r="CO61" s="19"/>
      <c r="CP61" s="19"/>
      <c r="CQ61" s="19"/>
      <c r="CR61" s="19"/>
      <c r="CS61" s="19"/>
      <c r="CT61" s="19"/>
      <c r="CU61" s="19"/>
      <c r="CV61" s="19"/>
      <c r="CW61" s="19"/>
      <c r="CX61" s="19"/>
      <c r="CY61" s="19"/>
      <c r="CZ61" s="19"/>
      <c r="DA61" s="19"/>
      <c r="DB61" s="19"/>
      <c r="DC61" s="19"/>
      <c r="DD61" s="19"/>
      <c r="DE61" s="19"/>
      <c r="DF61" s="19"/>
      <c r="DG61" s="19"/>
      <c r="DH61" s="19"/>
      <c r="DI61" s="19"/>
      <c r="DJ61" s="19"/>
      <c r="DK61" s="19"/>
      <c r="DL61" s="19"/>
      <c r="DM61" s="19"/>
      <c r="DN61" s="19"/>
      <c r="DO61" s="19"/>
      <c r="DP61" s="19"/>
      <c r="DQ61" s="19"/>
      <c r="DR61" s="19"/>
      <c r="DS61" s="19"/>
      <c r="DT61" s="19"/>
      <c r="DU61" s="19"/>
      <c r="DV61" s="19"/>
      <c r="DW61" s="19"/>
      <c r="DX61" s="19"/>
      <c r="DY61" s="19"/>
      <c r="DZ61" s="19"/>
      <c r="EA61" s="19"/>
      <c r="EB61" s="19"/>
      <c r="EC61" s="19"/>
      <c r="ED61" s="19"/>
      <c r="EE61" s="19"/>
      <c r="EF61" s="19"/>
      <c r="EG61" s="19"/>
      <c r="EH61" s="19"/>
      <c r="EI61" s="19"/>
      <c r="EJ61" s="19"/>
      <c r="EK61" s="19"/>
      <c r="EL61" s="19"/>
      <c r="EM61" s="19"/>
      <c r="EN61" s="19"/>
      <c r="EO61" s="19"/>
      <c r="EP61" s="19"/>
      <c r="EQ61" s="19"/>
      <c r="ER61" s="19"/>
      <c r="ES61" s="19"/>
      <c r="ET61" s="19"/>
      <c r="EU61" s="19"/>
      <c r="EV61" s="19"/>
      <c r="EW61" s="19"/>
      <c r="EX61" s="19"/>
      <c r="EY61" s="19"/>
      <c r="EZ61" s="19"/>
      <c r="FA61" s="19"/>
      <c r="FB61" s="19"/>
      <c r="FC61" s="19"/>
      <c r="FD61" s="19"/>
      <c r="FE61" s="19"/>
      <c r="FF61" s="19"/>
      <c r="FG61" s="19"/>
      <c r="FH61" s="19"/>
      <c r="FI61" s="19"/>
      <c r="FJ61" s="19"/>
      <c r="FK61" s="19"/>
      <c r="FL61" s="19"/>
      <c r="FM61" s="19"/>
      <c r="FN61" s="19"/>
      <c r="FO61" s="19"/>
      <c r="FP61" s="19"/>
      <c r="FQ61" s="19"/>
      <c r="FR61" s="19"/>
      <c r="FS61" s="19"/>
      <c r="FT61" s="19"/>
      <c r="FU61" s="19"/>
      <c r="FV61" s="19"/>
      <c r="FW61" s="19"/>
      <c r="FX61" s="19"/>
      <c r="FY61" s="19"/>
      <c r="FZ61" s="19"/>
      <c r="GA61" s="19"/>
      <c r="GB61" s="19"/>
      <c r="GC61" s="19"/>
      <c r="GD61" s="19"/>
      <c r="GE61" s="19"/>
      <c r="GF61" s="19"/>
      <c r="GG61" s="19"/>
      <c r="GH61" s="19"/>
      <c r="GI61" s="19"/>
      <c r="GJ61" s="19"/>
      <c r="GK61" s="19"/>
      <c r="GL61" s="19"/>
      <c r="GM61" s="19"/>
      <c r="GN61" s="19"/>
      <c r="GO61" s="19"/>
      <c r="GP61" s="19"/>
      <c r="GQ61" s="19"/>
      <c r="GR61" s="19"/>
      <c r="GS61" s="19"/>
      <c r="GT61" s="19"/>
      <c r="GU61" s="19"/>
      <c r="GV61" s="19"/>
      <c r="GW61" s="19"/>
      <c r="GX61" s="19"/>
      <c r="GY61" s="19"/>
      <c r="GZ61" s="19"/>
      <c r="HA61" s="19"/>
      <c r="HB61" s="19"/>
    </row>
    <row r="62" spans="1:210" x14ac:dyDescent="0.25">
      <c r="A62" s="113">
        <f t="shared" si="5"/>
        <v>68</v>
      </c>
      <c r="B62" s="163"/>
      <c r="C62" s="172" t="str">
        <f t="shared" si="7"/>
        <v>RTH at 68 °C</v>
      </c>
      <c r="D62" s="196">
        <f t="shared" si="6"/>
        <v>2.2647058823529411</v>
      </c>
      <c r="E62" s="197">
        <v>2.3069999999999999</v>
      </c>
      <c r="F62" s="198">
        <v>2.3639999999999999</v>
      </c>
      <c r="G62" s="199">
        <v>2.423</v>
      </c>
      <c r="H62" s="128" t="s">
        <v>18</v>
      </c>
      <c r="I62" s="29"/>
      <c r="J62" s="29">
        <v>2.423</v>
      </c>
      <c r="K62" s="29">
        <v>2.3639999999999999</v>
      </c>
      <c r="L62" s="29">
        <v>2.3069999999999999</v>
      </c>
      <c r="M62" s="29"/>
      <c r="N62" s="29"/>
      <c r="O62" s="29"/>
      <c r="P62" s="29"/>
      <c r="Q62" s="29"/>
      <c r="R62" s="29"/>
      <c r="S62" s="29"/>
      <c r="T62" s="29"/>
      <c r="U62" s="29"/>
      <c r="V62" s="29"/>
      <c r="W62" s="29"/>
      <c r="X62" s="29"/>
      <c r="Y62" s="30"/>
      <c r="Z62" s="18"/>
      <c r="AA62" s="19"/>
      <c r="AB62" s="19"/>
      <c r="AC62" s="20">
        <f t="shared" si="8"/>
        <v>68</v>
      </c>
      <c r="AD62" s="20">
        <f t="shared" si="9"/>
        <v>2.3069999999999999</v>
      </c>
      <c r="AE62" s="20">
        <f t="shared" si="10"/>
        <v>2.3639999999999999</v>
      </c>
      <c r="AF62" s="20">
        <f t="shared" si="11"/>
        <v>2.423</v>
      </c>
      <c r="AG62" s="20">
        <f>Table9[[#This Row],[RTH(min) (kΩ)]]*RT2_TH_MIN/(RT2_TH_MIN+Table9[[#This Row],[RTH(min) (kΩ)]])</f>
        <v>2.1446460937994751</v>
      </c>
      <c r="AH62" s="20">
        <f>Table9[[#This Row],[RTH(nom) (kΩ)]]*RT2_TH_S/(RT2_TH_S+Table9[[#This Row],[RTH(nom) (kΩ)]])</f>
        <v>2.1939781380495695</v>
      </c>
      <c r="AI62" s="20">
        <f>Table9[[#This Row],[RTH(max) (kΩ)]]*RT2_TH_S_MAX/(RT2_TH_S_MAX+Table9[[#This Row],[RTH(max) (kΩ)]])</f>
        <v>2.2448705833426219</v>
      </c>
      <c r="AJ62" s="20">
        <f>Table9[[#This Row],[RLower(min) (kΩ)]]/(Table9[[#This Row],[RLower(min) (kΩ)]]+RT1_TH_S_MAX)*100</f>
        <v>29.048947448286029</v>
      </c>
      <c r="AK62" s="20">
        <f>Table9[[#This Row],[RLower(nom) (kΩ)]]/(Table9[[#This Row],[RLower(nom) (kΩ)]]+RT1_TH_S)*100</f>
        <v>29.540692224494531</v>
      </c>
      <c r="AL62" s="20">
        <f>Table9[[#This Row],[RLower(max) (kΩ)]]/(Table9[[#This Row],[RLower(max) (kΩ)]]+RT1_TH_S_MIN)*100</f>
        <v>30.041243339486488</v>
      </c>
      <c r="AM62" s="20">
        <f>IF(Table9[[#This Row],[Vmin (%)]]&lt;$BA$14, 0, IF(Table9[[#This Row],[Vmin (%)]]&lt;$BA$12, 4, IF(Table9[[#This Row],[Vmin (%)]]&lt;$BA$9, 3, IF(Table9[[#This Row],[Vmin (%)]]&lt;$BA$7, 2, 0))))</f>
        <v>0</v>
      </c>
      <c r="AN62" s="20">
        <f>IF(Table9[[#This Row],[Vmin (%)]]&lt;$BA$13, 0, IF(Table9[[#This Row],[Vmin (%)]]&lt;$BA$11, 4, IF(Table9[[#This Row],[Vmin (%)]]&lt;$BA$10, 3, IF(Table9[[#This Row],[Vmin (%)]]&lt;$BA$8, 2, 0))))</f>
        <v>0</v>
      </c>
      <c r="AO62" s="76" t="str">
        <f>IF(Table9[[#This Row],[Vmin (%)]]&lt;$BA$14, "Hot", IF(Table9[[#This Row],[Vmin (%)]]&lt;$BA$12, "Warm", IF(Table9[[#This Row],[Vmin (%)]]&lt;$BA$9, "Normal", IF(Table9[[#This Row],[Vmin (%)]]&lt;$BA$7, "Cool", "Cold"))))</f>
        <v>Hot</v>
      </c>
      <c r="AP62" s="19"/>
      <c r="AQ62" s="19"/>
      <c r="AR62" s="19"/>
      <c r="AS62" s="19"/>
      <c r="AT62" s="19"/>
      <c r="AU62" s="19"/>
      <c r="AV62" s="19"/>
      <c r="AW62" s="19"/>
      <c r="AX62" s="19"/>
      <c r="AY62" s="19"/>
      <c r="AZ62" s="19"/>
      <c r="BA62" s="19"/>
      <c r="BB62" s="19"/>
      <c r="BC62" s="19"/>
      <c r="BD62" s="19"/>
      <c r="BE62" s="19"/>
      <c r="BF62" s="19"/>
      <c r="BG62" s="19"/>
      <c r="BH62" s="19"/>
      <c r="BI62" s="19"/>
      <c r="BJ62" s="19"/>
      <c r="BK62" s="19"/>
      <c r="BL62" s="19"/>
      <c r="BM62" s="19"/>
      <c r="BN62" s="19"/>
      <c r="BO62" s="19"/>
      <c r="BP62" s="19"/>
      <c r="BQ62" s="19"/>
      <c r="BR62" s="19"/>
      <c r="BS62" s="19"/>
      <c r="BT62" s="19"/>
      <c r="BU62" s="19"/>
      <c r="BV62" s="19"/>
      <c r="BW62" s="19"/>
      <c r="BX62" s="19"/>
      <c r="BY62" s="19"/>
      <c r="BZ62" s="19"/>
      <c r="CA62" s="19"/>
      <c r="CB62" s="19"/>
      <c r="CC62" s="19"/>
      <c r="CD62" s="19"/>
      <c r="CE62" s="19"/>
      <c r="CF62" s="19"/>
      <c r="CG62" s="19"/>
      <c r="CH62" s="19"/>
      <c r="CI62" s="19"/>
      <c r="CJ62" s="19"/>
      <c r="CK62" s="19"/>
      <c r="CL62" s="19"/>
      <c r="CM62" s="19"/>
      <c r="CN62" s="19"/>
      <c r="CO62" s="19"/>
      <c r="CP62" s="19"/>
      <c r="CQ62" s="19"/>
      <c r="CR62" s="19"/>
      <c r="CS62" s="19"/>
      <c r="CT62" s="19"/>
      <c r="CU62" s="19"/>
      <c r="CV62" s="19"/>
      <c r="CW62" s="19"/>
      <c r="CX62" s="19"/>
      <c r="CY62" s="19"/>
      <c r="CZ62" s="19"/>
      <c r="DA62" s="19"/>
      <c r="DB62" s="19"/>
      <c r="DC62" s="19"/>
      <c r="DD62" s="19"/>
      <c r="DE62" s="19"/>
      <c r="DF62" s="19"/>
      <c r="DG62" s="19"/>
      <c r="DH62" s="19"/>
      <c r="DI62" s="19"/>
      <c r="DJ62" s="19"/>
      <c r="DK62" s="19"/>
      <c r="DL62" s="19"/>
      <c r="DM62" s="19"/>
      <c r="DN62" s="19"/>
      <c r="DO62" s="19"/>
      <c r="DP62" s="19"/>
      <c r="DQ62" s="19"/>
      <c r="DR62" s="19"/>
      <c r="DS62" s="19"/>
      <c r="DT62" s="19"/>
      <c r="DU62" s="19"/>
      <c r="DV62" s="19"/>
      <c r="DW62" s="19"/>
      <c r="DX62" s="19"/>
      <c r="DY62" s="19"/>
      <c r="DZ62" s="19"/>
      <c r="EA62" s="19"/>
      <c r="EB62" s="19"/>
      <c r="EC62" s="19"/>
      <c r="ED62" s="19"/>
      <c r="EE62" s="19"/>
      <c r="EF62" s="19"/>
      <c r="EG62" s="19"/>
      <c r="EH62" s="19"/>
      <c r="EI62" s="19"/>
      <c r="EJ62" s="19"/>
      <c r="EK62" s="19"/>
      <c r="EL62" s="19"/>
      <c r="EM62" s="19"/>
      <c r="EN62" s="19"/>
      <c r="EO62" s="19"/>
      <c r="EP62" s="19"/>
      <c r="EQ62" s="19"/>
      <c r="ER62" s="19"/>
      <c r="ES62" s="19"/>
      <c r="ET62" s="19"/>
      <c r="EU62" s="19"/>
      <c r="EV62" s="19"/>
      <c r="EW62" s="19"/>
      <c r="EX62" s="19"/>
      <c r="EY62" s="19"/>
      <c r="EZ62" s="19"/>
      <c r="FA62" s="19"/>
      <c r="FB62" s="19"/>
      <c r="FC62" s="19"/>
      <c r="FD62" s="19"/>
      <c r="FE62" s="19"/>
      <c r="FF62" s="19"/>
      <c r="FG62" s="19"/>
      <c r="FH62" s="19"/>
      <c r="FI62" s="19"/>
      <c r="FJ62" s="19"/>
      <c r="FK62" s="19"/>
      <c r="FL62" s="19"/>
      <c r="FM62" s="19"/>
      <c r="FN62" s="19"/>
      <c r="FO62" s="19"/>
      <c r="FP62" s="19"/>
      <c r="FQ62" s="19"/>
      <c r="FR62" s="19"/>
      <c r="FS62" s="19"/>
      <c r="FT62" s="19"/>
      <c r="FU62" s="19"/>
      <c r="FV62" s="19"/>
      <c r="FW62" s="19"/>
      <c r="FX62" s="19"/>
      <c r="FY62" s="19"/>
      <c r="FZ62" s="19"/>
      <c r="GA62" s="19"/>
      <c r="GB62" s="19"/>
      <c r="GC62" s="19"/>
      <c r="GD62" s="19"/>
      <c r="GE62" s="19"/>
      <c r="GF62" s="19"/>
      <c r="GG62" s="19"/>
      <c r="GH62" s="19"/>
      <c r="GI62" s="19"/>
      <c r="GJ62" s="19"/>
      <c r="GK62" s="19"/>
      <c r="GL62" s="19"/>
      <c r="GM62" s="19"/>
      <c r="GN62" s="19"/>
      <c r="GO62" s="19"/>
      <c r="GP62" s="19"/>
      <c r="GQ62" s="19"/>
      <c r="GR62" s="19"/>
      <c r="GS62" s="19"/>
      <c r="GT62" s="19"/>
      <c r="GU62" s="19"/>
      <c r="GV62" s="19"/>
      <c r="GW62" s="19"/>
      <c r="GX62" s="19"/>
      <c r="GY62" s="19"/>
      <c r="GZ62" s="19"/>
      <c r="HA62" s="19"/>
      <c r="HB62" s="19"/>
    </row>
    <row r="63" spans="1:210" x14ac:dyDescent="0.25">
      <c r="A63" s="113">
        <f t="shared" si="5"/>
        <v>67</v>
      </c>
      <c r="B63" s="163"/>
      <c r="C63" s="172" t="str">
        <f t="shared" si="7"/>
        <v>RTH at 67 °C</v>
      </c>
      <c r="D63" s="196">
        <f t="shared" si="6"/>
        <v>2.2352941176470589</v>
      </c>
      <c r="E63" s="197">
        <v>2.3780000000000001</v>
      </c>
      <c r="F63" s="198">
        <v>2.4359999999999999</v>
      </c>
      <c r="G63" s="199">
        <v>2.496</v>
      </c>
      <c r="H63" s="128" t="s">
        <v>18</v>
      </c>
      <c r="I63" s="29"/>
      <c r="J63" s="29">
        <v>2.496</v>
      </c>
      <c r="K63" s="29">
        <v>2.4359999999999999</v>
      </c>
      <c r="L63" s="29">
        <v>2.3780000000000001</v>
      </c>
      <c r="M63" s="29"/>
      <c r="N63" s="29"/>
      <c r="O63" s="29"/>
      <c r="P63" s="29"/>
      <c r="Q63" s="29"/>
      <c r="R63" s="29"/>
      <c r="S63" s="29"/>
      <c r="T63" s="29"/>
      <c r="U63" s="29"/>
      <c r="V63" s="29"/>
      <c r="W63" s="29"/>
      <c r="X63" s="29"/>
      <c r="Y63" s="30"/>
      <c r="Z63" s="18"/>
      <c r="AA63" s="19"/>
      <c r="AB63" s="19"/>
      <c r="AC63" s="20">
        <f t="shared" si="8"/>
        <v>67</v>
      </c>
      <c r="AD63" s="20">
        <f t="shared" si="9"/>
        <v>2.3780000000000001</v>
      </c>
      <c r="AE63" s="20">
        <f t="shared" si="10"/>
        <v>2.4359999999999999</v>
      </c>
      <c r="AF63" s="20">
        <f t="shared" si="11"/>
        <v>2.496</v>
      </c>
      <c r="AG63" s="20">
        <f>Table9[[#This Row],[RTH(min) (kΩ)]]*RT2_TH_MIN/(RT2_TH_MIN+Table9[[#This Row],[RTH(min) (kΩ)]])</f>
        <v>2.2058719457674973</v>
      </c>
      <c r="AH63" s="20">
        <f>Table9[[#This Row],[RTH(nom) (kΩ)]]*RT2_TH_S/(RT2_TH_S+Table9[[#This Row],[RTH(nom) (kΩ)]])</f>
        <v>2.255858360158598</v>
      </c>
      <c r="AI63" s="20">
        <f>Table9[[#This Row],[RTH(max) (kΩ)]]*RT2_TH_S_MAX/(RT2_TH_S_MAX+Table9[[#This Row],[RTH(max) (kΩ)]])</f>
        <v>2.3073932942358142</v>
      </c>
      <c r="AJ63" s="20">
        <f>Table9[[#This Row],[RLower(min) (kΩ)]]/(Table9[[#This Row],[RLower(min) (kΩ)]]+RT1_TH_S_MAX)*100</f>
        <v>29.632502334150747</v>
      </c>
      <c r="AK63" s="20">
        <f>Table9[[#This Row],[RLower(nom) (kΩ)]]/(Table9[[#This Row],[RLower(nom) (kΩ)]]+RT1_TH_S)*100</f>
        <v>30.122896154582406</v>
      </c>
      <c r="AL63" s="20">
        <f>Table9[[#This Row],[RLower(max) (kΩ)]]/(Table9[[#This Row],[RLower(max) (kΩ)]]+RT1_TH_S_MIN)*100</f>
        <v>30.621724189302483</v>
      </c>
      <c r="AM63" s="20">
        <f>IF(Table9[[#This Row],[Vmin (%)]]&lt;$BA$14, 0, IF(Table9[[#This Row],[Vmin (%)]]&lt;$BA$12, 4, IF(Table9[[#This Row],[Vmin (%)]]&lt;$BA$9, 3, IF(Table9[[#This Row],[Vmin (%)]]&lt;$BA$7, 2, 0))))</f>
        <v>0</v>
      </c>
      <c r="AN63" s="20">
        <f>IF(Table9[[#This Row],[Vmin (%)]]&lt;$BA$13, 0, IF(Table9[[#This Row],[Vmin (%)]]&lt;$BA$11, 4, IF(Table9[[#This Row],[Vmin (%)]]&lt;$BA$10, 3, IF(Table9[[#This Row],[Vmin (%)]]&lt;$BA$8, 2, 0))))</f>
        <v>0</v>
      </c>
      <c r="AO63" s="76" t="str">
        <f>IF(Table9[[#This Row],[Vmin (%)]]&lt;$BA$14, "Hot", IF(Table9[[#This Row],[Vmin (%)]]&lt;$BA$12, "Warm", IF(Table9[[#This Row],[Vmin (%)]]&lt;$BA$9, "Normal", IF(Table9[[#This Row],[Vmin (%)]]&lt;$BA$7, "Cool", "Cold"))))</f>
        <v>Hot</v>
      </c>
      <c r="AP63" s="19"/>
      <c r="AQ63" s="19"/>
      <c r="AR63" s="19"/>
      <c r="AS63" s="19"/>
      <c r="AT63" s="19"/>
      <c r="AU63" s="19"/>
      <c r="AV63" s="19"/>
      <c r="AW63" s="19"/>
      <c r="AX63" s="19"/>
      <c r="AY63" s="19"/>
      <c r="AZ63" s="19"/>
      <c r="BA63" s="19"/>
      <c r="BB63" s="19"/>
      <c r="BC63" s="19"/>
      <c r="BD63" s="19"/>
      <c r="BE63" s="19"/>
      <c r="BF63" s="19"/>
      <c r="BG63" s="19"/>
      <c r="BH63" s="19"/>
      <c r="BI63" s="19"/>
      <c r="BJ63" s="19"/>
      <c r="BK63" s="19"/>
      <c r="BL63" s="19"/>
      <c r="BM63" s="19"/>
      <c r="BN63" s="19"/>
      <c r="BO63" s="19"/>
      <c r="BP63" s="19"/>
      <c r="BQ63" s="19"/>
      <c r="BR63" s="19"/>
      <c r="BS63" s="19"/>
      <c r="BT63" s="19"/>
      <c r="BU63" s="19"/>
      <c r="BV63" s="19"/>
      <c r="BW63" s="19"/>
      <c r="BX63" s="19"/>
      <c r="BY63" s="19"/>
      <c r="BZ63" s="19"/>
      <c r="CA63" s="19"/>
      <c r="CB63" s="19"/>
      <c r="CC63" s="19"/>
      <c r="CD63" s="19"/>
      <c r="CE63" s="19"/>
      <c r="CF63" s="19"/>
      <c r="CG63" s="19"/>
      <c r="CH63" s="19"/>
      <c r="CI63" s="19"/>
      <c r="CJ63" s="19"/>
      <c r="CK63" s="19"/>
      <c r="CL63" s="19"/>
      <c r="CM63" s="19"/>
      <c r="CN63" s="19"/>
      <c r="CO63" s="19"/>
      <c r="CP63" s="19"/>
      <c r="CQ63" s="19"/>
      <c r="CR63" s="19"/>
      <c r="CS63" s="19"/>
      <c r="CT63" s="19"/>
      <c r="CU63" s="19"/>
      <c r="CV63" s="19"/>
      <c r="CW63" s="19"/>
      <c r="CX63" s="19"/>
      <c r="CY63" s="19"/>
      <c r="CZ63" s="19"/>
      <c r="DA63" s="19"/>
      <c r="DB63" s="19"/>
      <c r="DC63" s="19"/>
      <c r="DD63" s="19"/>
      <c r="DE63" s="19"/>
      <c r="DF63" s="19"/>
      <c r="DG63" s="19"/>
      <c r="DH63" s="19"/>
      <c r="DI63" s="19"/>
      <c r="DJ63" s="19"/>
      <c r="DK63" s="19"/>
      <c r="DL63" s="19"/>
      <c r="DM63" s="19"/>
      <c r="DN63" s="19"/>
      <c r="DO63" s="19"/>
      <c r="DP63" s="19"/>
      <c r="DQ63" s="19"/>
      <c r="DR63" s="19"/>
      <c r="DS63" s="19"/>
      <c r="DT63" s="19"/>
      <c r="DU63" s="19"/>
      <c r="DV63" s="19"/>
      <c r="DW63" s="19"/>
      <c r="DX63" s="19"/>
      <c r="DY63" s="19"/>
      <c r="DZ63" s="19"/>
      <c r="EA63" s="19"/>
      <c r="EB63" s="19"/>
      <c r="EC63" s="19"/>
      <c r="ED63" s="19"/>
      <c r="EE63" s="19"/>
      <c r="EF63" s="19"/>
      <c r="EG63" s="19"/>
      <c r="EH63" s="19"/>
      <c r="EI63" s="19"/>
      <c r="EJ63" s="19"/>
      <c r="EK63" s="19"/>
      <c r="EL63" s="19"/>
      <c r="EM63" s="19"/>
      <c r="EN63" s="19"/>
      <c r="EO63" s="19"/>
      <c r="EP63" s="19"/>
      <c r="EQ63" s="19"/>
      <c r="ER63" s="19"/>
      <c r="ES63" s="19"/>
      <c r="ET63" s="19"/>
      <c r="EU63" s="19"/>
      <c r="EV63" s="19"/>
      <c r="EW63" s="19"/>
      <c r="EX63" s="19"/>
      <c r="EY63" s="19"/>
      <c r="EZ63" s="19"/>
      <c r="FA63" s="19"/>
      <c r="FB63" s="19"/>
      <c r="FC63" s="19"/>
      <c r="FD63" s="19"/>
      <c r="FE63" s="19"/>
      <c r="FF63" s="19"/>
      <c r="FG63" s="19"/>
      <c r="FH63" s="19"/>
      <c r="FI63" s="19"/>
      <c r="FJ63" s="19"/>
      <c r="FK63" s="19"/>
      <c r="FL63" s="19"/>
      <c r="FM63" s="19"/>
      <c r="FN63" s="19"/>
      <c r="FO63" s="19"/>
      <c r="FP63" s="19"/>
      <c r="FQ63" s="19"/>
      <c r="FR63" s="19"/>
      <c r="FS63" s="19"/>
      <c r="FT63" s="19"/>
      <c r="FU63" s="19"/>
      <c r="FV63" s="19"/>
      <c r="FW63" s="19"/>
      <c r="FX63" s="19"/>
      <c r="FY63" s="19"/>
      <c r="FZ63" s="19"/>
      <c r="GA63" s="19"/>
      <c r="GB63" s="19"/>
      <c r="GC63" s="19"/>
      <c r="GD63" s="19"/>
      <c r="GE63" s="19"/>
      <c r="GF63" s="19"/>
      <c r="GG63" s="19"/>
      <c r="GH63" s="19"/>
      <c r="GI63" s="19"/>
      <c r="GJ63" s="19"/>
      <c r="GK63" s="19"/>
      <c r="GL63" s="19"/>
      <c r="GM63" s="19"/>
      <c r="GN63" s="19"/>
      <c r="GO63" s="19"/>
      <c r="GP63" s="19"/>
      <c r="GQ63" s="19"/>
      <c r="GR63" s="19"/>
      <c r="GS63" s="19"/>
      <c r="GT63" s="19"/>
      <c r="GU63" s="19"/>
      <c r="GV63" s="19"/>
      <c r="GW63" s="19"/>
      <c r="GX63" s="19"/>
      <c r="GY63" s="19"/>
      <c r="GZ63" s="19"/>
      <c r="HA63" s="19"/>
      <c r="HB63" s="19"/>
    </row>
    <row r="64" spans="1:210" x14ac:dyDescent="0.25">
      <c r="A64" s="113">
        <f t="shared" si="5"/>
        <v>66</v>
      </c>
      <c r="B64" s="163"/>
      <c r="C64" s="172" t="str">
        <f t="shared" si="7"/>
        <v>RTH at 66 °C</v>
      </c>
      <c r="D64" s="196">
        <f t="shared" si="6"/>
        <v>2.2058823529411766</v>
      </c>
      <c r="E64" s="197">
        <v>2.4510000000000001</v>
      </c>
      <c r="F64" s="198">
        <v>2.5110000000000001</v>
      </c>
      <c r="G64" s="199">
        <v>2.5710000000000002</v>
      </c>
      <c r="H64" s="128" t="s">
        <v>18</v>
      </c>
      <c r="I64" s="29"/>
      <c r="J64" s="29">
        <v>2.5710000000000002</v>
      </c>
      <c r="K64" s="29">
        <v>2.5110000000000001</v>
      </c>
      <c r="L64" s="29">
        <v>2.4510000000000001</v>
      </c>
      <c r="M64" s="29"/>
      <c r="N64" s="29"/>
      <c r="O64" s="29"/>
      <c r="P64" s="29"/>
      <c r="Q64" s="29"/>
      <c r="R64" s="29"/>
      <c r="S64" s="29"/>
      <c r="T64" s="29"/>
      <c r="U64" s="29"/>
      <c r="V64" s="29"/>
      <c r="W64" s="29"/>
      <c r="X64" s="29"/>
      <c r="Y64" s="30"/>
      <c r="Z64" s="18"/>
      <c r="AA64" s="19"/>
      <c r="AB64" s="19"/>
      <c r="AC64" s="20">
        <f t="shared" si="8"/>
        <v>66</v>
      </c>
      <c r="AD64" s="20">
        <f t="shared" si="9"/>
        <v>2.4510000000000001</v>
      </c>
      <c r="AE64" s="20">
        <f t="shared" si="10"/>
        <v>2.5110000000000001</v>
      </c>
      <c r="AF64" s="20">
        <f t="shared" si="11"/>
        <v>2.5710000000000002</v>
      </c>
      <c r="AG64" s="20">
        <f>Table9[[#This Row],[RTH(min) (kΩ)]]*RT2_TH_MIN/(RT2_TH_MIN+Table9[[#This Row],[RTH(min) (kΩ)]])</f>
        <v>2.2685471571710152</v>
      </c>
      <c r="AH64" s="20">
        <f>Table9[[#This Row],[RTH(nom) (kΩ)]]*RT2_TH_S/(RT2_TH_S+Table9[[#This Row],[RTH(nom) (kΩ)]])</f>
        <v>2.3200299328223184</v>
      </c>
      <c r="AI64" s="20">
        <f>Table9[[#This Row],[RTH(max) (kΩ)]]*RT2_TH_S_MAX/(RT2_TH_S_MAX+Table9[[#This Row],[RTH(max) (kΩ)]])</f>
        <v>2.3713417981116054</v>
      </c>
      <c r="AJ64" s="20">
        <f>Table9[[#This Row],[RLower(min) (kΩ)]]/(Table9[[#This Row],[RLower(min) (kΩ)]]+RT1_TH_S_MAX)*100</f>
        <v>30.220011613273613</v>
      </c>
      <c r="AK64" s="20">
        <f>Table9[[#This Row],[RLower(nom) (kΩ)]]/(Table9[[#This Row],[RLower(nom) (kΩ)]]+RT1_TH_S)*100</f>
        <v>30.716582257092519</v>
      </c>
      <c r="AL64" s="20">
        <f>Table9[[#This Row],[RLower(max) (kΩ)]]/(Table9[[#This Row],[RLower(max) (kΩ)]]+RT1_TH_S_MIN)*100</f>
        <v>31.205561349829551</v>
      </c>
      <c r="AM64" s="20">
        <f>IF(Table9[[#This Row],[Vmin (%)]]&lt;$BA$14, 0, IF(Table9[[#This Row],[Vmin (%)]]&lt;$BA$12, 4, IF(Table9[[#This Row],[Vmin (%)]]&lt;$BA$9, 3, IF(Table9[[#This Row],[Vmin (%)]]&lt;$BA$7, 2, 0))))</f>
        <v>0</v>
      </c>
      <c r="AN64" s="20">
        <f>IF(Table9[[#This Row],[Vmin (%)]]&lt;$BA$13, 0, IF(Table9[[#This Row],[Vmin (%)]]&lt;$BA$11, 4, IF(Table9[[#This Row],[Vmin (%)]]&lt;$BA$10, 3, IF(Table9[[#This Row],[Vmin (%)]]&lt;$BA$8, 2, 0))))</f>
        <v>0</v>
      </c>
      <c r="AO64" s="76" t="str">
        <f>IF(Table9[[#This Row],[Vmin (%)]]&lt;$BA$14, "Hot", IF(Table9[[#This Row],[Vmin (%)]]&lt;$BA$12, "Warm", IF(Table9[[#This Row],[Vmin (%)]]&lt;$BA$9, "Normal", IF(Table9[[#This Row],[Vmin (%)]]&lt;$BA$7, "Cool", "Cold"))))</f>
        <v>Hot</v>
      </c>
      <c r="AP64" s="19"/>
      <c r="AQ64" s="19"/>
      <c r="AR64" s="19"/>
      <c r="AS64" s="19"/>
      <c r="AT64" s="19"/>
      <c r="AU64" s="19"/>
      <c r="AV64" s="19"/>
      <c r="AW64" s="19"/>
      <c r="AX64" s="19"/>
      <c r="AY64" s="19"/>
      <c r="AZ64" s="19"/>
      <c r="BA64" s="19"/>
      <c r="BB64" s="19"/>
      <c r="BC64" s="19"/>
      <c r="BD64" s="19"/>
      <c r="BE64" s="19"/>
      <c r="BF64" s="19"/>
      <c r="BG64" s="19"/>
      <c r="BH64" s="19"/>
      <c r="BI64" s="19"/>
      <c r="BJ64" s="19"/>
      <c r="BK64" s="19"/>
      <c r="BL64" s="19"/>
      <c r="BM64" s="19"/>
      <c r="BN64" s="19"/>
      <c r="BO64" s="19"/>
      <c r="BP64" s="19"/>
      <c r="BQ64" s="19"/>
      <c r="BR64" s="19"/>
      <c r="BS64" s="19"/>
      <c r="BT64" s="19"/>
      <c r="BU64" s="19"/>
      <c r="BV64" s="19"/>
      <c r="BW64" s="19"/>
      <c r="BX64" s="19"/>
      <c r="BY64" s="19"/>
      <c r="BZ64" s="19"/>
      <c r="CA64" s="19"/>
      <c r="CB64" s="19"/>
      <c r="CC64" s="19"/>
      <c r="CD64" s="19"/>
      <c r="CE64" s="19"/>
      <c r="CF64" s="19"/>
      <c r="CG64" s="19"/>
      <c r="CH64" s="19"/>
      <c r="CI64" s="19"/>
      <c r="CJ64" s="19"/>
      <c r="CK64" s="19"/>
      <c r="CL64" s="19"/>
      <c r="CM64" s="19"/>
      <c r="CN64" s="19"/>
      <c r="CO64" s="19"/>
      <c r="CP64" s="19"/>
      <c r="CQ64" s="19"/>
      <c r="CR64" s="19"/>
      <c r="CS64" s="19"/>
      <c r="CT64" s="19"/>
      <c r="CU64" s="19"/>
      <c r="CV64" s="19"/>
      <c r="CW64" s="19"/>
      <c r="CX64" s="19"/>
      <c r="CY64" s="19"/>
      <c r="CZ64" s="19"/>
      <c r="DA64" s="19"/>
      <c r="DB64" s="19"/>
      <c r="DC64" s="19"/>
      <c r="DD64" s="19"/>
      <c r="DE64" s="19"/>
      <c r="DF64" s="19"/>
      <c r="DG64" s="19"/>
      <c r="DH64" s="19"/>
      <c r="DI64" s="19"/>
      <c r="DJ64" s="19"/>
      <c r="DK64" s="19"/>
      <c r="DL64" s="19"/>
      <c r="DM64" s="19"/>
      <c r="DN64" s="19"/>
      <c r="DO64" s="19"/>
      <c r="DP64" s="19"/>
      <c r="DQ64" s="19"/>
      <c r="DR64" s="19"/>
      <c r="DS64" s="19"/>
      <c r="DT64" s="19"/>
      <c r="DU64" s="19"/>
      <c r="DV64" s="19"/>
      <c r="DW64" s="19"/>
      <c r="DX64" s="19"/>
      <c r="DY64" s="19"/>
      <c r="DZ64" s="19"/>
      <c r="EA64" s="19"/>
      <c r="EB64" s="19"/>
      <c r="EC64" s="19"/>
      <c r="ED64" s="19"/>
      <c r="EE64" s="19"/>
      <c r="EF64" s="19"/>
      <c r="EG64" s="19"/>
      <c r="EH64" s="19"/>
      <c r="EI64" s="19"/>
      <c r="EJ64" s="19"/>
      <c r="EK64" s="19"/>
      <c r="EL64" s="19"/>
      <c r="EM64" s="19"/>
      <c r="EN64" s="19"/>
      <c r="EO64" s="19"/>
      <c r="EP64" s="19"/>
      <c r="EQ64" s="19"/>
      <c r="ER64" s="19"/>
      <c r="ES64" s="19"/>
      <c r="ET64" s="19"/>
      <c r="EU64" s="19"/>
      <c r="EV64" s="19"/>
      <c r="EW64" s="19"/>
      <c r="EX64" s="19"/>
      <c r="EY64" s="19"/>
      <c r="EZ64" s="19"/>
      <c r="FA64" s="19"/>
      <c r="FB64" s="19"/>
      <c r="FC64" s="19"/>
      <c r="FD64" s="19"/>
      <c r="FE64" s="19"/>
      <c r="FF64" s="19"/>
      <c r="FG64" s="19"/>
      <c r="FH64" s="19"/>
      <c r="FI64" s="19"/>
      <c r="FJ64" s="19"/>
      <c r="FK64" s="19"/>
      <c r="FL64" s="19"/>
      <c r="FM64" s="19"/>
      <c r="FN64" s="19"/>
      <c r="FO64" s="19"/>
      <c r="FP64" s="19"/>
      <c r="FQ64" s="19"/>
      <c r="FR64" s="19"/>
      <c r="FS64" s="19"/>
      <c r="FT64" s="19"/>
      <c r="FU64" s="19"/>
      <c r="FV64" s="19"/>
      <c r="FW64" s="19"/>
      <c r="FX64" s="19"/>
      <c r="FY64" s="19"/>
      <c r="FZ64" s="19"/>
      <c r="GA64" s="19"/>
      <c r="GB64" s="19"/>
      <c r="GC64" s="19"/>
      <c r="GD64" s="19"/>
      <c r="GE64" s="19"/>
      <c r="GF64" s="19"/>
      <c r="GG64" s="19"/>
      <c r="GH64" s="19"/>
      <c r="GI64" s="19"/>
      <c r="GJ64" s="19"/>
      <c r="GK64" s="19"/>
      <c r="GL64" s="19"/>
      <c r="GM64" s="19"/>
      <c r="GN64" s="19"/>
      <c r="GO64" s="19"/>
      <c r="GP64" s="19"/>
      <c r="GQ64" s="19"/>
      <c r="GR64" s="19"/>
      <c r="GS64" s="19"/>
      <c r="GT64" s="19"/>
      <c r="GU64" s="19"/>
      <c r="GV64" s="19"/>
      <c r="GW64" s="19"/>
      <c r="GX64" s="19"/>
      <c r="GY64" s="19"/>
      <c r="GZ64" s="19"/>
      <c r="HA64" s="19"/>
      <c r="HB64" s="19"/>
    </row>
    <row r="65" spans="1:210" x14ac:dyDescent="0.25">
      <c r="A65" s="113">
        <f t="shared" si="5"/>
        <v>65</v>
      </c>
      <c r="B65" s="163"/>
      <c r="C65" s="172" t="str">
        <f t="shared" si="7"/>
        <v>RTH at 65 °C</v>
      </c>
      <c r="D65" s="196">
        <f t="shared" si="6"/>
        <v>2.1764705882352944</v>
      </c>
      <c r="E65" s="197">
        <v>2.5270000000000001</v>
      </c>
      <c r="F65" s="198">
        <v>2.5880000000000001</v>
      </c>
      <c r="G65" s="199">
        <v>2.65</v>
      </c>
      <c r="H65" s="128" t="s">
        <v>18</v>
      </c>
      <c r="I65" s="29"/>
      <c r="J65" s="29">
        <v>2.65</v>
      </c>
      <c r="K65" s="29">
        <v>2.5880000000000001</v>
      </c>
      <c r="L65" s="29">
        <v>2.5270000000000001</v>
      </c>
      <c r="M65" s="29"/>
      <c r="N65" s="29"/>
      <c r="O65" s="29"/>
      <c r="P65" s="29"/>
      <c r="Q65" s="29"/>
      <c r="R65" s="29"/>
      <c r="S65" s="29"/>
      <c r="T65" s="29"/>
      <c r="U65" s="29"/>
      <c r="V65" s="29"/>
      <c r="W65" s="29"/>
      <c r="X65" s="29"/>
      <c r="Y65" s="30"/>
      <c r="Z65" s="18"/>
      <c r="AA65" s="19"/>
      <c r="AB65" s="19"/>
      <c r="AC65" s="20">
        <f t="shared" si="8"/>
        <v>65</v>
      </c>
      <c r="AD65" s="20">
        <f t="shared" si="9"/>
        <v>2.5270000000000001</v>
      </c>
      <c r="AE65" s="20">
        <f t="shared" si="10"/>
        <v>2.5880000000000001</v>
      </c>
      <c r="AF65" s="20">
        <f t="shared" si="11"/>
        <v>2.65</v>
      </c>
      <c r="AG65" s="20">
        <f>Table9[[#This Row],[RTH(min) (kΩ)]]*RT2_TH_MIN/(RT2_TH_MIN+Table9[[#This Row],[RTH(min) (kΩ)]])</f>
        <v>2.3335034603049016</v>
      </c>
      <c r="AH65" s="20">
        <f>Table9[[#This Row],[RTH(nom) (kΩ)]]*RT2_TH_S/(RT2_TH_S+Table9[[#This Row],[RTH(nom) (kΩ)]])</f>
        <v>2.3856101425398628</v>
      </c>
      <c r="AI65" s="20">
        <f>Table9[[#This Row],[RTH(max) (kΩ)]]*RT2_TH_S_MAX/(RT2_TH_S_MAX+Table9[[#This Row],[RTH(max) (kΩ)]])</f>
        <v>2.4383883062224156</v>
      </c>
      <c r="AJ65" s="20">
        <f>Table9[[#This Row],[RLower(min) (kΩ)]]/(Table9[[#This Row],[RLower(min) (kΩ)]]+RT1_TH_S_MAX)*100</f>
        <v>30.818639868120616</v>
      </c>
      <c r="AK65" s="20">
        <f>Table9[[#This Row],[RLower(nom) (kΩ)]]/(Table9[[#This Row],[RLower(nom) (kΩ)]]+RT1_TH_S)*100</f>
        <v>31.312967458648711</v>
      </c>
      <c r="AL65" s="20">
        <f>Table9[[#This Row],[RLower(max) (kΩ)]]/(Table9[[#This Row],[RLower(max) (kΩ)]]+RT1_TH_S_MIN)*100</f>
        <v>31.807223072817276</v>
      </c>
      <c r="AM65" s="20">
        <f>IF(Table9[[#This Row],[Vmin (%)]]&lt;$BA$14, 0, IF(Table9[[#This Row],[Vmin (%)]]&lt;$BA$12, 4, IF(Table9[[#This Row],[Vmin (%)]]&lt;$BA$9, 3, IF(Table9[[#This Row],[Vmin (%)]]&lt;$BA$7, 2, 0))))</f>
        <v>0</v>
      </c>
      <c r="AN65" s="20">
        <f>IF(Table9[[#This Row],[Vmin (%)]]&lt;$BA$13, 0, IF(Table9[[#This Row],[Vmin (%)]]&lt;$BA$11, 4, IF(Table9[[#This Row],[Vmin (%)]]&lt;$BA$10, 3, IF(Table9[[#This Row],[Vmin (%)]]&lt;$BA$8, 2, 0))))</f>
        <v>0</v>
      </c>
      <c r="AO65" s="76" t="str">
        <f>IF(Table9[[#This Row],[Vmin (%)]]&lt;$BA$14, "Hot", IF(Table9[[#This Row],[Vmin (%)]]&lt;$BA$12, "Warm", IF(Table9[[#This Row],[Vmin (%)]]&lt;$BA$9, "Normal", IF(Table9[[#This Row],[Vmin (%)]]&lt;$BA$7, "Cool", "Cold"))))</f>
        <v>Hot</v>
      </c>
      <c r="AP65" s="19"/>
      <c r="AQ65" s="19"/>
      <c r="AR65" s="19"/>
      <c r="AS65" s="19"/>
      <c r="AT65" s="19"/>
      <c r="AU65" s="19"/>
      <c r="AV65" s="19"/>
      <c r="AW65" s="19"/>
      <c r="AX65" s="19"/>
      <c r="AY65" s="19"/>
      <c r="AZ65" s="19"/>
      <c r="BA65" s="19"/>
      <c r="BB65" s="19"/>
      <c r="BC65" s="19"/>
      <c r="BD65" s="19"/>
      <c r="BE65" s="19"/>
      <c r="BF65" s="19"/>
      <c r="BG65" s="19"/>
      <c r="BH65" s="19"/>
      <c r="BI65" s="19"/>
      <c r="BJ65" s="19"/>
      <c r="BK65" s="19"/>
      <c r="BL65" s="19"/>
      <c r="BM65" s="19"/>
      <c r="BN65" s="19"/>
      <c r="BO65" s="19"/>
      <c r="BP65" s="19"/>
      <c r="BQ65" s="19"/>
      <c r="BR65" s="19"/>
      <c r="BS65" s="19"/>
      <c r="BT65" s="19"/>
      <c r="BU65" s="19"/>
      <c r="BV65" s="19"/>
      <c r="BW65" s="19"/>
      <c r="BX65" s="19"/>
      <c r="BY65" s="19"/>
      <c r="BZ65" s="19"/>
      <c r="CA65" s="19"/>
      <c r="CB65" s="19"/>
      <c r="CC65" s="19"/>
      <c r="CD65" s="19"/>
      <c r="CE65" s="19"/>
      <c r="CF65" s="19"/>
      <c r="CG65" s="19"/>
      <c r="CH65" s="19"/>
      <c r="CI65" s="19"/>
      <c r="CJ65" s="19"/>
      <c r="CK65" s="19"/>
      <c r="CL65" s="19"/>
      <c r="CM65" s="19"/>
      <c r="CN65" s="19"/>
      <c r="CO65" s="19"/>
      <c r="CP65" s="19"/>
      <c r="CQ65" s="19"/>
      <c r="CR65" s="19"/>
      <c r="CS65" s="19"/>
      <c r="CT65" s="19"/>
      <c r="CU65" s="19"/>
      <c r="CV65" s="19"/>
      <c r="CW65" s="19"/>
      <c r="CX65" s="19"/>
      <c r="CY65" s="19"/>
      <c r="CZ65" s="19"/>
      <c r="DA65" s="19"/>
      <c r="DB65" s="19"/>
      <c r="DC65" s="19"/>
      <c r="DD65" s="19"/>
      <c r="DE65" s="19"/>
      <c r="DF65" s="19"/>
      <c r="DG65" s="19"/>
      <c r="DH65" s="19"/>
      <c r="DI65" s="19"/>
      <c r="DJ65" s="19"/>
      <c r="DK65" s="19"/>
      <c r="DL65" s="19"/>
      <c r="DM65" s="19"/>
      <c r="DN65" s="19"/>
      <c r="DO65" s="19"/>
      <c r="DP65" s="19"/>
      <c r="DQ65" s="19"/>
      <c r="DR65" s="19"/>
      <c r="DS65" s="19"/>
      <c r="DT65" s="19"/>
      <c r="DU65" s="19"/>
      <c r="DV65" s="19"/>
      <c r="DW65" s="19"/>
      <c r="DX65" s="19"/>
      <c r="DY65" s="19"/>
      <c r="DZ65" s="19"/>
      <c r="EA65" s="19"/>
      <c r="EB65" s="19"/>
      <c r="EC65" s="19"/>
      <c r="ED65" s="19"/>
      <c r="EE65" s="19"/>
      <c r="EF65" s="19"/>
      <c r="EG65" s="19"/>
      <c r="EH65" s="19"/>
      <c r="EI65" s="19"/>
      <c r="EJ65" s="19"/>
      <c r="EK65" s="19"/>
      <c r="EL65" s="19"/>
      <c r="EM65" s="19"/>
      <c r="EN65" s="19"/>
      <c r="EO65" s="19"/>
      <c r="EP65" s="19"/>
      <c r="EQ65" s="19"/>
      <c r="ER65" s="19"/>
      <c r="ES65" s="19"/>
      <c r="ET65" s="19"/>
      <c r="EU65" s="19"/>
      <c r="EV65" s="19"/>
      <c r="EW65" s="19"/>
      <c r="EX65" s="19"/>
      <c r="EY65" s="19"/>
      <c r="EZ65" s="19"/>
      <c r="FA65" s="19"/>
      <c r="FB65" s="19"/>
      <c r="FC65" s="19"/>
      <c r="FD65" s="19"/>
      <c r="FE65" s="19"/>
      <c r="FF65" s="19"/>
      <c r="FG65" s="19"/>
      <c r="FH65" s="19"/>
      <c r="FI65" s="19"/>
      <c r="FJ65" s="19"/>
      <c r="FK65" s="19"/>
      <c r="FL65" s="19"/>
      <c r="FM65" s="19"/>
      <c r="FN65" s="19"/>
      <c r="FO65" s="19"/>
      <c r="FP65" s="19"/>
      <c r="FQ65" s="19"/>
      <c r="FR65" s="19"/>
      <c r="FS65" s="19"/>
      <c r="FT65" s="19"/>
      <c r="FU65" s="19"/>
      <c r="FV65" s="19"/>
      <c r="FW65" s="19"/>
      <c r="FX65" s="19"/>
      <c r="FY65" s="19"/>
      <c r="FZ65" s="19"/>
      <c r="GA65" s="19"/>
      <c r="GB65" s="19"/>
      <c r="GC65" s="19"/>
      <c r="GD65" s="19"/>
      <c r="GE65" s="19"/>
      <c r="GF65" s="19"/>
      <c r="GG65" s="19"/>
      <c r="GH65" s="19"/>
      <c r="GI65" s="19"/>
      <c r="GJ65" s="19"/>
      <c r="GK65" s="19"/>
      <c r="GL65" s="19"/>
      <c r="GM65" s="19"/>
      <c r="GN65" s="19"/>
      <c r="GO65" s="19"/>
      <c r="GP65" s="19"/>
      <c r="GQ65" s="19"/>
      <c r="GR65" s="19"/>
      <c r="GS65" s="19"/>
      <c r="GT65" s="19"/>
      <c r="GU65" s="19"/>
      <c r="GV65" s="19"/>
      <c r="GW65" s="19"/>
      <c r="GX65" s="19"/>
      <c r="GY65" s="19"/>
      <c r="GZ65" s="19"/>
      <c r="HA65" s="19"/>
      <c r="HB65" s="19"/>
    </row>
    <row r="66" spans="1:210" x14ac:dyDescent="0.25">
      <c r="A66" s="113">
        <f t="shared" si="5"/>
        <v>64</v>
      </c>
      <c r="B66" s="163"/>
      <c r="C66" s="172" t="str">
        <f t="shared" si="7"/>
        <v>RTH at 64 °C</v>
      </c>
      <c r="D66" s="196">
        <f t="shared" si="6"/>
        <v>2.1470588235294117</v>
      </c>
      <c r="E66" s="197">
        <v>2.6059999999999999</v>
      </c>
      <c r="F66" s="198">
        <v>2.6680000000000001</v>
      </c>
      <c r="G66" s="199">
        <v>2.7309999999999999</v>
      </c>
      <c r="H66" s="128" t="s">
        <v>18</v>
      </c>
      <c r="I66" s="29"/>
      <c r="J66" s="29">
        <v>2.7309999999999999</v>
      </c>
      <c r="K66" s="29">
        <v>2.6680000000000001</v>
      </c>
      <c r="L66" s="29">
        <v>2.6059999999999999</v>
      </c>
      <c r="M66" s="29"/>
      <c r="N66" s="29"/>
      <c r="O66" s="29"/>
      <c r="P66" s="29"/>
      <c r="Q66" s="29"/>
      <c r="R66" s="29"/>
      <c r="S66" s="29"/>
      <c r="T66" s="29"/>
      <c r="U66" s="29"/>
      <c r="V66" s="29"/>
      <c r="W66" s="29"/>
      <c r="X66" s="29"/>
      <c r="Y66" s="30"/>
      <c r="Z66" s="18"/>
      <c r="AA66" s="19"/>
      <c r="AB66" s="19"/>
      <c r="AC66" s="20">
        <f t="shared" si="8"/>
        <v>64</v>
      </c>
      <c r="AD66" s="20">
        <f t="shared" si="9"/>
        <v>2.6059999999999999</v>
      </c>
      <c r="AE66" s="20">
        <f t="shared" si="10"/>
        <v>2.6680000000000001</v>
      </c>
      <c r="AF66" s="20">
        <f t="shared" si="11"/>
        <v>2.7309999999999999</v>
      </c>
      <c r="AG66" s="20">
        <f>Table9[[#This Row],[RTH(min) (kΩ)]]*RT2_TH_MIN/(RT2_TH_MIN+Table9[[#This Row],[RTH(min) (kΩ)]])</f>
        <v>2.4007074612813559</v>
      </c>
      <c r="AH66" s="20">
        <f>Table9[[#This Row],[RTH(nom) (kΩ)]]*RT2_TH_S/(RT2_TH_S+Table9[[#This Row],[RTH(nom) (kΩ)]])</f>
        <v>2.4534229598200192</v>
      </c>
      <c r="AI66" s="20">
        <f>Table9[[#This Row],[RTH(max) (kΩ)]]*RT2_TH_S_MAX/(RT2_TH_S_MAX+Table9[[#This Row],[RTH(max) (kΩ)]])</f>
        <v>2.5068015635268006</v>
      </c>
      <c r="AJ66" s="20">
        <f>Table9[[#This Row],[RLower(min) (kΩ)]]/(Table9[[#This Row],[RLower(min) (kΩ)]]+RT1_TH_S_MAX)*100</f>
        <v>31.427267414192102</v>
      </c>
      <c r="AK66" s="20">
        <f>Table9[[#This Row],[RLower(nom) (kΩ)]]/(Table9[[#This Row],[RLower(nom) (kΩ)]]+RT1_TH_S)*100</f>
        <v>31.918953699127496</v>
      </c>
      <c r="AL66" s="20">
        <f>Table9[[#This Row],[RLower(max) (kΩ)]]/(Table9[[#This Row],[RLower(max) (kΩ)]]+RT1_TH_S_MIN)*100</f>
        <v>32.410397676620768</v>
      </c>
      <c r="AM66" s="20">
        <f>IF(Table9[[#This Row],[Vmin (%)]]&lt;$BA$14, 0, IF(Table9[[#This Row],[Vmin (%)]]&lt;$BA$12, 4, IF(Table9[[#This Row],[Vmin (%)]]&lt;$BA$9, 3, IF(Table9[[#This Row],[Vmin (%)]]&lt;$BA$7, 2, 0))))</f>
        <v>0</v>
      </c>
      <c r="AN66" s="20">
        <f>IF(Table9[[#This Row],[Vmin (%)]]&lt;$BA$13, 0, IF(Table9[[#This Row],[Vmin (%)]]&lt;$BA$11, 4, IF(Table9[[#This Row],[Vmin (%)]]&lt;$BA$10, 3, IF(Table9[[#This Row],[Vmin (%)]]&lt;$BA$8, 2, 0))))</f>
        <v>0</v>
      </c>
      <c r="AO66" s="76" t="str">
        <f>IF(Table9[[#This Row],[Vmin (%)]]&lt;$BA$14, "Hot", IF(Table9[[#This Row],[Vmin (%)]]&lt;$BA$12, "Warm", IF(Table9[[#This Row],[Vmin (%)]]&lt;$BA$9, "Normal", IF(Table9[[#This Row],[Vmin (%)]]&lt;$BA$7, "Cool", "Cold"))))</f>
        <v>Hot</v>
      </c>
      <c r="AP66" s="19"/>
      <c r="AQ66" s="19"/>
      <c r="AR66" s="19"/>
      <c r="AS66" s="19"/>
      <c r="AT66" s="19"/>
      <c r="AU66" s="19"/>
      <c r="AV66" s="19"/>
      <c r="AW66" s="19"/>
      <c r="AX66" s="19"/>
      <c r="AY66" s="19"/>
      <c r="AZ66" s="19"/>
      <c r="BA66" s="19"/>
      <c r="BB66" s="19"/>
      <c r="BC66" s="19"/>
      <c r="BD66" s="19"/>
      <c r="BE66" s="19"/>
      <c r="BF66" s="19"/>
      <c r="BG66" s="19"/>
      <c r="BH66" s="19"/>
      <c r="BI66" s="19"/>
      <c r="BJ66" s="19"/>
      <c r="BK66" s="19"/>
      <c r="BL66" s="19"/>
      <c r="BM66" s="19"/>
      <c r="BN66" s="19"/>
      <c r="BO66" s="19"/>
      <c r="BP66" s="19"/>
      <c r="BQ66" s="19"/>
      <c r="BR66" s="19"/>
      <c r="BS66" s="19"/>
      <c r="BT66" s="19"/>
      <c r="BU66" s="19"/>
      <c r="BV66" s="19"/>
      <c r="BW66" s="19"/>
      <c r="BX66" s="19"/>
      <c r="BY66" s="19"/>
      <c r="BZ66" s="19"/>
      <c r="CA66" s="19"/>
      <c r="CB66" s="19"/>
      <c r="CC66" s="19"/>
      <c r="CD66" s="19"/>
      <c r="CE66" s="19"/>
      <c r="CF66" s="19"/>
      <c r="CG66" s="19"/>
      <c r="CH66" s="19"/>
      <c r="CI66" s="19"/>
      <c r="CJ66" s="19"/>
      <c r="CK66" s="19"/>
      <c r="CL66" s="19"/>
      <c r="CM66" s="19"/>
      <c r="CN66" s="19"/>
      <c r="CO66" s="19"/>
      <c r="CP66" s="19"/>
      <c r="CQ66" s="19"/>
      <c r="CR66" s="19"/>
      <c r="CS66" s="19"/>
      <c r="CT66" s="19"/>
      <c r="CU66" s="19"/>
      <c r="CV66" s="19"/>
      <c r="CW66" s="19"/>
      <c r="CX66" s="19"/>
      <c r="CY66" s="19"/>
      <c r="CZ66" s="19"/>
      <c r="DA66" s="19"/>
      <c r="DB66" s="19"/>
      <c r="DC66" s="19"/>
      <c r="DD66" s="19"/>
      <c r="DE66" s="19"/>
      <c r="DF66" s="19"/>
      <c r="DG66" s="19"/>
      <c r="DH66" s="19"/>
      <c r="DI66" s="19"/>
      <c r="DJ66" s="19"/>
      <c r="DK66" s="19"/>
      <c r="DL66" s="19"/>
      <c r="DM66" s="19"/>
      <c r="DN66" s="19"/>
      <c r="DO66" s="19"/>
      <c r="DP66" s="19"/>
      <c r="DQ66" s="19"/>
      <c r="DR66" s="19"/>
      <c r="DS66" s="19"/>
      <c r="DT66" s="19"/>
      <c r="DU66" s="19"/>
      <c r="DV66" s="19"/>
      <c r="DW66" s="19"/>
      <c r="DX66" s="19"/>
      <c r="DY66" s="19"/>
      <c r="DZ66" s="19"/>
      <c r="EA66" s="19"/>
      <c r="EB66" s="19"/>
      <c r="EC66" s="19"/>
      <c r="ED66" s="19"/>
      <c r="EE66" s="19"/>
      <c r="EF66" s="19"/>
      <c r="EG66" s="19"/>
      <c r="EH66" s="19"/>
      <c r="EI66" s="19"/>
      <c r="EJ66" s="19"/>
      <c r="EK66" s="19"/>
      <c r="EL66" s="19"/>
      <c r="EM66" s="19"/>
      <c r="EN66" s="19"/>
      <c r="EO66" s="19"/>
      <c r="EP66" s="19"/>
      <c r="EQ66" s="19"/>
      <c r="ER66" s="19"/>
      <c r="ES66" s="19"/>
      <c r="ET66" s="19"/>
      <c r="EU66" s="19"/>
      <c r="EV66" s="19"/>
      <c r="EW66" s="19"/>
      <c r="EX66" s="19"/>
      <c r="EY66" s="19"/>
      <c r="EZ66" s="19"/>
      <c r="FA66" s="19"/>
      <c r="FB66" s="19"/>
      <c r="FC66" s="19"/>
      <c r="FD66" s="19"/>
      <c r="FE66" s="19"/>
      <c r="FF66" s="19"/>
      <c r="FG66" s="19"/>
      <c r="FH66" s="19"/>
      <c r="FI66" s="19"/>
      <c r="FJ66" s="19"/>
      <c r="FK66" s="19"/>
      <c r="FL66" s="19"/>
      <c r="FM66" s="19"/>
      <c r="FN66" s="19"/>
      <c r="FO66" s="19"/>
      <c r="FP66" s="19"/>
      <c r="FQ66" s="19"/>
      <c r="FR66" s="19"/>
      <c r="FS66" s="19"/>
      <c r="FT66" s="19"/>
      <c r="FU66" s="19"/>
      <c r="FV66" s="19"/>
      <c r="FW66" s="19"/>
      <c r="FX66" s="19"/>
      <c r="FY66" s="19"/>
      <c r="FZ66" s="19"/>
      <c r="GA66" s="19"/>
      <c r="GB66" s="19"/>
      <c r="GC66" s="19"/>
      <c r="GD66" s="19"/>
      <c r="GE66" s="19"/>
      <c r="GF66" s="19"/>
      <c r="GG66" s="19"/>
      <c r="GH66" s="19"/>
      <c r="GI66" s="19"/>
      <c r="GJ66" s="19"/>
      <c r="GK66" s="19"/>
      <c r="GL66" s="19"/>
      <c r="GM66" s="19"/>
      <c r="GN66" s="19"/>
      <c r="GO66" s="19"/>
      <c r="GP66" s="19"/>
      <c r="GQ66" s="19"/>
      <c r="GR66" s="19"/>
      <c r="GS66" s="19"/>
      <c r="GT66" s="19"/>
      <c r="GU66" s="19"/>
      <c r="GV66" s="19"/>
      <c r="GW66" s="19"/>
      <c r="GX66" s="19"/>
      <c r="GY66" s="19"/>
      <c r="GZ66" s="19"/>
      <c r="HA66" s="19"/>
      <c r="HB66" s="19"/>
    </row>
    <row r="67" spans="1:210" x14ac:dyDescent="0.25">
      <c r="A67" s="113">
        <f t="shared" si="5"/>
        <v>63</v>
      </c>
      <c r="B67" s="163"/>
      <c r="C67" s="172" t="str">
        <f t="shared" si="7"/>
        <v>RTH at 63 °C</v>
      </c>
      <c r="D67" s="196">
        <f t="shared" si="6"/>
        <v>2.1176470588235294</v>
      </c>
      <c r="E67" s="197">
        <v>2.6880000000000002</v>
      </c>
      <c r="F67" s="198">
        <v>2.7509999999999999</v>
      </c>
      <c r="G67" s="199">
        <v>2.8149999999999999</v>
      </c>
      <c r="H67" s="128" t="s">
        <v>18</v>
      </c>
      <c r="I67" s="29"/>
      <c r="J67" s="29">
        <v>2.8149999999999999</v>
      </c>
      <c r="K67" s="29">
        <v>2.7509999999999999</v>
      </c>
      <c r="L67" s="29">
        <v>2.6880000000000002</v>
      </c>
      <c r="M67" s="29"/>
      <c r="N67" s="29"/>
      <c r="O67" s="29"/>
      <c r="P67" s="29"/>
      <c r="Q67" s="29"/>
      <c r="R67" s="29"/>
      <c r="S67" s="29"/>
      <c r="T67" s="29"/>
      <c r="U67" s="29"/>
      <c r="V67" s="29"/>
      <c r="W67" s="29"/>
      <c r="X67" s="29"/>
      <c r="Y67" s="30"/>
      <c r="Z67" s="18"/>
      <c r="AA67" s="19"/>
      <c r="AB67" s="19"/>
      <c r="AC67" s="20">
        <f t="shared" si="8"/>
        <v>63</v>
      </c>
      <c r="AD67" s="20">
        <f t="shared" si="9"/>
        <v>2.6880000000000002</v>
      </c>
      <c r="AE67" s="20">
        <f t="shared" si="10"/>
        <v>2.7509999999999999</v>
      </c>
      <c r="AF67" s="20">
        <f t="shared" si="11"/>
        <v>2.8149999999999999</v>
      </c>
      <c r="AG67" s="20">
        <f>Table9[[#This Row],[RTH(min) (kΩ)]]*RT2_TH_MIN/(RT2_TH_MIN+Table9[[#This Row],[RTH(min) (kΩ)]])</f>
        <v>2.470124858373679</v>
      </c>
      <c r="AH67" s="20">
        <f>Table9[[#This Row],[RTH(nom) (kΩ)]]*RT2_TH_S/(RT2_TH_S+Table9[[#This Row],[RTH(nom) (kΩ)]])</f>
        <v>2.5234339207597776</v>
      </c>
      <c r="AI67" s="20">
        <f>Table9[[#This Row],[RTH(max) (kΩ)]]*RT2_TH_S_MAX/(RT2_TH_S_MAX+Table9[[#This Row],[RTH(max) (kΩ)]])</f>
        <v>2.5773976408813106</v>
      </c>
      <c r="AJ67" s="20">
        <f>Table9[[#This Row],[RLower(min) (kΩ)]]/(Table9[[#This Row],[RLower(min) (kΩ)]]+RT1_TH_S_MAX)*100</f>
        <v>32.044797913898023</v>
      </c>
      <c r="AK67" s="20">
        <f>Table9[[#This Row],[RLower(nom) (kΩ)]]/(Table9[[#This Row],[RLower(nom) (kΩ)]]+RT1_TH_S)*100</f>
        <v>32.533466110680855</v>
      </c>
      <c r="AL67" s="20">
        <f>Table9[[#This Row],[RLower(max) (kΩ)]]/(Table9[[#This Row],[RLower(max) (kΩ)]]+RT1_TH_S_MIN)*100</f>
        <v>33.021732148136543</v>
      </c>
      <c r="AM67" s="20">
        <f>IF(Table9[[#This Row],[Vmin (%)]]&lt;$BA$14, 0, IF(Table9[[#This Row],[Vmin (%)]]&lt;$BA$12, 4, IF(Table9[[#This Row],[Vmin (%)]]&lt;$BA$9, 3, IF(Table9[[#This Row],[Vmin (%)]]&lt;$BA$7, 2, 0))))</f>
        <v>0</v>
      </c>
      <c r="AN67" s="20">
        <f>IF(Table9[[#This Row],[Vmin (%)]]&lt;$BA$13, 0, IF(Table9[[#This Row],[Vmin (%)]]&lt;$BA$11, 4, IF(Table9[[#This Row],[Vmin (%)]]&lt;$BA$10, 3, IF(Table9[[#This Row],[Vmin (%)]]&lt;$BA$8, 2, 0))))</f>
        <v>0</v>
      </c>
      <c r="AO67" s="76" t="str">
        <f>IF(Table9[[#This Row],[Vmin (%)]]&lt;$BA$14, "Hot", IF(Table9[[#This Row],[Vmin (%)]]&lt;$BA$12, "Warm", IF(Table9[[#This Row],[Vmin (%)]]&lt;$BA$9, "Normal", IF(Table9[[#This Row],[Vmin (%)]]&lt;$BA$7, "Cool", "Cold"))))</f>
        <v>Hot</v>
      </c>
      <c r="AP67" s="19"/>
      <c r="AQ67" s="19"/>
      <c r="AR67" s="19"/>
      <c r="AS67" s="19"/>
      <c r="AT67" s="19"/>
      <c r="AU67" s="19"/>
      <c r="AV67" s="19"/>
      <c r="AW67" s="19"/>
      <c r="AX67" s="19"/>
      <c r="AY67" s="19"/>
      <c r="AZ67" s="19"/>
      <c r="BA67" s="19"/>
      <c r="BB67" s="19"/>
      <c r="BC67" s="19"/>
      <c r="BD67" s="19"/>
      <c r="BE67" s="19"/>
      <c r="BF67" s="19"/>
      <c r="BG67" s="19"/>
      <c r="BH67" s="19"/>
      <c r="BI67" s="19"/>
      <c r="BJ67" s="19"/>
      <c r="BK67" s="19"/>
      <c r="BL67" s="19"/>
      <c r="BM67" s="19"/>
      <c r="BN67" s="19"/>
      <c r="BO67" s="19"/>
      <c r="BP67" s="19"/>
      <c r="BQ67" s="19"/>
      <c r="BR67" s="19"/>
      <c r="BS67" s="19"/>
      <c r="BT67" s="19"/>
      <c r="BU67" s="19"/>
      <c r="BV67" s="19"/>
      <c r="BW67" s="19"/>
      <c r="BX67" s="19"/>
      <c r="BY67" s="19"/>
      <c r="BZ67" s="19"/>
      <c r="CA67" s="19"/>
      <c r="CB67" s="19"/>
      <c r="CC67" s="19"/>
      <c r="CD67" s="19"/>
      <c r="CE67" s="19"/>
      <c r="CF67" s="19"/>
      <c r="CG67" s="19"/>
      <c r="CH67" s="19"/>
      <c r="CI67" s="19"/>
      <c r="CJ67" s="19"/>
      <c r="CK67" s="19"/>
      <c r="CL67" s="19"/>
      <c r="CM67" s="19"/>
      <c r="CN67" s="19"/>
      <c r="CO67" s="19"/>
      <c r="CP67" s="19"/>
      <c r="CQ67" s="19"/>
      <c r="CR67" s="19"/>
      <c r="CS67" s="19"/>
      <c r="CT67" s="19"/>
      <c r="CU67" s="19"/>
      <c r="CV67" s="19"/>
      <c r="CW67" s="19"/>
      <c r="CX67" s="19"/>
      <c r="CY67" s="19"/>
      <c r="CZ67" s="19"/>
      <c r="DA67" s="19"/>
      <c r="DB67" s="19"/>
      <c r="DC67" s="19"/>
      <c r="DD67" s="19"/>
      <c r="DE67" s="19"/>
      <c r="DF67" s="19"/>
      <c r="DG67" s="19"/>
      <c r="DH67" s="19"/>
      <c r="DI67" s="19"/>
      <c r="DJ67" s="19"/>
      <c r="DK67" s="19"/>
      <c r="DL67" s="19"/>
      <c r="DM67" s="19"/>
      <c r="DN67" s="19"/>
      <c r="DO67" s="19"/>
      <c r="DP67" s="19"/>
      <c r="DQ67" s="19"/>
      <c r="DR67" s="19"/>
      <c r="DS67" s="19"/>
      <c r="DT67" s="19"/>
      <c r="DU67" s="19"/>
      <c r="DV67" s="19"/>
      <c r="DW67" s="19"/>
      <c r="DX67" s="19"/>
      <c r="DY67" s="19"/>
      <c r="DZ67" s="19"/>
      <c r="EA67" s="19"/>
      <c r="EB67" s="19"/>
      <c r="EC67" s="19"/>
      <c r="ED67" s="19"/>
      <c r="EE67" s="19"/>
      <c r="EF67" s="19"/>
      <c r="EG67" s="19"/>
      <c r="EH67" s="19"/>
      <c r="EI67" s="19"/>
      <c r="EJ67" s="19"/>
      <c r="EK67" s="19"/>
      <c r="EL67" s="19"/>
      <c r="EM67" s="19"/>
      <c r="EN67" s="19"/>
      <c r="EO67" s="19"/>
      <c r="EP67" s="19"/>
      <c r="EQ67" s="19"/>
      <c r="ER67" s="19"/>
      <c r="ES67" s="19"/>
      <c r="ET67" s="19"/>
      <c r="EU67" s="19"/>
      <c r="EV67" s="19"/>
      <c r="EW67" s="19"/>
      <c r="EX67" s="19"/>
      <c r="EY67" s="19"/>
      <c r="EZ67" s="19"/>
      <c r="FA67" s="19"/>
      <c r="FB67" s="19"/>
      <c r="FC67" s="19"/>
      <c r="FD67" s="19"/>
      <c r="FE67" s="19"/>
      <c r="FF67" s="19"/>
      <c r="FG67" s="19"/>
      <c r="FH67" s="19"/>
      <c r="FI67" s="19"/>
      <c r="FJ67" s="19"/>
      <c r="FK67" s="19"/>
      <c r="FL67" s="19"/>
      <c r="FM67" s="19"/>
      <c r="FN67" s="19"/>
      <c r="FO67" s="19"/>
      <c r="FP67" s="19"/>
      <c r="FQ67" s="19"/>
      <c r="FR67" s="19"/>
      <c r="FS67" s="19"/>
      <c r="FT67" s="19"/>
      <c r="FU67" s="19"/>
      <c r="FV67" s="19"/>
      <c r="FW67" s="19"/>
      <c r="FX67" s="19"/>
      <c r="FY67" s="19"/>
      <c r="FZ67" s="19"/>
      <c r="GA67" s="19"/>
      <c r="GB67" s="19"/>
      <c r="GC67" s="19"/>
      <c r="GD67" s="19"/>
      <c r="GE67" s="19"/>
      <c r="GF67" s="19"/>
      <c r="GG67" s="19"/>
      <c r="GH67" s="19"/>
      <c r="GI67" s="19"/>
      <c r="GJ67" s="19"/>
      <c r="GK67" s="19"/>
      <c r="GL67" s="19"/>
      <c r="GM67" s="19"/>
      <c r="GN67" s="19"/>
      <c r="GO67" s="19"/>
      <c r="GP67" s="19"/>
      <c r="GQ67" s="19"/>
      <c r="GR67" s="19"/>
      <c r="GS67" s="19"/>
      <c r="GT67" s="19"/>
      <c r="GU67" s="19"/>
      <c r="GV67" s="19"/>
      <c r="GW67" s="19"/>
      <c r="GX67" s="19"/>
      <c r="GY67" s="19"/>
      <c r="GZ67" s="19"/>
      <c r="HA67" s="19"/>
      <c r="HB67" s="19"/>
    </row>
    <row r="68" spans="1:210" x14ac:dyDescent="0.25">
      <c r="A68" s="113">
        <f t="shared" si="5"/>
        <v>62</v>
      </c>
      <c r="B68" s="163"/>
      <c r="C68" s="172" t="str">
        <f t="shared" si="7"/>
        <v>RTH at 62 °C</v>
      </c>
      <c r="D68" s="196">
        <f t="shared" si="6"/>
        <v>2.0882352941176467</v>
      </c>
      <c r="E68" s="197">
        <v>2.774</v>
      </c>
      <c r="F68" s="198">
        <v>2.8380000000000001</v>
      </c>
      <c r="G68" s="199">
        <v>2.9020000000000001</v>
      </c>
      <c r="H68" s="128" t="s">
        <v>18</v>
      </c>
      <c r="I68" s="29"/>
      <c r="J68" s="29">
        <v>2.9020000000000001</v>
      </c>
      <c r="K68" s="29">
        <v>2.8380000000000001</v>
      </c>
      <c r="L68" s="29">
        <v>2.774</v>
      </c>
      <c r="M68" s="29"/>
      <c r="N68" s="29"/>
      <c r="O68" s="29"/>
      <c r="P68" s="29"/>
      <c r="Q68" s="29"/>
      <c r="R68" s="29"/>
      <c r="S68" s="29"/>
      <c r="T68" s="29"/>
      <c r="U68" s="29"/>
      <c r="V68" s="29"/>
      <c r="W68" s="29"/>
      <c r="X68" s="29"/>
      <c r="Y68" s="30"/>
      <c r="Z68" s="18"/>
      <c r="AA68" s="19"/>
      <c r="AB68" s="19"/>
      <c r="AC68" s="20">
        <f t="shared" si="8"/>
        <v>62</v>
      </c>
      <c r="AD68" s="20">
        <f t="shared" si="9"/>
        <v>2.774</v>
      </c>
      <c r="AE68" s="20">
        <f t="shared" si="10"/>
        <v>2.8380000000000001</v>
      </c>
      <c r="AF68" s="20">
        <f t="shared" si="11"/>
        <v>2.9020000000000001</v>
      </c>
      <c r="AG68" s="20">
        <f>Table9[[#This Row],[RTH(min) (kΩ)]]*RT2_TH_MIN/(RT2_TH_MIN+Table9[[#This Row],[RTH(min) (kΩ)]])</f>
        <v>2.5425606065632675</v>
      </c>
      <c r="AH68" s="20">
        <f>Table9[[#This Row],[RTH(nom) (kΩ)]]*RT2_TH_S/(RT2_TH_S+Table9[[#This Row],[RTH(nom) (kΩ)]])</f>
        <v>2.5964447521339906</v>
      </c>
      <c r="AI68" s="20">
        <f>Table9[[#This Row],[RTH(max) (kΩ)]]*RT2_TH_S_MAX/(RT2_TH_S_MAX+Table9[[#This Row],[RTH(max) (kΩ)]])</f>
        <v>2.6501410863151329</v>
      </c>
      <c r="AJ68" s="20">
        <f>Table9[[#This Row],[RLower(min) (kΩ)]]/(Table9[[#This Row],[RLower(min) (kΩ)]]+RT1_TH_S_MAX)*100</f>
        <v>32.677431519389437</v>
      </c>
      <c r="AK68" s="20">
        <f>Table9[[#This Row],[RLower(nom) (kΩ)]]/(Table9[[#This Row],[RLower(nom) (kΩ)]]+RT1_TH_S)*100</f>
        <v>33.162603099957053</v>
      </c>
      <c r="AL68" s="20">
        <f>Table9[[#This Row],[RLower(max) (kΩ)]]/(Table9[[#This Row],[RLower(max) (kΩ)]]+RT1_TH_S_MIN)*100</f>
        <v>33.640200323861443</v>
      </c>
      <c r="AM68" s="20">
        <f>IF(Table9[[#This Row],[Vmin (%)]]&lt;$BA$14, 0, IF(Table9[[#This Row],[Vmin (%)]]&lt;$BA$12, 4, IF(Table9[[#This Row],[Vmin (%)]]&lt;$BA$9, 3, IF(Table9[[#This Row],[Vmin (%)]]&lt;$BA$7, 2, 0))))</f>
        <v>0</v>
      </c>
      <c r="AN68" s="20">
        <f>IF(Table9[[#This Row],[Vmin (%)]]&lt;$BA$13, 0, IF(Table9[[#This Row],[Vmin (%)]]&lt;$BA$11, 4, IF(Table9[[#This Row],[Vmin (%)]]&lt;$BA$10, 3, IF(Table9[[#This Row],[Vmin (%)]]&lt;$BA$8, 2, 0))))</f>
        <v>0</v>
      </c>
      <c r="AO68" s="76" t="str">
        <f>IF(Table9[[#This Row],[Vmin (%)]]&lt;$BA$14, "Hot", IF(Table9[[#This Row],[Vmin (%)]]&lt;$BA$12, "Warm", IF(Table9[[#This Row],[Vmin (%)]]&lt;$BA$9, "Normal", IF(Table9[[#This Row],[Vmin (%)]]&lt;$BA$7, "Cool", "Cold"))))</f>
        <v>Hot</v>
      </c>
      <c r="AP68" s="19"/>
      <c r="AQ68" s="19"/>
      <c r="AR68" s="19"/>
      <c r="AS68" s="19"/>
      <c r="AT68" s="19"/>
      <c r="AU68" s="19"/>
      <c r="AV68" s="19"/>
      <c r="AW68" s="19"/>
      <c r="AX68" s="19"/>
      <c r="AY68" s="19"/>
      <c r="AZ68" s="19"/>
      <c r="BA68" s="19"/>
      <c r="BB68" s="19"/>
      <c r="BC68" s="19"/>
      <c r="BD68" s="19"/>
      <c r="BE68" s="19"/>
      <c r="BF68" s="19"/>
      <c r="BG68" s="19"/>
      <c r="BH68" s="19"/>
      <c r="BI68" s="19"/>
      <c r="BJ68" s="19"/>
      <c r="BK68" s="19"/>
      <c r="BL68" s="19"/>
      <c r="BM68" s="19"/>
      <c r="BN68" s="19"/>
      <c r="BO68" s="19"/>
      <c r="BP68" s="19"/>
      <c r="BQ68" s="19"/>
      <c r="BR68" s="19"/>
      <c r="BS68" s="19"/>
      <c r="BT68" s="19"/>
      <c r="BU68" s="19"/>
      <c r="BV68" s="19"/>
      <c r="BW68" s="19"/>
      <c r="BX68" s="19"/>
      <c r="BY68" s="19"/>
      <c r="BZ68" s="19"/>
      <c r="CA68" s="19"/>
      <c r="CB68" s="19"/>
      <c r="CC68" s="19"/>
      <c r="CD68" s="19"/>
      <c r="CE68" s="19"/>
      <c r="CF68" s="19"/>
      <c r="CG68" s="19"/>
      <c r="CH68" s="19"/>
      <c r="CI68" s="19"/>
      <c r="CJ68" s="19"/>
      <c r="CK68" s="19"/>
      <c r="CL68" s="19"/>
      <c r="CM68" s="19"/>
      <c r="CN68" s="19"/>
      <c r="CO68" s="19"/>
      <c r="CP68" s="19"/>
      <c r="CQ68" s="19"/>
      <c r="CR68" s="19"/>
      <c r="CS68" s="19"/>
      <c r="CT68" s="19"/>
      <c r="CU68" s="19"/>
      <c r="CV68" s="19"/>
      <c r="CW68" s="19"/>
      <c r="CX68" s="19"/>
      <c r="CY68" s="19"/>
      <c r="CZ68" s="19"/>
      <c r="DA68" s="19"/>
      <c r="DB68" s="19"/>
      <c r="DC68" s="19"/>
      <c r="DD68" s="19"/>
      <c r="DE68" s="19"/>
      <c r="DF68" s="19"/>
      <c r="DG68" s="19"/>
      <c r="DH68" s="19"/>
      <c r="DI68" s="19"/>
      <c r="DJ68" s="19"/>
      <c r="DK68" s="19"/>
      <c r="DL68" s="19"/>
      <c r="DM68" s="19"/>
      <c r="DN68" s="19"/>
      <c r="DO68" s="19"/>
      <c r="DP68" s="19"/>
      <c r="DQ68" s="19"/>
      <c r="DR68" s="19"/>
      <c r="DS68" s="19"/>
      <c r="DT68" s="19"/>
      <c r="DU68" s="19"/>
      <c r="DV68" s="19"/>
      <c r="DW68" s="19"/>
      <c r="DX68" s="19"/>
      <c r="DY68" s="19"/>
      <c r="DZ68" s="19"/>
      <c r="EA68" s="19"/>
      <c r="EB68" s="19"/>
      <c r="EC68" s="19"/>
      <c r="ED68" s="19"/>
      <c r="EE68" s="19"/>
      <c r="EF68" s="19"/>
      <c r="EG68" s="19"/>
      <c r="EH68" s="19"/>
      <c r="EI68" s="19"/>
      <c r="EJ68" s="19"/>
      <c r="EK68" s="19"/>
      <c r="EL68" s="19"/>
      <c r="EM68" s="19"/>
      <c r="EN68" s="19"/>
      <c r="EO68" s="19"/>
      <c r="EP68" s="19"/>
      <c r="EQ68" s="19"/>
      <c r="ER68" s="19"/>
      <c r="ES68" s="19"/>
      <c r="ET68" s="19"/>
      <c r="EU68" s="19"/>
      <c r="EV68" s="19"/>
      <c r="EW68" s="19"/>
      <c r="EX68" s="19"/>
      <c r="EY68" s="19"/>
      <c r="EZ68" s="19"/>
      <c r="FA68" s="19"/>
      <c r="FB68" s="19"/>
      <c r="FC68" s="19"/>
      <c r="FD68" s="19"/>
      <c r="FE68" s="19"/>
      <c r="FF68" s="19"/>
      <c r="FG68" s="19"/>
      <c r="FH68" s="19"/>
      <c r="FI68" s="19"/>
      <c r="FJ68" s="19"/>
      <c r="FK68" s="19"/>
      <c r="FL68" s="19"/>
      <c r="FM68" s="19"/>
      <c r="FN68" s="19"/>
      <c r="FO68" s="19"/>
      <c r="FP68" s="19"/>
      <c r="FQ68" s="19"/>
      <c r="FR68" s="19"/>
      <c r="FS68" s="19"/>
      <c r="FT68" s="19"/>
      <c r="FU68" s="19"/>
      <c r="FV68" s="19"/>
      <c r="FW68" s="19"/>
      <c r="FX68" s="19"/>
      <c r="FY68" s="19"/>
      <c r="FZ68" s="19"/>
      <c r="GA68" s="19"/>
      <c r="GB68" s="19"/>
      <c r="GC68" s="19"/>
      <c r="GD68" s="19"/>
      <c r="GE68" s="19"/>
      <c r="GF68" s="19"/>
      <c r="GG68" s="19"/>
      <c r="GH68" s="19"/>
      <c r="GI68" s="19"/>
      <c r="GJ68" s="19"/>
      <c r="GK68" s="19"/>
      <c r="GL68" s="19"/>
      <c r="GM68" s="19"/>
      <c r="GN68" s="19"/>
      <c r="GO68" s="19"/>
      <c r="GP68" s="19"/>
      <c r="GQ68" s="19"/>
      <c r="GR68" s="19"/>
      <c r="GS68" s="19"/>
      <c r="GT68" s="19"/>
      <c r="GU68" s="19"/>
      <c r="GV68" s="19"/>
      <c r="GW68" s="19"/>
      <c r="GX68" s="19"/>
      <c r="GY68" s="19"/>
      <c r="GZ68" s="19"/>
      <c r="HA68" s="19"/>
      <c r="HB68" s="19"/>
    </row>
    <row r="69" spans="1:210" x14ac:dyDescent="0.25">
      <c r="A69" s="113">
        <f t="shared" si="5"/>
        <v>61</v>
      </c>
      <c r="B69" s="163"/>
      <c r="C69" s="172" t="str">
        <f t="shared" si="7"/>
        <v>RTH at 61 °C</v>
      </c>
      <c r="D69" s="196">
        <f t="shared" si="6"/>
        <v>2.0588235294117645</v>
      </c>
      <c r="E69" s="197">
        <v>2.8620000000000001</v>
      </c>
      <c r="F69" s="198">
        <v>2.927</v>
      </c>
      <c r="G69" s="199">
        <v>2.9929999999999999</v>
      </c>
      <c r="H69" s="128" t="s">
        <v>18</v>
      </c>
      <c r="I69" s="29"/>
      <c r="J69" s="29">
        <v>2.9929999999999999</v>
      </c>
      <c r="K69" s="29">
        <v>2.927</v>
      </c>
      <c r="L69" s="29">
        <v>2.8620000000000001</v>
      </c>
      <c r="M69" s="29"/>
      <c r="N69" s="29"/>
      <c r="O69" s="29"/>
      <c r="P69" s="29"/>
      <c r="Q69" s="29"/>
      <c r="R69" s="29"/>
      <c r="S69" s="29"/>
      <c r="T69" s="29"/>
      <c r="U69" s="29"/>
      <c r="V69" s="29"/>
      <c r="W69" s="29"/>
      <c r="X69" s="29"/>
      <c r="Y69" s="30"/>
      <c r="Z69" s="18"/>
      <c r="AA69" s="19"/>
      <c r="AB69" s="19"/>
      <c r="AC69" s="20">
        <f t="shared" si="8"/>
        <v>61</v>
      </c>
      <c r="AD69" s="20">
        <f t="shared" si="9"/>
        <v>2.8620000000000001</v>
      </c>
      <c r="AE69" s="20">
        <f t="shared" si="10"/>
        <v>2.927</v>
      </c>
      <c r="AF69" s="20">
        <f t="shared" si="11"/>
        <v>2.9929999999999999</v>
      </c>
      <c r="AG69" s="20">
        <f>Table9[[#This Row],[RTH(min) (kΩ)]]*RT2_TH_MIN/(RT2_TH_MIN+Table9[[#This Row],[RTH(min) (kΩ)]])</f>
        <v>2.6162940389960183</v>
      </c>
      <c r="AH69" s="20">
        <f>Table9[[#This Row],[RTH(nom) (kΩ)]]*RT2_TH_S/(RT2_TH_S+Table9[[#This Row],[RTH(nom) (kΩ)]])</f>
        <v>2.6707408013691909</v>
      </c>
      <c r="AI69" s="20">
        <f>Table9[[#This Row],[RTH(max) (kΩ)]]*RT2_TH_S_MAX/(RT2_TH_S_MAX+Table9[[#This Row],[RTH(max) (kΩ)]])</f>
        <v>2.725825116726921</v>
      </c>
      <c r="AJ69" s="20">
        <f>Table9[[#This Row],[RLower(min) (kΩ)]]/(Table9[[#This Row],[RLower(min) (kΩ)]]+RT1_TH_S_MAX)*100</f>
        <v>33.309414785890326</v>
      </c>
      <c r="AK69" s="20">
        <f>Table9[[#This Row],[RLower(nom) (kΩ)]]/(Table9[[#This Row],[RLower(nom) (kΩ)]]+RT1_TH_S)*100</f>
        <v>33.790882824445816</v>
      </c>
      <c r="AL69" s="20">
        <f>Table9[[#This Row],[RLower(max) (kΩ)]]/(Table9[[#This Row],[RLower(max) (kΩ)]]+RT1_TH_S_MIN)*100</f>
        <v>34.271661254715148</v>
      </c>
      <c r="AM69" s="20">
        <f>IF(Table9[[#This Row],[Vmin (%)]]&lt;$BA$14, 0, IF(Table9[[#This Row],[Vmin (%)]]&lt;$BA$12, 4, IF(Table9[[#This Row],[Vmin (%)]]&lt;$BA$9, 3, IF(Table9[[#This Row],[Vmin (%)]]&lt;$BA$7, 2, 0))))</f>
        <v>0</v>
      </c>
      <c r="AN69" s="20">
        <f>IF(Table9[[#This Row],[Vmin (%)]]&lt;$BA$13, 0, IF(Table9[[#This Row],[Vmin (%)]]&lt;$BA$11, 4, IF(Table9[[#This Row],[Vmin (%)]]&lt;$BA$10, 3, IF(Table9[[#This Row],[Vmin (%)]]&lt;$BA$8, 2, 0))))</f>
        <v>0</v>
      </c>
      <c r="AO69" s="76" t="str">
        <f>IF(Table9[[#This Row],[Vmin (%)]]&lt;$BA$14, "Hot", IF(Table9[[#This Row],[Vmin (%)]]&lt;$BA$12, "Warm", IF(Table9[[#This Row],[Vmin (%)]]&lt;$BA$9, "Normal", IF(Table9[[#This Row],[Vmin (%)]]&lt;$BA$7, "Cool", "Cold"))))</f>
        <v>Hot</v>
      </c>
      <c r="AP69" s="19"/>
      <c r="AQ69" s="19"/>
      <c r="AR69" s="19"/>
      <c r="AS69" s="19"/>
      <c r="AT69" s="19"/>
      <c r="AU69" s="19"/>
      <c r="AV69" s="19"/>
      <c r="AW69" s="19"/>
      <c r="AX69" s="19"/>
      <c r="AY69" s="19"/>
      <c r="AZ69" s="19"/>
      <c r="BA69" s="19"/>
      <c r="BB69" s="19"/>
      <c r="BC69" s="19"/>
      <c r="BD69" s="19"/>
      <c r="BE69" s="19"/>
      <c r="BF69" s="19"/>
      <c r="BG69" s="19"/>
      <c r="BH69" s="19"/>
      <c r="BI69" s="19"/>
      <c r="BJ69" s="19"/>
      <c r="BK69" s="19"/>
      <c r="BL69" s="19"/>
      <c r="BM69" s="19"/>
      <c r="BN69" s="19"/>
      <c r="BO69" s="19"/>
      <c r="BP69" s="19"/>
      <c r="BQ69" s="19"/>
      <c r="BR69" s="19"/>
      <c r="BS69" s="19"/>
      <c r="BT69" s="19"/>
      <c r="BU69" s="19"/>
      <c r="BV69" s="19"/>
      <c r="BW69" s="19"/>
      <c r="BX69" s="19"/>
      <c r="BY69" s="19"/>
      <c r="BZ69" s="19"/>
      <c r="CA69" s="19"/>
      <c r="CB69" s="19"/>
      <c r="CC69" s="19"/>
      <c r="CD69" s="19"/>
      <c r="CE69" s="19"/>
      <c r="CF69" s="19"/>
      <c r="CG69" s="19"/>
      <c r="CH69" s="19"/>
      <c r="CI69" s="19"/>
      <c r="CJ69" s="19"/>
      <c r="CK69" s="19"/>
      <c r="CL69" s="19"/>
      <c r="CM69" s="19"/>
      <c r="CN69" s="19"/>
      <c r="CO69" s="19"/>
      <c r="CP69" s="19"/>
      <c r="CQ69" s="19"/>
      <c r="CR69" s="19"/>
      <c r="CS69" s="19"/>
      <c r="CT69" s="19"/>
      <c r="CU69" s="19"/>
      <c r="CV69" s="19"/>
      <c r="CW69" s="19"/>
      <c r="CX69" s="19"/>
      <c r="CY69" s="19"/>
      <c r="CZ69" s="19"/>
      <c r="DA69" s="19"/>
      <c r="DB69" s="19"/>
      <c r="DC69" s="19"/>
      <c r="DD69" s="19"/>
      <c r="DE69" s="19"/>
      <c r="DF69" s="19"/>
      <c r="DG69" s="19"/>
      <c r="DH69" s="19"/>
      <c r="DI69" s="19"/>
      <c r="DJ69" s="19"/>
      <c r="DK69" s="19"/>
      <c r="DL69" s="19"/>
      <c r="DM69" s="19"/>
      <c r="DN69" s="19"/>
      <c r="DO69" s="19"/>
      <c r="DP69" s="19"/>
      <c r="DQ69" s="19"/>
      <c r="DR69" s="19"/>
      <c r="DS69" s="19"/>
      <c r="DT69" s="19"/>
      <c r="DU69" s="19"/>
      <c r="DV69" s="19"/>
      <c r="DW69" s="19"/>
      <c r="DX69" s="19"/>
      <c r="DY69" s="19"/>
      <c r="DZ69" s="19"/>
      <c r="EA69" s="19"/>
      <c r="EB69" s="19"/>
      <c r="EC69" s="19"/>
      <c r="ED69" s="19"/>
      <c r="EE69" s="19"/>
      <c r="EF69" s="19"/>
      <c r="EG69" s="19"/>
      <c r="EH69" s="19"/>
      <c r="EI69" s="19"/>
      <c r="EJ69" s="19"/>
      <c r="EK69" s="19"/>
      <c r="EL69" s="19"/>
      <c r="EM69" s="19"/>
      <c r="EN69" s="19"/>
      <c r="EO69" s="19"/>
      <c r="EP69" s="19"/>
      <c r="EQ69" s="19"/>
      <c r="ER69" s="19"/>
      <c r="ES69" s="19"/>
      <c r="ET69" s="19"/>
      <c r="EU69" s="19"/>
      <c r="EV69" s="19"/>
      <c r="EW69" s="19"/>
      <c r="EX69" s="19"/>
      <c r="EY69" s="19"/>
      <c r="EZ69" s="19"/>
      <c r="FA69" s="19"/>
      <c r="FB69" s="19"/>
      <c r="FC69" s="19"/>
      <c r="FD69" s="19"/>
      <c r="FE69" s="19"/>
      <c r="FF69" s="19"/>
      <c r="FG69" s="19"/>
      <c r="FH69" s="19"/>
      <c r="FI69" s="19"/>
      <c r="FJ69" s="19"/>
      <c r="FK69" s="19"/>
      <c r="FL69" s="19"/>
      <c r="FM69" s="19"/>
      <c r="FN69" s="19"/>
      <c r="FO69" s="19"/>
      <c r="FP69" s="19"/>
      <c r="FQ69" s="19"/>
      <c r="FR69" s="19"/>
      <c r="FS69" s="19"/>
      <c r="FT69" s="19"/>
      <c r="FU69" s="19"/>
      <c r="FV69" s="19"/>
      <c r="FW69" s="19"/>
      <c r="FX69" s="19"/>
      <c r="FY69" s="19"/>
      <c r="FZ69" s="19"/>
      <c r="GA69" s="19"/>
      <c r="GB69" s="19"/>
      <c r="GC69" s="19"/>
      <c r="GD69" s="19"/>
      <c r="GE69" s="19"/>
      <c r="GF69" s="19"/>
      <c r="GG69" s="19"/>
      <c r="GH69" s="19"/>
      <c r="GI69" s="19"/>
      <c r="GJ69" s="19"/>
      <c r="GK69" s="19"/>
      <c r="GL69" s="19"/>
      <c r="GM69" s="19"/>
      <c r="GN69" s="19"/>
      <c r="GO69" s="19"/>
      <c r="GP69" s="19"/>
      <c r="GQ69" s="19"/>
      <c r="GR69" s="19"/>
      <c r="GS69" s="19"/>
      <c r="GT69" s="19"/>
      <c r="GU69" s="19"/>
      <c r="GV69" s="19"/>
      <c r="GW69" s="19"/>
      <c r="GX69" s="19"/>
      <c r="GY69" s="19"/>
      <c r="GZ69" s="19"/>
      <c r="HA69" s="19"/>
      <c r="HB69" s="19"/>
    </row>
    <row r="70" spans="1:210" x14ac:dyDescent="0.25">
      <c r="A70" s="113">
        <f t="shared" si="5"/>
        <v>60</v>
      </c>
      <c r="B70" s="163"/>
      <c r="C70" s="172" t="str">
        <f t="shared" si="7"/>
        <v>RTH at 60 °C</v>
      </c>
      <c r="D70" s="196">
        <f t="shared" si="6"/>
        <v>2.0294117647058822</v>
      </c>
      <c r="E70" s="197">
        <v>2.9540000000000002</v>
      </c>
      <c r="F70" s="198">
        <v>3.02</v>
      </c>
      <c r="G70" s="199">
        <v>3.0870000000000002</v>
      </c>
      <c r="H70" s="128" t="s">
        <v>18</v>
      </c>
      <c r="I70" s="29"/>
      <c r="J70" s="29">
        <v>3.0870000000000002</v>
      </c>
      <c r="K70" s="29">
        <v>3.02</v>
      </c>
      <c r="L70" s="29">
        <v>2.9540000000000002</v>
      </c>
      <c r="M70" s="29"/>
      <c r="N70" s="29"/>
      <c r="O70" s="29"/>
      <c r="P70" s="29"/>
      <c r="Q70" s="29"/>
      <c r="R70" s="29"/>
      <c r="S70" s="29"/>
      <c r="T70" s="29"/>
      <c r="U70" s="29"/>
      <c r="V70" s="29"/>
      <c r="W70" s="29"/>
      <c r="X70" s="29"/>
      <c r="Y70" s="30"/>
      <c r="Z70" s="18"/>
      <c r="AA70" s="19"/>
      <c r="AB70" s="19"/>
      <c r="AC70" s="20">
        <f t="shared" si="8"/>
        <v>60</v>
      </c>
      <c r="AD70" s="20">
        <f t="shared" si="9"/>
        <v>2.9540000000000002</v>
      </c>
      <c r="AE70" s="20">
        <f t="shared" si="10"/>
        <v>3.02</v>
      </c>
      <c r="AF70" s="20">
        <f t="shared" si="11"/>
        <v>3.0870000000000002</v>
      </c>
      <c r="AG70" s="20">
        <f>Table9[[#This Row],[RTH(min) (kΩ)]]*RT2_TH_MIN/(RT2_TH_MIN+Table9[[#This Row],[RTH(min) (kΩ)]])</f>
        <v>2.6929639207764478</v>
      </c>
      <c r="AH70" s="20">
        <f>Table9[[#This Row],[RTH(nom) (kΩ)]]*RT2_TH_S/(RT2_TH_S+Table9[[#This Row],[RTH(nom) (kΩ)]])</f>
        <v>2.7479545376347763</v>
      </c>
      <c r="AI70" s="20">
        <f>Table9[[#This Row],[RTH(max) (kΩ)]]*RT2_TH_S_MAX/(RT2_TH_S_MAX+Table9[[#This Row],[RTH(max) (kΩ)]])</f>
        <v>2.8035740663076107</v>
      </c>
      <c r="AJ70" s="20">
        <f>Table9[[#This Row],[RLower(min) (kΩ)]]/(Table9[[#This Row],[RLower(min) (kΩ)]]+RT1_TH_S_MAX)*100</f>
        <v>33.954104994515497</v>
      </c>
      <c r="AK70" s="20">
        <f>Table9[[#This Row],[RLower(nom) (kΩ)]]/(Table9[[#This Row],[RLower(nom) (kΩ)]]+RT1_TH_S)*100</f>
        <v>34.431440161144813</v>
      </c>
      <c r="AL70" s="20">
        <f>Table9[[#This Row],[RLower(max) (kΩ)]]/(Table9[[#This Row],[RLower(max) (kΩ)]]+RT1_TH_S_MIN)*100</f>
        <v>34.907957843361622</v>
      </c>
      <c r="AM70" s="20">
        <f>IF(Table9[[#This Row],[Vmin (%)]]&lt;$BA$14, 0, IF(Table9[[#This Row],[Vmin (%)]]&lt;$BA$12, 4, IF(Table9[[#This Row],[Vmin (%)]]&lt;$BA$9, 3, IF(Table9[[#This Row],[Vmin (%)]]&lt;$BA$7, 2, 0))))</f>
        <v>0</v>
      </c>
      <c r="AN70" s="20">
        <f>IF(Table9[[#This Row],[Vmin (%)]]&lt;$BA$13, 0, IF(Table9[[#This Row],[Vmin (%)]]&lt;$BA$11, 4, IF(Table9[[#This Row],[Vmin (%)]]&lt;$BA$10, 3, IF(Table9[[#This Row],[Vmin (%)]]&lt;$BA$8, 2, 0))))</f>
        <v>0</v>
      </c>
      <c r="AO70" s="76" t="str">
        <f>IF(Table9[[#This Row],[Vmin (%)]]&lt;$BA$14, "Hot", IF(Table9[[#This Row],[Vmin (%)]]&lt;$BA$12, "Warm", IF(Table9[[#This Row],[Vmin (%)]]&lt;$BA$9, "Normal", IF(Table9[[#This Row],[Vmin (%)]]&lt;$BA$7, "Cool", "Cold"))))</f>
        <v>Hot</v>
      </c>
      <c r="AP70" s="19"/>
      <c r="AQ70" s="19"/>
      <c r="AR70" s="19"/>
      <c r="AS70" s="19"/>
      <c r="AT70" s="19"/>
      <c r="AU70" s="19"/>
      <c r="AV70" s="19"/>
      <c r="AW70" s="19"/>
      <c r="AX70" s="19"/>
      <c r="AY70" s="19"/>
      <c r="AZ70" s="19"/>
      <c r="BA70" s="19"/>
      <c r="BB70" s="19"/>
      <c r="BC70" s="19"/>
      <c r="BD70" s="19"/>
      <c r="BE70" s="19"/>
      <c r="BF70" s="19"/>
      <c r="BG70" s="19"/>
      <c r="BH70" s="19"/>
      <c r="BI70" s="19"/>
      <c r="BJ70" s="19"/>
      <c r="BK70" s="19"/>
      <c r="BL70" s="19"/>
      <c r="BM70" s="19"/>
      <c r="BN70" s="19"/>
      <c r="BO70" s="19"/>
      <c r="BP70" s="19"/>
      <c r="BQ70" s="19"/>
      <c r="BR70" s="19"/>
      <c r="BS70" s="19"/>
      <c r="BT70" s="19"/>
      <c r="BU70" s="19"/>
      <c r="BV70" s="19"/>
      <c r="BW70" s="19"/>
      <c r="BX70" s="19"/>
      <c r="BY70" s="19"/>
      <c r="BZ70" s="19"/>
      <c r="CA70" s="19"/>
      <c r="CB70" s="19"/>
      <c r="CC70" s="19"/>
      <c r="CD70" s="19"/>
      <c r="CE70" s="19"/>
      <c r="CF70" s="19"/>
      <c r="CG70" s="19"/>
      <c r="CH70" s="19"/>
      <c r="CI70" s="19"/>
      <c r="CJ70" s="19"/>
      <c r="CK70" s="19"/>
      <c r="CL70" s="19"/>
      <c r="CM70" s="19"/>
      <c r="CN70" s="19"/>
      <c r="CO70" s="19"/>
      <c r="CP70" s="19"/>
      <c r="CQ70" s="19"/>
      <c r="CR70" s="19"/>
      <c r="CS70" s="19"/>
      <c r="CT70" s="19"/>
      <c r="CU70" s="19"/>
      <c r="CV70" s="19"/>
      <c r="CW70" s="19"/>
      <c r="CX70" s="19"/>
      <c r="CY70" s="19"/>
      <c r="CZ70" s="19"/>
      <c r="DA70" s="19"/>
      <c r="DB70" s="19"/>
      <c r="DC70" s="19"/>
      <c r="DD70" s="19"/>
      <c r="DE70" s="19"/>
      <c r="DF70" s="19"/>
      <c r="DG70" s="19"/>
      <c r="DH70" s="19"/>
      <c r="DI70" s="19"/>
      <c r="DJ70" s="19"/>
      <c r="DK70" s="19"/>
      <c r="DL70" s="19"/>
      <c r="DM70" s="19"/>
      <c r="DN70" s="19"/>
      <c r="DO70" s="19"/>
      <c r="DP70" s="19"/>
      <c r="DQ70" s="19"/>
      <c r="DR70" s="19"/>
      <c r="DS70" s="19"/>
      <c r="DT70" s="19"/>
      <c r="DU70" s="19"/>
      <c r="DV70" s="19"/>
      <c r="DW70" s="19"/>
      <c r="DX70" s="19"/>
      <c r="DY70" s="19"/>
      <c r="DZ70" s="19"/>
      <c r="EA70" s="19"/>
      <c r="EB70" s="19"/>
      <c r="EC70" s="19"/>
      <c r="ED70" s="19"/>
      <c r="EE70" s="19"/>
      <c r="EF70" s="19"/>
      <c r="EG70" s="19"/>
      <c r="EH70" s="19"/>
      <c r="EI70" s="19"/>
      <c r="EJ70" s="19"/>
      <c r="EK70" s="19"/>
      <c r="EL70" s="19"/>
      <c r="EM70" s="19"/>
      <c r="EN70" s="19"/>
      <c r="EO70" s="19"/>
      <c r="EP70" s="19"/>
      <c r="EQ70" s="19"/>
      <c r="ER70" s="19"/>
      <c r="ES70" s="19"/>
      <c r="ET70" s="19"/>
      <c r="EU70" s="19"/>
      <c r="EV70" s="19"/>
      <c r="EW70" s="19"/>
      <c r="EX70" s="19"/>
      <c r="EY70" s="19"/>
      <c r="EZ70" s="19"/>
      <c r="FA70" s="19"/>
      <c r="FB70" s="19"/>
      <c r="FC70" s="19"/>
      <c r="FD70" s="19"/>
      <c r="FE70" s="19"/>
      <c r="FF70" s="19"/>
      <c r="FG70" s="19"/>
      <c r="FH70" s="19"/>
      <c r="FI70" s="19"/>
      <c r="FJ70" s="19"/>
      <c r="FK70" s="19"/>
      <c r="FL70" s="19"/>
      <c r="FM70" s="19"/>
      <c r="FN70" s="19"/>
      <c r="FO70" s="19"/>
      <c r="FP70" s="19"/>
      <c r="FQ70" s="19"/>
      <c r="FR70" s="19"/>
      <c r="FS70" s="19"/>
      <c r="FT70" s="19"/>
      <c r="FU70" s="19"/>
      <c r="FV70" s="19"/>
      <c r="FW70" s="19"/>
      <c r="FX70" s="19"/>
      <c r="FY70" s="19"/>
      <c r="FZ70" s="19"/>
      <c r="GA70" s="19"/>
      <c r="GB70" s="19"/>
      <c r="GC70" s="19"/>
      <c r="GD70" s="19"/>
      <c r="GE70" s="19"/>
      <c r="GF70" s="19"/>
      <c r="GG70" s="19"/>
      <c r="GH70" s="19"/>
      <c r="GI70" s="19"/>
      <c r="GJ70" s="19"/>
      <c r="GK70" s="19"/>
      <c r="GL70" s="19"/>
      <c r="GM70" s="19"/>
      <c r="GN70" s="19"/>
      <c r="GO70" s="19"/>
      <c r="GP70" s="19"/>
      <c r="GQ70" s="19"/>
      <c r="GR70" s="19"/>
      <c r="GS70" s="19"/>
      <c r="GT70" s="19"/>
      <c r="GU70" s="19"/>
      <c r="GV70" s="19"/>
      <c r="GW70" s="19"/>
      <c r="GX70" s="19"/>
      <c r="GY70" s="19"/>
      <c r="GZ70" s="19"/>
      <c r="HA70" s="19"/>
      <c r="HB70" s="19"/>
    </row>
    <row r="71" spans="1:210" x14ac:dyDescent="0.25">
      <c r="A71" s="113">
        <f t="shared" si="5"/>
        <v>59</v>
      </c>
      <c r="B71" s="163"/>
      <c r="C71" s="172" t="str">
        <f t="shared" si="7"/>
        <v>RTH at 59 °C</v>
      </c>
      <c r="D71" s="196">
        <f t="shared" si="6"/>
        <v>2</v>
      </c>
      <c r="E71" s="197">
        <v>3.048</v>
      </c>
      <c r="F71" s="198">
        <v>3.1160000000000001</v>
      </c>
      <c r="G71" s="199">
        <v>3.1840000000000002</v>
      </c>
      <c r="H71" s="128" t="s">
        <v>18</v>
      </c>
      <c r="I71" s="29"/>
      <c r="J71" s="29">
        <v>3.1840000000000002</v>
      </c>
      <c r="K71" s="29">
        <v>3.1160000000000001</v>
      </c>
      <c r="L71" s="29">
        <v>3.048</v>
      </c>
      <c r="M71" s="29"/>
      <c r="N71" s="29"/>
      <c r="O71" s="29"/>
      <c r="P71" s="29"/>
      <c r="Q71" s="29"/>
      <c r="R71" s="29"/>
      <c r="S71" s="29"/>
      <c r="T71" s="29"/>
      <c r="U71" s="29"/>
      <c r="V71" s="29"/>
      <c r="W71" s="29"/>
      <c r="X71" s="29"/>
      <c r="Y71" s="30"/>
      <c r="Z71" s="18"/>
      <c r="AA71" s="19"/>
      <c r="AB71" s="19"/>
      <c r="AC71" s="20">
        <f t="shared" si="8"/>
        <v>59</v>
      </c>
      <c r="AD71" s="20">
        <f t="shared" si="9"/>
        <v>3.048</v>
      </c>
      <c r="AE71" s="20">
        <f t="shared" si="10"/>
        <v>3.1160000000000001</v>
      </c>
      <c r="AF71" s="20">
        <f t="shared" si="11"/>
        <v>3.1840000000000002</v>
      </c>
      <c r="AG71" s="20">
        <f>Table9[[#This Row],[RTH(min) (kΩ)]]*RT2_TH_MIN/(RT2_TH_MIN+Table9[[#This Row],[RTH(min) (kΩ)]])</f>
        <v>2.7708658909830426</v>
      </c>
      <c r="AH71" s="20">
        <f>Table9[[#This Row],[RTH(nom) (kΩ)]]*RT2_TH_S/(RT2_TH_S+Table9[[#This Row],[RTH(nom) (kΩ)]])</f>
        <v>2.827210985515817</v>
      </c>
      <c r="AI71" s="20">
        <f>Table9[[#This Row],[RTH(max) (kΩ)]]*RT2_TH_S_MAX/(RT2_TH_S_MAX+Table9[[#This Row],[RTH(max) (kΩ)]])</f>
        <v>2.8833499144178956</v>
      </c>
      <c r="AJ71" s="20">
        <f>Table9[[#This Row],[RLower(min) (kΩ)]]/(Table9[[#This Row],[RLower(min) (kΩ)]]+RT1_TH_S_MAX)*100</f>
        <v>34.59651322396364</v>
      </c>
      <c r="AK71" s="20">
        <f>Table9[[#This Row],[RLower(nom) (kΩ)]]/(Table9[[#This Row],[RLower(nom) (kΩ)]]+RT1_TH_S)*100</f>
        <v>35.076179717322717</v>
      </c>
      <c r="AL71" s="20">
        <f>Table9[[#This Row],[RLower(max) (kΩ)]]/(Table9[[#This Row],[RLower(max) (kΩ)]]+RT1_TH_S_MIN)*100</f>
        <v>35.548162957558937</v>
      </c>
      <c r="AM71" s="20">
        <f>IF(Table9[[#This Row],[Vmin (%)]]&lt;$BA$14, 0, IF(Table9[[#This Row],[Vmin (%)]]&lt;$BA$12, 4, IF(Table9[[#This Row],[Vmin (%)]]&lt;$BA$9, 3, IF(Table9[[#This Row],[Vmin (%)]]&lt;$BA$7, 2, 0))))</f>
        <v>4</v>
      </c>
      <c r="AN71" s="20">
        <f>IF(Table9[[#This Row],[Vmin (%)]]&lt;$BA$13, 0, IF(Table9[[#This Row],[Vmin (%)]]&lt;$BA$11, 4, IF(Table9[[#This Row],[Vmin (%)]]&lt;$BA$10, 3, IF(Table9[[#This Row],[Vmin (%)]]&lt;$BA$8, 2, 0))))</f>
        <v>0</v>
      </c>
      <c r="AO71" s="76" t="str">
        <f>IF(Table9[[#This Row],[Vmin (%)]]&lt;$BA$14, "Hot", IF(Table9[[#This Row],[Vmin (%)]]&lt;$BA$12, "Warm", IF(Table9[[#This Row],[Vmin (%)]]&lt;$BA$9, "Normal", IF(Table9[[#This Row],[Vmin (%)]]&lt;$BA$7, "Cool", "Cold"))))</f>
        <v>Warm</v>
      </c>
      <c r="AP71" s="19"/>
      <c r="AQ71" s="19"/>
      <c r="AR71" s="19"/>
      <c r="AS71" s="19"/>
      <c r="AT71" s="19"/>
      <c r="AU71" s="19"/>
      <c r="AV71" s="19"/>
      <c r="AW71" s="19"/>
      <c r="AX71" s="19"/>
      <c r="AY71" s="19"/>
      <c r="AZ71" s="19"/>
      <c r="BA71" s="19"/>
      <c r="BB71" s="19"/>
      <c r="BC71" s="19"/>
      <c r="BD71" s="19"/>
      <c r="BE71" s="19"/>
      <c r="BF71" s="19"/>
      <c r="BG71" s="19"/>
      <c r="BH71" s="19"/>
      <c r="BI71" s="19"/>
      <c r="BJ71" s="19"/>
      <c r="BK71" s="19"/>
      <c r="BL71" s="19"/>
      <c r="BM71" s="19"/>
      <c r="BN71" s="19"/>
      <c r="BO71" s="19"/>
      <c r="BP71" s="19"/>
      <c r="BQ71" s="19"/>
      <c r="BR71" s="19"/>
      <c r="BS71" s="19"/>
      <c r="BT71" s="19"/>
      <c r="BU71" s="19"/>
      <c r="BV71" s="19"/>
      <c r="BW71" s="19"/>
      <c r="BX71" s="19"/>
      <c r="BY71" s="19"/>
      <c r="BZ71" s="19"/>
      <c r="CA71" s="19"/>
      <c r="CB71" s="19"/>
      <c r="CC71" s="19"/>
      <c r="CD71" s="19"/>
      <c r="CE71" s="19"/>
      <c r="CF71" s="19"/>
      <c r="CG71" s="19"/>
      <c r="CH71" s="19"/>
      <c r="CI71" s="19"/>
      <c r="CJ71" s="19"/>
      <c r="CK71" s="19"/>
      <c r="CL71" s="19"/>
      <c r="CM71" s="19"/>
      <c r="CN71" s="19"/>
      <c r="CO71" s="19"/>
      <c r="CP71" s="19"/>
      <c r="CQ71" s="19"/>
      <c r="CR71" s="19"/>
      <c r="CS71" s="19"/>
      <c r="CT71" s="19"/>
      <c r="CU71" s="19"/>
      <c r="CV71" s="19"/>
      <c r="CW71" s="19"/>
      <c r="CX71" s="19"/>
      <c r="CY71" s="19"/>
      <c r="CZ71" s="19"/>
      <c r="DA71" s="19"/>
      <c r="DB71" s="19"/>
      <c r="DC71" s="19"/>
      <c r="DD71" s="19"/>
      <c r="DE71" s="19"/>
      <c r="DF71" s="19"/>
      <c r="DG71" s="19"/>
      <c r="DH71" s="19"/>
      <c r="DI71" s="19"/>
      <c r="DJ71" s="19"/>
      <c r="DK71" s="19"/>
      <c r="DL71" s="19"/>
      <c r="DM71" s="19"/>
      <c r="DN71" s="19"/>
      <c r="DO71" s="19"/>
      <c r="DP71" s="19"/>
      <c r="DQ71" s="19"/>
      <c r="DR71" s="19"/>
      <c r="DS71" s="19"/>
      <c r="DT71" s="19"/>
      <c r="DU71" s="19"/>
      <c r="DV71" s="19"/>
      <c r="DW71" s="19"/>
      <c r="DX71" s="19"/>
      <c r="DY71" s="19"/>
      <c r="DZ71" s="19"/>
      <c r="EA71" s="19"/>
      <c r="EB71" s="19"/>
      <c r="EC71" s="19"/>
      <c r="ED71" s="19"/>
      <c r="EE71" s="19"/>
      <c r="EF71" s="19"/>
      <c r="EG71" s="19"/>
      <c r="EH71" s="19"/>
      <c r="EI71" s="19"/>
      <c r="EJ71" s="19"/>
      <c r="EK71" s="19"/>
      <c r="EL71" s="19"/>
      <c r="EM71" s="19"/>
      <c r="EN71" s="19"/>
      <c r="EO71" s="19"/>
      <c r="EP71" s="19"/>
      <c r="EQ71" s="19"/>
      <c r="ER71" s="19"/>
      <c r="ES71" s="19"/>
      <c r="ET71" s="19"/>
      <c r="EU71" s="19"/>
      <c r="EV71" s="19"/>
      <c r="EW71" s="19"/>
      <c r="EX71" s="19"/>
      <c r="EY71" s="19"/>
      <c r="EZ71" s="19"/>
      <c r="FA71" s="19"/>
      <c r="FB71" s="19"/>
      <c r="FC71" s="19"/>
      <c r="FD71" s="19"/>
      <c r="FE71" s="19"/>
      <c r="FF71" s="19"/>
      <c r="FG71" s="19"/>
      <c r="FH71" s="19"/>
      <c r="FI71" s="19"/>
      <c r="FJ71" s="19"/>
      <c r="FK71" s="19"/>
      <c r="FL71" s="19"/>
      <c r="FM71" s="19"/>
      <c r="FN71" s="19"/>
      <c r="FO71" s="19"/>
      <c r="FP71" s="19"/>
      <c r="FQ71" s="19"/>
      <c r="FR71" s="19"/>
      <c r="FS71" s="19"/>
      <c r="FT71" s="19"/>
      <c r="FU71" s="19"/>
      <c r="FV71" s="19"/>
      <c r="FW71" s="19"/>
      <c r="FX71" s="19"/>
      <c r="FY71" s="19"/>
      <c r="FZ71" s="19"/>
      <c r="GA71" s="19"/>
      <c r="GB71" s="19"/>
      <c r="GC71" s="19"/>
      <c r="GD71" s="19"/>
      <c r="GE71" s="19"/>
      <c r="GF71" s="19"/>
      <c r="GG71" s="19"/>
      <c r="GH71" s="19"/>
      <c r="GI71" s="19"/>
      <c r="GJ71" s="19"/>
      <c r="GK71" s="19"/>
      <c r="GL71" s="19"/>
      <c r="GM71" s="19"/>
      <c r="GN71" s="19"/>
      <c r="GO71" s="19"/>
      <c r="GP71" s="19"/>
      <c r="GQ71" s="19"/>
      <c r="GR71" s="19"/>
      <c r="GS71" s="19"/>
      <c r="GT71" s="19"/>
      <c r="GU71" s="19"/>
      <c r="GV71" s="19"/>
      <c r="GW71" s="19"/>
      <c r="GX71" s="19"/>
      <c r="GY71" s="19"/>
      <c r="GZ71" s="19"/>
      <c r="HA71" s="19"/>
      <c r="HB71" s="19"/>
    </row>
    <row r="72" spans="1:210" x14ac:dyDescent="0.25">
      <c r="A72" s="113">
        <f t="shared" si="5"/>
        <v>58</v>
      </c>
      <c r="B72" s="163"/>
      <c r="C72" s="172" t="str">
        <f t="shared" si="7"/>
        <v>RTH at 58 °C</v>
      </c>
      <c r="D72" s="196">
        <f t="shared" si="6"/>
        <v>1.9705882352941178</v>
      </c>
      <c r="E72" s="197">
        <v>3.1459999999999999</v>
      </c>
      <c r="F72" s="198">
        <v>3.2149999999999999</v>
      </c>
      <c r="G72" s="199">
        <v>3.2839999999999998</v>
      </c>
      <c r="H72" s="128" t="s">
        <v>18</v>
      </c>
      <c r="I72" s="29"/>
      <c r="J72" s="29">
        <v>3.2839999999999998</v>
      </c>
      <c r="K72" s="29">
        <v>3.2149999999999999</v>
      </c>
      <c r="L72" s="29">
        <v>3.1459999999999999</v>
      </c>
      <c r="M72" s="29"/>
      <c r="N72" s="29"/>
      <c r="O72" s="29"/>
      <c r="P72" s="29"/>
      <c r="Q72" s="29"/>
      <c r="R72" s="29"/>
      <c r="S72" s="29"/>
      <c r="T72" s="29"/>
      <c r="U72" s="29"/>
      <c r="V72" s="29"/>
      <c r="W72" s="29"/>
      <c r="X72" s="29"/>
      <c r="Y72" s="30"/>
      <c r="Z72" s="18"/>
      <c r="AA72" s="19"/>
      <c r="AB72" s="19"/>
      <c r="AC72" s="20">
        <f t="shared" si="8"/>
        <v>58</v>
      </c>
      <c r="AD72" s="20">
        <f t="shared" si="9"/>
        <v>3.1459999999999999</v>
      </c>
      <c r="AE72" s="20">
        <f t="shared" si="10"/>
        <v>3.2149999999999999</v>
      </c>
      <c r="AF72" s="20">
        <f t="shared" si="11"/>
        <v>3.2839999999999998</v>
      </c>
      <c r="AG72" s="20">
        <f>Table9[[#This Row],[RTH(min) (kΩ)]]*RT2_TH_MIN/(RT2_TH_MIN+Table9[[#This Row],[RTH(min) (kΩ)]])</f>
        <v>2.8516190285578893</v>
      </c>
      <c r="AH72" s="20">
        <f>Table9[[#This Row],[RTH(nom) (kΩ)]]*RT2_TH_S/(RT2_TH_S+Table9[[#This Row],[RTH(nom) (kΩ)]])</f>
        <v>2.9084715448281329</v>
      </c>
      <c r="AI72" s="20">
        <f>Table9[[#This Row],[RTH(max) (kΩ)]]*RT2_TH_S_MAX/(RT2_TH_S_MAX+Table9[[#This Row],[RTH(max) (kΩ)]])</f>
        <v>2.9651139910858406</v>
      </c>
      <c r="AJ72" s="20">
        <f>Table9[[#This Row],[RLower(min) (kΩ)]]/(Table9[[#This Row],[RLower(min) (kΩ)]]+RT1_TH_S_MAX)*100</f>
        <v>35.24937344100195</v>
      </c>
      <c r="AK72" s="20">
        <f>Table9[[#This Row],[RLower(nom) (kΩ)]]/(Table9[[#This Row],[RLower(nom) (kΩ)]]+RT1_TH_S)*100</f>
        <v>35.724189313224691</v>
      </c>
      <c r="AL72" s="20">
        <f>Table9[[#This Row],[RLower(max) (kΩ)]]/(Table9[[#This Row],[RLower(max) (kΩ)]]+RT1_TH_S_MIN)*100</f>
        <v>36.191386097250678</v>
      </c>
      <c r="AM72" s="20">
        <f>IF(Table9[[#This Row],[Vmin (%)]]&lt;$BA$14, 0, IF(Table9[[#This Row],[Vmin (%)]]&lt;$BA$12, 4, IF(Table9[[#This Row],[Vmin (%)]]&lt;$BA$9, 3, IF(Table9[[#This Row],[Vmin (%)]]&lt;$BA$7, 2, 0))))</f>
        <v>4</v>
      </c>
      <c r="AN72" s="20">
        <f>IF(Table9[[#This Row],[Vmin (%)]]&lt;$BA$13, 0, IF(Table9[[#This Row],[Vmin (%)]]&lt;$BA$11, 4, IF(Table9[[#This Row],[Vmin (%)]]&lt;$BA$10, 3, IF(Table9[[#This Row],[Vmin (%)]]&lt;$BA$8, 2, 0))))</f>
        <v>0</v>
      </c>
      <c r="AO72" s="76" t="str">
        <f>IF(Table9[[#This Row],[Vmin (%)]]&lt;$BA$14, "Hot", IF(Table9[[#This Row],[Vmin (%)]]&lt;$BA$12, "Warm", IF(Table9[[#This Row],[Vmin (%)]]&lt;$BA$9, "Normal", IF(Table9[[#This Row],[Vmin (%)]]&lt;$BA$7, "Cool", "Cold"))))</f>
        <v>Warm</v>
      </c>
      <c r="AP72" s="19"/>
      <c r="AQ72" s="19"/>
      <c r="AR72" s="19"/>
      <c r="AS72" s="19"/>
      <c r="AT72" s="19"/>
      <c r="AU72" s="19"/>
      <c r="AV72" s="19"/>
      <c r="AW72" s="19"/>
      <c r="AX72" s="19"/>
      <c r="AY72" s="19"/>
      <c r="AZ72" s="19"/>
      <c r="BA72" s="19"/>
      <c r="BB72" s="19"/>
      <c r="BC72" s="19"/>
      <c r="BD72" s="19"/>
      <c r="BE72" s="19"/>
      <c r="BF72" s="19"/>
      <c r="BG72" s="19"/>
      <c r="BH72" s="19"/>
      <c r="BI72" s="19"/>
      <c r="BJ72" s="19"/>
      <c r="BK72" s="19"/>
      <c r="BL72" s="19"/>
      <c r="BM72" s="19"/>
      <c r="BN72" s="19"/>
      <c r="BO72" s="19"/>
      <c r="BP72" s="19"/>
      <c r="BQ72" s="19"/>
      <c r="BR72" s="19"/>
      <c r="BS72" s="19"/>
      <c r="BT72" s="19"/>
      <c r="BU72" s="19"/>
      <c r="BV72" s="19"/>
      <c r="BW72" s="19"/>
      <c r="BX72" s="19"/>
      <c r="BY72" s="19"/>
      <c r="BZ72" s="19"/>
      <c r="CA72" s="19"/>
      <c r="CB72" s="19"/>
      <c r="CC72" s="19"/>
      <c r="CD72" s="19"/>
      <c r="CE72" s="19"/>
      <c r="CF72" s="19"/>
      <c r="CG72" s="19"/>
      <c r="CH72" s="19"/>
      <c r="CI72" s="19"/>
      <c r="CJ72" s="19"/>
      <c r="CK72" s="19"/>
      <c r="CL72" s="19"/>
      <c r="CM72" s="19"/>
      <c r="CN72" s="19"/>
      <c r="CO72" s="19"/>
      <c r="CP72" s="19"/>
      <c r="CQ72" s="19"/>
      <c r="CR72" s="19"/>
      <c r="CS72" s="19"/>
      <c r="CT72" s="19"/>
      <c r="CU72" s="19"/>
      <c r="CV72" s="19"/>
      <c r="CW72" s="19"/>
      <c r="CX72" s="19"/>
      <c r="CY72" s="19"/>
      <c r="CZ72" s="19"/>
      <c r="DA72" s="19"/>
      <c r="DB72" s="19"/>
      <c r="DC72" s="19"/>
      <c r="DD72" s="19"/>
      <c r="DE72" s="19"/>
      <c r="DF72" s="19"/>
      <c r="DG72" s="19"/>
      <c r="DH72" s="19"/>
      <c r="DI72" s="19"/>
      <c r="DJ72" s="19"/>
      <c r="DK72" s="19"/>
      <c r="DL72" s="19"/>
      <c r="DM72" s="19"/>
      <c r="DN72" s="19"/>
      <c r="DO72" s="19"/>
      <c r="DP72" s="19"/>
      <c r="DQ72" s="19"/>
      <c r="DR72" s="19"/>
      <c r="DS72" s="19"/>
      <c r="DT72" s="19"/>
      <c r="DU72" s="19"/>
      <c r="DV72" s="19"/>
      <c r="DW72" s="19"/>
      <c r="DX72" s="19"/>
      <c r="DY72" s="19"/>
      <c r="DZ72" s="19"/>
      <c r="EA72" s="19"/>
      <c r="EB72" s="19"/>
      <c r="EC72" s="19"/>
      <c r="ED72" s="19"/>
      <c r="EE72" s="19"/>
      <c r="EF72" s="19"/>
      <c r="EG72" s="19"/>
      <c r="EH72" s="19"/>
      <c r="EI72" s="19"/>
      <c r="EJ72" s="19"/>
      <c r="EK72" s="19"/>
      <c r="EL72" s="19"/>
      <c r="EM72" s="19"/>
      <c r="EN72" s="19"/>
      <c r="EO72" s="19"/>
      <c r="EP72" s="19"/>
      <c r="EQ72" s="19"/>
      <c r="ER72" s="19"/>
      <c r="ES72" s="19"/>
      <c r="ET72" s="19"/>
      <c r="EU72" s="19"/>
      <c r="EV72" s="19"/>
      <c r="EW72" s="19"/>
      <c r="EX72" s="19"/>
      <c r="EY72" s="19"/>
      <c r="EZ72" s="19"/>
      <c r="FA72" s="19"/>
      <c r="FB72" s="19"/>
      <c r="FC72" s="19"/>
      <c r="FD72" s="19"/>
      <c r="FE72" s="19"/>
      <c r="FF72" s="19"/>
      <c r="FG72" s="19"/>
      <c r="FH72" s="19"/>
      <c r="FI72" s="19"/>
      <c r="FJ72" s="19"/>
      <c r="FK72" s="19"/>
      <c r="FL72" s="19"/>
      <c r="FM72" s="19"/>
      <c r="FN72" s="19"/>
      <c r="FO72" s="19"/>
      <c r="FP72" s="19"/>
      <c r="FQ72" s="19"/>
      <c r="FR72" s="19"/>
      <c r="FS72" s="19"/>
      <c r="FT72" s="19"/>
      <c r="FU72" s="19"/>
      <c r="FV72" s="19"/>
      <c r="FW72" s="19"/>
      <c r="FX72" s="19"/>
      <c r="FY72" s="19"/>
      <c r="FZ72" s="19"/>
      <c r="GA72" s="19"/>
      <c r="GB72" s="19"/>
      <c r="GC72" s="19"/>
      <c r="GD72" s="19"/>
      <c r="GE72" s="19"/>
      <c r="GF72" s="19"/>
      <c r="GG72" s="19"/>
      <c r="GH72" s="19"/>
      <c r="GI72" s="19"/>
      <c r="GJ72" s="19"/>
      <c r="GK72" s="19"/>
      <c r="GL72" s="19"/>
      <c r="GM72" s="19"/>
      <c r="GN72" s="19"/>
      <c r="GO72" s="19"/>
      <c r="GP72" s="19"/>
      <c r="GQ72" s="19"/>
      <c r="GR72" s="19"/>
      <c r="GS72" s="19"/>
      <c r="GT72" s="19"/>
      <c r="GU72" s="19"/>
      <c r="GV72" s="19"/>
      <c r="GW72" s="19"/>
      <c r="GX72" s="19"/>
      <c r="GY72" s="19"/>
      <c r="GZ72" s="19"/>
      <c r="HA72" s="19"/>
      <c r="HB72" s="19"/>
    </row>
    <row r="73" spans="1:210" x14ac:dyDescent="0.25">
      <c r="A73" s="113">
        <f t="shared" si="5"/>
        <v>57</v>
      </c>
      <c r="B73" s="163"/>
      <c r="C73" s="172" t="str">
        <f t="shared" si="7"/>
        <v>RTH at 57 °C</v>
      </c>
      <c r="D73" s="196">
        <f t="shared" si="6"/>
        <v>1.9411764705882353</v>
      </c>
      <c r="E73" s="197">
        <v>3.2480000000000002</v>
      </c>
      <c r="F73" s="198">
        <v>3.3180000000000001</v>
      </c>
      <c r="G73" s="199">
        <v>3.3879999999999999</v>
      </c>
      <c r="H73" s="128" t="s">
        <v>18</v>
      </c>
      <c r="I73" s="29"/>
      <c r="J73" s="29">
        <v>3.3879999999999999</v>
      </c>
      <c r="K73" s="29">
        <v>3.3180000000000001</v>
      </c>
      <c r="L73" s="29">
        <v>3.2480000000000002</v>
      </c>
      <c r="M73" s="29"/>
      <c r="N73" s="29"/>
      <c r="O73" s="29"/>
      <c r="P73" s="29"/>
      <c r="Q73" s="29"/>
      <c r="R73" s="29"/>
      <c r="S73" s="29"/>
      <c r="T73" s="29"/>
      <c r="U73" s="29"/>
      <c r="V73" s="29"/>
      <c r="W73" s="29"/>
      <c r="X73" s="29"/>
      <c r="Y73" s="30"/>
      <c r="Z73" s="18"/>
      <c r="AA73" s="19"/>
      <c r="AB73" s="19"/>
      <c r="AC73" s="20">
        <f t="shared" si="8"/>
        <v>57</v>
      </c>
      <c r="AD73" s="20">
        <f t="shared" si="9"/>
        <v>3.2480000000000002</v>
      </c>
      <c r="AE73" s="20">
        <f t="shared" si="10"/>
        <v>3.3180000000000001</v>
      </c>
      <c r="AF73" s="20">
        <f t="shared" si="11"/>
        <v>3.3879999999999999</v>
      </c>
      <c r="AG73" s="20">
        <f>Table9[[#This Row],[RTH(min) (kΩ)]]*RT2_TH_MIN/(RT2_TH_MIN+Table9[[#This Row],[RTH(min) (kΩ)]])</f>
        <v>2.9351697412052493</v>
      </c>
      <c r="AH73" s="20">
        <f>Table9[[#This Row],[RTH(nom) (kΩ)]]*RT2_TH_S/(RT2_TH_S+Table9[[#This Row],[RTH(nom) (kΩ)]])</f>
        <v>2.9925104449607089</v>
      </c>
      <c r="AI73" s="20">
        <f>Table9[[#This Row],[RTH(max) (kΩ)]]*RT2_TH_S_MAX/(RT2_TH_S_MAX+Table9[[#This Row],[RTH(max) (kΩ)]])</f>
        <v>3.049637276709388</v>
      </c>
      <c r="AJ73" s="20">
        <f>Table9[[#This Row],[RLower(min) (kΩ)]]/(Table9[[#This Row],[RLower(min) (kΩ)]]+RT1_TH_S_MAX)*100</f>
        <v>35.911272411410891</v>
      </c>
      <c r="AK73" s="20">
        <f>Table9[[#This Row],[RLower(nom) (kΩ)]]/(Table9[[#This Row],[RLower(nom) (kΩ)]]+RT1_TH_S)*100</f>
        <v>36.380887068975802</v>
      </c>
      <c r="AL73" s="20">
        <f>Table9[[#This Row],[RLower(max) (kΩ)]]/(Table9[[#This Row],[RLower(max) (kΩ)]]+RT1_TH_S_MIN)*100</f>
        <v>36.84295744505031</v>
      </c>
      <c r="AM73" s="20">
        <f>IF(Table9[[#This Row],[Vmin (%)]]&lt;$BA$14, 0, IF(Table9[[#This Row],[Vmin (%)]]&lt;$BA$12, 4, IF(Table9[[#This Row],[Vmin (%)]]&lt;$BA$9, 3, IF(Table9[[#This Row],[Vmin (%)]]&lt;$BA$7, 2, 0))))</f>
        <v>4</v>
      </c>
      <c r="AN73" s="20">
        <f>IF(Table9[[#This Row],[Vmin (%)]]&lt;$BA$13, 0, IF(Table9[[#This Row],[Vmin (%)]]&lt;$BA$11, 4, IF(Table9[[#This Row],[Vmin (%)]]&lt;$BA$10, 3, IF(Table9[[#This Row],[Vmin (%)]]&lt;$BA$8, 2, 0))))</f>
        <v>4</v>
      </c>
      <c r="AO73" s="76" t="str">
        <f>IF(Table9[[#This Row],[Vmin (%)]]&lt;$BA$14, "Hot", IF(Table9[[#This Row],[Vmin (%)]]&lt;$BA$12, "Warm", IF(Table9[[#This Row],[Vmin (%)]]&lt;$BA$9, "Normal", IF(Table9[[#This Row],[Vmin (%)]]&lt;$BA$7, "Cool", "Cold"))))</f>
        <v>Warm</v>
      </c>
      <c r="AP73" s="19"/>
      <c r="AQ73" s="19"/>
      <c r="AR73" s="19"/>
      <c r="AS73" s="19"/>
      <c r="AT73" s="19"/>
      <c r="AU73" s="19"/>
      <c r="AV73" s="19"/>
      <c r="AW73" s="19"/>
      <c r="AX73" s="19"/>
      <c r="AY73" s="19"/>
      <c r="AZ73" s="19"/>
      <c r="BA73" s="19"/>
      <c r="BB73" s="19"/>
      <c r="BC73" s="19"/>
      <c r="BD73" s="19"/>
      <c r="BE73" s="19"/>
      <c r="BF73" s="19"/>
      <c r="BG73" s="19"/>
      <c r="BH73" s="19"/>
      <c r="BI73" s="19"/>
      <c r="BJ73" s="19"/>
      <c r="BK73" s="19"/>
      <c r="BL73" s="19"/>
      <c r="BM73" s="19"/>
      <c r="BN73" s="19"/>
      <c r="BO73" s="19"/>
      <c r="BP73" s="19"/>
      <c r="BQ73" s="19"/>
      <c r="BR73" s="19"/>
      <c r="BS73" s="19"/>
      <c r="BT73" s="19"/>
      <c r="BU73" s="19"/>
      <c r="BV73" s="19"/>
      <c r="BW73" s="19"/>
      <c r="BX73" s="19"/>
      <c r="BY73" s="19"/>
      <c r="BZ73" s="19"/>
      <c r="CA73" s="19"/>
      <c r="CB73" s="19"/>
      <c r="CC73" s="19"/>
      <c r="CD73" s="19"/>
      <c r="CE73" s="19"/>
      <c r="CF73" s="19"/>
      <c r="CG73" s="19"/>
      <c r="CH73" s="19"/>
      <c r="CI73" s="19"/>
      <c r="CJ73" s="19"/>
      <c r="CK73" s="19"/>
      <c r="CL73" s="19"/>
      <c r="CM73" s="19"/>
      <c r="CN73" s="19"/>
      <c r="CO73" s="19"/>
      <c r="CP73" s="19"/>
      <c r="CQ73" s="19"/>
      <c r="CR73" s="19"/>
      <c r="CS73" s="19"/>
      <c r="CT73" s="19"/>
      <c r="CU73" s="19"/>
      <c r="CV73" s="19"/>
      <c r="CW73" s="19"/>
      <c r="CX73" s="19"/>
      <c r="CY73" s="19"/>
      <c r="CZ73" s="19"/>
      <c r="DA73" s="19"/>
      <c r="DB73" s="19"/>
      <c r="DC73" s="19"/>
      <c r="DD73" s="19"/>
      <c r="DE73" s="19"/>
      <c r="DF73" s="19"/>
      <c r="DG73" s="19"/>
      <c r="DH73" s="19"/>
      <c r="DI73" s="19"/>
      <c r="DJ73" s="19"/>
      <c r="DK73" s="19"/>
      <c r="DL73" s="19"/>
      <c r="DM73" s="19"/>
      <c r="DN73" s="19"/>
      <c r="DO73" s="19"/>
      <c r="DP73" s="19"/>
      <c r="DQ73" s="19"/>
      <c r="DR73" s="19"/>
      <c r="DS73" s="19"/>
      <c r="DT73" s="19"/>
      <c r="DU73" s="19"/>
      <c r="DV73" s="19"/>
      <c r="DW73" s="19"/>
      <c r="DX73" s="19"/>
      <c r="DY73" s="19"/>
      <c r="DZ73" s="19"/>
      <c r="EA73" s="19"/>
      <c r="EB73" s="19"/>
      <c r="EC73" s="19"/>
      <c r="ED73" s="19"/>
      <c r="EE73" s="19"/>
      <c r="EF73" s="19"/>
      <c r="EG73" s="19"/>
      <c r="EH73" s="19"/>
      <c r="EI73" s="19"/>
      <c r="EJ73" s="19"/>
      <c r="EK73" s="19"/>
      <c r="EL73" s="19"/>
      <c r="EM73" s="19"/>
      <c r="EN73" s="19"/>
      <c r="EO73" s="19"/>
      <c r="EP73" s="19"/>
      <c r="EQ73" s="19"/>
      <c r="ER73" s="19"/>
      <c r="ES73" s="19"/>
      <c r="ET73" s="19"/>
      <c r="EU73" s="19"/>
      <c r="EV73" s="19"/>
      <c r="EW73" s="19"/>
      <c r="EX73" s="19"/>
      <c r="EY73" s="19"/>
      <c r="EZ73" s="19"/>
      <c r="FA73" s="19"/>
      <c r="FB73" s="19"/>
      <c r="FC73" s="19"/>
      <c r="FD73" s="19"/>
      <c r="FE73" s="19"/>
      <c r="FF73" s="19"/>
      <c r="FG73" s="19"/>
      <c r="FH73" s="19"/>
      <c r="FI73" s="19"/>
      <c r="FJ73" s="19"/>
      <c r="FK73" s="19"/>
      <c r="FL73" s="19"/>
      <c r="FM73" s="19"/>
      <c r="FN73" s="19"/>
      <c r="FO73" s="19"/>
      <c r="FP73" s="19"/>
      <c r="FQ73" s="19"/>
      <c r="FR73" s="19"/>
      <c r="FS73" s="19"/>
      <c r="FT73" s="19"/>
      <c r="FU73" s="19"/>
      <c r="FV73" s="19"/>
      <c r="FW73" s="19"/>
      <c r="FX73" s="19"/>
      <c r="FY73" s="19"/>
      <c r="FZ73" s="19"/>
      <c r="GA73" s="19"/>
      <c r="GB73" s="19"/>
      <c r="GC73" s="19"/>
      <c r="GD73" s="19"/>
      <c r="GE73" s="19"/>
      <c r="GF73" s="19"/>
      <c r="GG73" s="19"/>
      <c r="GH73" s="19"/>
      <c r="GI73" s="19"/>
      <c r="GJ73" s="19"/>
      <c r="GK73" s="19"/>
      <c r="GL73" s="19"/>
      <c r="GM73" s="19"/>
      <c r="GN73" s="19"/>
      <c r="GO73" s="19"/>
      <c r="GP73" s="19"/>
      <c r="GQ73" s="19"/>
      <c r="GR73" s="19"/>
      <c r="GS73" s="19"/>
      <c r="GT73" s="19"/>
      <c r="GU73" s="19"/>
      <c r="GV73" s="19"/>
      <c r="GW73" s="19"/>
      <c r="GX73" s="19"/>
      <c r="GY73" s="19"/>
      <c r="GZ73" s="19"/>
      <c r="HA73" s="19"/>
      <c r="HB73" s="19"/>
    </row>
    <row r="74" spans="1:210" x14ac:dyDescent="0.25">
      <c r="A74" s="113">
        <f t="shared" si="5"/>
        <v>56</v>
      </c>
      <c r="B74" s="163"/>
      <c r="C74" s="172" t="str">
        <f t="shared" si="7"/>
        <v>RTH at 56 °C</v>
      </c>
      <c r="D74" s="196">
        <f t="shared" si="6"/>
        <v>1.911764705882353</v>
      </c>
      <c r="E74" s="197">
        <v>3.3540000000000001</v>
      </c>
      <c r="F74" s="198">
        <v>3.4249999999999998</v>
      </c>
      <c r="G74" s="199">
        <v>3.496</v>
      </c>
      <c r="H74" s="128" t="s">
        <v>18</v>
      </c>
      <c r="I74" s="29"/>
      <c r="J74" s="29">
        <v>3.496</v>
      </c>
      <c r="K74" s="29">
        <v>3.4249999999999998</v>
      </c>
      <c r="L74" s="29">
        <v>3.3540000000000001</v>
      </c>
      <c r="M74" s="29"/>
      <c r="N74" s="29"/>
      <c r="O74" s="29"/>
      <c r="P74" s="29"/>
      <c r="Q74" s="29"/>
      <c r="R74" s="29"/>
      <c r="S74" s="29"/>
      <c r="T74" s="29"/>
      <c r="U74" s="29"/>
      <c r="V74" s="29"/>
      <c r="W74" s="29"/>
      <c r="X74" s="29"/>
      <c r="Y74" s="30"/>
      <c r="Z74" s="18"/>
      <c r="AA74" s="19"/>
      <c r="AB74" s="19"/>
      <c r="AC74" s="20">
        <f t="shared" si="8"/>
        <v>56</v>
      </c>
      <c r="AD74" s="20">
        <f t="shared" si="9"/>
        <v>3.3540000000000001</v>
      </c>
      <c r="AE74" s="20">
        <f t="shared" si="10"/>
        <v>3.4249999999999998</v>
      </c>
      <c r="AF74" s="20">
        <f t="shared" si="11"/>
        <v>3.496</v>
      </c>
      <c r="AG74" s="20">
        <f>Table9[[#This Row],[RTH(min) (kΩ)]]*RT2_TH_MIN/(RT2_TH_MIN+Table9[[#This Row],[RTH(min) (kΩ)]])</f>
        <v>3.0214630855640476</v>
      </c>
      <c r="AH74" s="20">
        <f>Table9[[#This Row],[RTH(nom) (kΩ)]]*RT2_TH_S/(RT2_TH_S+Table9[[#This Row],[RTH(nom) (kΩ)]])</f>
        <v>3.0792726620771509</v>
      </c>
      <c r="AI74" s="20">
        <f>Table9[[#This Row],[RTH(max) (kΩ)]]*RT2_TH_S_MAX/(RT2_TH_S_MAX+Table9[[#This Row],[RTH(max) (kΩ)]])</f>
        <v>3.1368646712499482</v>
      </c>
      <c r="AJ74" s="20">
        <f>Table9[[#This Row],[RLower(min) (kΩ)]]/(Table9[[#This Row],[RLower(min) (kΩ)]]+RT1_TH_S_MAX)*100</f>
        <v>36.580841426514411</v>
      </c>
      <c r="AK74" s="20">
        <f>Table9[[#This Row],[RLower(nom) (kΩ)]]/(Table9[[#This Row],[RLower(nom) (kΩ)]]+RT1_TH_S)*100</f>
        <v>37.044934242619668</v>
      </c>
      <c r="AL74" s="20">
        <f>Table9[[#This Row],[RLower(max) (kΩ)]]/(Table9[[#This Row],[RLower(max) (kΩ)]]+RT1_TH_S_MIN)*100</f>
        <v>37.501567448507615</v>
      </c>
      <c r="AM74" s="20">
        <f>IF(Table9[[#This Row],[Vmin (%)]]&lt;$BA$14, 0, IF(Table9[[#This Row],[Vmin (%)]]&lt;$BA$12, 4, IF(Table9[[#This Row],[Vmin (%)]]&lt;$BA$9, 3, IF(Table9[[#This Row],[Vmin (%)]]&lt;$BA$7, 2, 0))))</f>
        <v>4</v>
      </c>
      <c r="AN74" s="20">
        <f>IF(Table9[[#This Row],[Vmin (%)]]&lt;$BA$13, 0, IF(Table9[[#This Row],[Vmin (%)]]&lt;$BA$11, 4, IF(Table9[[#This Row],[Vmin (%)]]&lt;$BA$10, 3, IF(Table9[[#This Row],[Vmin (%)]]&lt;$BA$8, 2, 0))))</f>
        <v>4</v>
      </c>
      <c r="AO74" s="76" t="str">
        <f>IF(Table9[[#This Row],[Vmin (%)]]&lt;$BA$14, "Hot", IF(Table9[[#This Row],[Vmin (%)]]&lt;$BA$12, "Warm", IF(Table9[[#This Row],[Vmin (%)]]&lt;$BA$9, "Normal", IF(Table9[[#This Row],[Vmin (%)]]&lt;$BA$7, "Cool", "Cold"))))</f>
        <v>Warm</v>
      </c>
      <c r="AP74" s="19"/>
      <c r="AQ74" s="19"/>
      <c r="AR74" s="19"/>
      <c r="AS74" s="19"/>
      <c r="AT74" s="19"/>
      <c r="AU74" s="19"/>
      <c r="AV74" s="19"/>
      <c r="AW74" s="19"/>
      <c r="AX74" s="19"/>
      <c r="AY74" s="19"/>
      <c r="AZ74" s="19"/>
      <c r="BA74" s="19"/>
      <c r="BB74" s="19"/>
      <c r="BC74" s="19"/>
      <c r="BD74" s="19"/>
      <c r="BE74" s="19"/>
      <c r="BF74" s="19"/>
      <c r="BG74" s="19"/>
      <c r="BH74" s="19"/>
      <c r="BI74" s="19"/>
      <c r="BJ74" s="19"/>
      <c r="BK74" s="19"/>
      <c r="BL74" s="19"/>
      <c r="BM74" s="19"/>
      <c r="BN74" s="19"/>
      <c r="BO74" s="19"/>
      <c r="BP74" s="19"/>
      <c r="BQ74" s="19"/>
      <c r="BR74" s="19"/>
      <c r="BS74" s="19"/>
      <c r="BT74" s="19"/>
      <c r="BU74" s="19"/>
      <c r="BV74" s="19"/>
      <c r="BW74" s="19"/>
      <c r="BX74" s="19"/>
      <c r="BY74" s="19"/>
      <c r="BZ74" s="19"/>
      <c r="CA74" s="19"/>
      <c r="CB74" s="19"/>
      <c r="CC74" s="19"/>
      <c r="CD74" s="19"/>
      <c r="CE74" s="19"/>
      <c r="CF74" s="19"/>
      <c r="CG74" s="19"/>
      <c r="CH74" s="19"/>
      <c r="CI74" s="19"/>
      <c r="CJ74" s="19"/>
      <c r="CK74" s="19"/>
      <c r="CL74" s="19"/>
      <c r="CM74" s="19"/>
      <c r="CN74" s="19"/>
      <c r="CO74" s="19"/>
      <c r="CP74" s="19"/>
      <c r="CQ74" s="19"/>
      <c r="CR74" s="19"/>
      <c r="CS74" s="19"/>
      <c r="CT74" s="19"/>
      <c r="CU74" s="19"/>
      <c r="CV74" s="19"/>
      <c r="CW74" s="19"/>
      <c r="CX74" s="19"/>
      <c r="CY74" s="19"/>
      <c r="CZ74" s="19"/>
      <c r="DA74" s="19"/>
      <c r="DB74" s="19"/>
      <c r="DC74" s="19"/>
      <c r="DD74" s="19"/>
      <c r="DE74" s="19"/>
      <c r="DF74" s="19"/>
      <c r="DG74" s="19"/>
      <c r="DH74" s="19"/>
      <c r="DI74" s="19"/>
      <c r="DJ74" s="19"/>
      <c r="DK74" s="19"/>
      <c r="DL74" s="19"/>
      <c r="DM74" s="19"/>
      <c r="DN74" s="19"/>
      <c r="DO74" s="19"/>
      <c r="DP74" s="19"/>
      <c r="DQ74" s="19"/>
      <c r="DR74" s="19"/>
      <c r="DS74" s="19"/>
      <c r="DT74" s="19"/>
      <c r="DU74" s="19"/>
      <c r="DV74" s="19"/>
      <c r="DW74" s="19"/>
      <c r="DX74" s="19"/>
      <c r="DY74" s="19"/>
      <c r="DZ74" s="19"/>
      <c r="EA74" s="19"/>
      <c r="EB74" s="19"/>
      <c r="EC74" s="19"/>
      <c r="ED74" s="19"/>
      <c r="EE74" s="19"/>
      <c r="EF74" s="19"/>
      <c r="EG74" s="19"/>
      <c r="EH74" s="19"/>
      <c r="EI74" s="19"/>
      <c r="EJ74" s="19"/>
      <c r="EK74" s="19"/>
      <c r="EL74" s="19"/>
      <c r="EM74" s="19"/>
      <c r="EN74" s="19"/>
      <c r="EO74" s="19"/>
      <c r="EP74" s="19"/>
      <c r="EQ74" s="19"/>
      <c r="ER74" s="19"/>
      <c r="ES74" s="19"/>
      <c r="ET74" s="19"/>
      <c r="EU74" s="19"/>
      <c r="EV74" s="19"/>
      <c r="EW74" s="19"/>
      <c r="EX74" s="19"/>
      <c r="EY74" s="19"/>
      <c r="EZ74" s="19"/>
      <c r="FA74" s="19"/>
      <c r="FB74" s="19"/>
      <c r="FC74" s="19"/>
      <c r="FD74" s="19"/>
      <c r="FE74" s="19"/>
      <c r="FF74" s="19"/>
      <c r="FG74" s="19"/>
      <c r="FH74" s="19"/>
      <c r="FI74" s="19"/>
      <c r="FJ74" s="19"/>
      <c r="FK74" s="19"/>
      <c r="FL74" s="19"/>
      <c r="FM74" s="19"/>
      <c r="FN74" s="19"/>
      <c r="FO74" s="19"/>
      <c r="FP74" s="19"/>
      <c r="FQ74" s="19"/>
      <c r="FR74" s="19"/>
      <c r="FS74" s="19"/>
      <c r="FT74" s="19"/>
      <c r="FU74" s="19"/>
      <c r="FV74" s="19"/>
      <c r="FW74" s="19"/>
      <c r="FX74" s="19"/>
      <c r="FY74" s="19"/>
      <c r="FZ74" s="19"/>
      <c r="GA74" s="19"/>
      <c r="GB74" s="19"/>
      <c r="GC74" s="19"/>
      <c r="GD74" s="19"/>
      <c r="GE74" s="19"/>
      <c r="GF74" s="19"/>
      <c r="GG74" s="19"/>
      <c r="GH74" s="19"/>
      <c r="GI74" s="19"/>
      <c r="GJ74" s="19"/>
      <c r="GK74" s="19"/>
      <c r="GL74" s="19"/>
      <c r="GM74" s="19"/>
      <c r="GN74" s="19"/>
      <c r="GO74" s="19"/>
      <c r="GP74" s="19"/>
      <c r="GQ74" s="19"/>
      <c r="GR74" s="19"/>
      <c r="GS74" s="19"/>
      <c r="GT74" s="19"/>
      <c r="GU74" s="19"/>
      <c r="GV74" s="19"/>
      <c r="GW74" s="19"/>
      <c r="GX74" s="19"/>
      <c r="GY74" s="19"/>
      <c r="GZ74" s="19"/>
      <c r="HA74" s="19"/>
      <c r="HB74" s="19"/>
    </row>
    <row r="75" spans="1:210" x14ac:dyDescent="0.25">
      <c r="A75" s="113">
        <f t="shared" si="5"/>
        <v>55</v>
      </c>
      <c r="B75" s="163"/>
      <c r="C75" s="172" t="str">
        <f t="shared" si="7"/>
        <v>RTH at 55 °C</v>
      </c>
      <c r="D75" s="196">
        <f t="shared" si="6"/>
        <v>1.8823529411764706</v>
      </c>
      <c r="E75" s="197">
        <v>3.464</v>
      </c>
      <c r="F75" s="198">
        <v>3.536</v>
      </c>
      <c r="G75" s="199">
        <v>3.609</v>
      </c>
      <c r="H75" s="128" t="s">
        <v>18</v>
      </c>
      <c r="I75" s="29"/>
      <c r="J75" s="29">
        <v>3.609</v>
      </c>
      <c r="K75" s="29">
        <v>3.536</v>
      </c>
      <c r="L75" s="29">
        <v>3.464</v>
      </c>
      <c r="M75" s="29"/>
      <c r="N75" s="29"/>
      <c r="O75" s="29"/>
      <c r="P75" s="29"/>
      <c r="Q75" s="29"/>
      <c r="R75" s="29"/>
      <c r="S75" s="29"/>
      <c r="T75" s="29"/>
      <c r="U75" s="29"/>
      <c r="V75" s="29"/>
      <c r="W75" s="29"/>
      <c r="X75" s="29"/>
      <c r="Y75" s="30"/>
      <c r="Z75" s="18"/>
      <c r="AA75" s="19"/>
      <c r="AB75" s="19"/>
      <c r="AC75" s="20">
        <f t="shared" si="8"/>
        <v>55</v>
      </c>
      <c r="AD75" s="20">
        <f t="shared" si="9"/>
        <v>3.464</v>
      </c>
      <c r="AE75" s="20">
        <f t="shared" si="10"/>
        <v>3.536</v>
      </c>
      <c r="AF75" s="20">
        <f t="shared" si="11"/>
        <v>3.609</v>
      </c>
      <c r="AG75" s="20">
        <f>Table9[[#This Row],[RTH(min) (kΩ)]]*RT2_TH_MIN/(RT2_TH_MIN+Table9[[#This Row],[RTH(min) (kΩ)]])</f>
        <v>3.1104428522662704</v>
      </c>
      <c r="AH75" s="20">
        <f>Table9[[#This Row],[RTH(nom) (kΩ)]]*RT2_TH_S/(RT2_TH_S+Table9[[#This Row],[RTH(nom) (kΩ)]])</f>
        <v>3.1687019312127189</v>
      </c>
      <c r="AI75" s="20">
        <f>Table9[[#This Row],[RTH(max) (kΩ)]]*RT2_TH_S_MAX/(RT2_TH_S_MAX+Table9[[#This Row],[RTH(max) (kΩ)]])</f>
        <v>3.2275396595059109</v>
      </c>
      <c r="AJ75" s="20">
        <f>Table9[[#This Row],[RLower(min) (kΩ)]]/(Table9[[#This Row],[RLower(min) (kΩ)]]+RT1_TH_S_MAX)*100</f>
        <v>37.256760341584936</v>
      </c>
      <c r="AK75" s="20">
        <f>Table9[[#This Row],[RLower(nom) (kΩ)]]/(Table9[[#This Row],[RLower(nom) (kΩ)]]+RT1_TH_S)*100</f>
        <v>37.715040311334313</v>
      </c>
      <c r="AL75" s="20">
        <f>Table9[[#This Row],[RLower(max) (kΩ)]]/(Table9[[#This Row],[RLower(max) (kΩ)]]+RT1_TH_S_MIN)*100</f>
        <v>38.171803407252014</v>
      </c>
      <c r="AM75" s="20">
        <f>IF(Table9[[#This Row],[Vmin (%)]]&lt;$BA$14, 0, IF(Table9[[#This Row],[Vmin (%)]]&lt;$BA$12, 4, IF(Table9[[#This Row],[Vmin (%)]]&lt;$BA$9, 3, IF(Table9[[#This Row],[Vmin (%)]]&lt;$BA$7, 2, 0))))</f>
        <v>4</v>
      </c>
      <c r="AN75" s="20">
        <f>IF(Table9[[#This Row],[Vmin (%)]]&lt;$BA$13, 0, IF(Table9[[#This Row],[Vmin (%)]]&lt;$BA$11, 4, IF(Table9[[#This Row],[Vmin (%)]]&lt;$BA$10, 3, IF(Table9[[#This Row],[Vmin (%)]]&lt;$BA$8, 2, 0))))</f>
        <v>4</v>
      </c>
      <c r="AO75" s="76" t="str">
        <f>IF(Table9[[#This Row],[Vmin (%)]]&lt;$BA$14, "Hot", IF(Table9[[#This Row],[Vmin (%)]]&lt;$BA$12, "Warm", IF(Table9[[#This Row],[Vmin (%)]]&lt;$BA$9, "Normal", IF(Table9[[#This Row],[Vmin (%)]]&lt;$BA$7, "Cool", "Cold"))))</f>
        <v>Warm</v>
      </c>
      <c r="AP75" s="19"/>
      <c r="AQ75" s="19"/>
      <c r="AR75" s="19"/>
      <c r="AS75" s="19"/>
      <c r="AT75" s="19"/>
      <c r="AU75" s="19"/>
      <c r="AV75" s="19"/>
      <c r="AW75" s="19"/>
      <c r="AX75" s="19"/>
      <c r="AY75" s="19"/>
      <c r="AZ75" s="19"/>
      <c r="BA75" s="19"/>
      <c r="BB75" s="19"/>
      <c r="BC75" s="19"/>
      <c r="BD75" s="19"/>
      <c r="BE75" s="19"/>
      <c r="BF75" s="19"/>
      <c r="BG75" s="19"/>
      <c r="BH75" s="19"/>
      <c r="BI75" s="19"/>
      <c r="BJ75" s="19"/>
      <c r="BK75" s="19"/>
      <c r="BL75" s="19"/>
      <c r="BM75" s="19"/>
      <c r="BN75" s="19"/>
      <c r="BO75" s="19"/>
      <c r="BP75" s="19"/>
      <c r="BQ75" s="19"/>
      <c r="BR75" s="19"/>
      <c r="BS75" s="19"/>
      <c r="BT75" s="19"/>
      <c r="BU75" s="19"/>
      <c r="BV75" s="19"/>
      <c r="BW75" s="19"/>
      <c r="BX75" s="19"/>
      <c r="BY75" s="19"/>
      <c r="BZ75" s="19"/>
      <c r="CA75" s="19"/>
      <c r="CB75" s="19"/>
      <c r="CC75" s="19"/>
      <c r="CD75" s="19"/>
      <c r="CE75" s="19"/>
      <c r="CF75" s="19"/>
      <c r="CG75" s="19"/>
      <c r="CH75" s="19"/>
      <c r="CI75" s="19"/>
      <c r="CJ75" s="19"/>
      <c r="CK75" s="19"/>
      <c r="CL75" s="19"/>
      <c r="CM75" s="19"/>
      <c r="CN75" s="19"/>
      <c r="CO75" s="19"/>
      <c r="CP75" s="19"/>
      <c r="CQ75" s="19"/>
      <c r="CR75" s="19"/>
      <c r="CS75" s="19"/>
      <c r="CT75" s="19"/>
      <c r="CU75" s="19"/>
      <c r="CV75" s="19"/>
      <c r="CW75" s="19"/>
      <c r="CX75" s="19"/>
      <c r="CY75" s="19"/>
      <c r="CZ75" s="19"/>
      <c r="DA75" s="19"/>
      <c r="DB75" s="19"/>
      <c r="DC75" s="19"/>
      <c r="DD75" s="19"/>
      <c r="DE75" s="19"/>
      <c r="DF75" s="19"/>
      <c r="DG75" s="19"/>
      <c r="DH75" s="19"/>
      <c r="DI75" s="19"/>
      <c r="DJ75" s="19"/>
      <c r="DK75" s="19"/>
      <c r="DL75" s="19"/>
      <c r="DM75" s="19"/>
      <c r="DN75" s="19"/>
      <c r="DO75" s="19"/>
      <c r="DP75" s="19"/>
      <c r="DQ75" s="19"/>
      <c r="DR75" s="19"/>
      <c r="DS75" s="19"/>
      <c r="DT75" s="19"/>
      <c r="DU75" s="19"/>
      <c r="DV75" s="19"/>
      <c r="DW75" s="19"/>
      <c r="DX75" s="19"/>
      <c r="DY75" s="19"/>
      <c r="DZ75" s="19"/>
      <c r="EA75" s="19"/>
      <c r="EB75" s="19"/>
      <c r="EC75" s="19"/>
      <c r="ED75" s="19"/>
      <c r="EE75" s="19"/>
      <c r="EF75" s="19"/>
      <c r="EG75" s="19"/>
      <c r="EH75" s="19"/>
      <c r="EI75" s="19"/>
      <c r="EJ75" s="19"/>
      <c r="EK75" s="19"/>
      <c r="EL75" s="19"/>
      <c r="EM75" s="19"/>
      <c r="EN75" s="19"/>
      <c r="EO75" s="19"/>
      <c r="EP75" s="19"/>
      <c r="EQ75" s="19"/>
      <c r="ER75" s="19"/>
      <c r="ES75" s="19"/>
      <c r="ET75" s="19"/>
      <c r="EU75" s="19"/>
      <c r="EV75" s="19"/>
      <c r="EW75" s="19"/>
      <c r="EX75" s="19"/>
      <c r="EY75" s="19"/>
      <c r="EZ75" s="19"/>
      <c r="FA75" s="19"/>
      <c r="FB75" s="19"/>
      <c r="FC75" s="19"/>
      <c r="FD75" s="19"/>
      <c r="FE75" s="19"/>
      <c r="FF75" s="19"/>
      <c r="FG75" s="19"/>
      <c r="FH75" s="19"/>
      <c r="FI75" s="19"/>
      <c r="FJ75" s="19"/>
      <c r="FK75" s="19"/>
      <c r="FL75" s="19"/>
      <c r="FM75" s="19"/>
      <c r="FN75" s="19"/>
      <c r="FO75" s="19"/>
      <c r="FP75" s="19"/>
      <c r="FQ75" s="19"/>
      <c r="FR75" s="19"/>
      <c r="FS75" s="19"/>
      <c r="FT75" s="19"/>
      <c r="FU75" s="19"/>
      <c r="FV75" s="19"/>
      <c r="FW75" s="19"/>
      <c r="FX75" s="19"/>
      <c r="FY75" s="19"/>
      <c r="FZ75" s="19"/>
      <c r="GA75" s="19"/>
      <c r="GB75" s="19"/>
      <c r="GC75" s="19"/>
      <c r="GD75" s="19"/>
      <c r="GE75" s="19"/>
      <c r="GF75" s="19"/>
      <c r="GG75" s="19"/>
      <c r="GH75" s="19"/>
      <c r="GI75" s="19"/>
      <c r="GJ75" s="19"/>
      <c r="GK75" s="19"/>
      <c r="GL75" s="19"/>
      <c r="GM75" s="19"/>
      <c r="GN75" s="19"/>
      <c r="GO75" s="19"/>
      <c r="GP75" s="19"/>
      <c r="GQ75" s="19"/>
      <c r="GR75" s="19"/>
      <c r="GS75" s="19"/>
      <c r="GT75" s="19"/>
      <c r="GU75" s="19"/>
      <c r="GV75" s="19"/>
      <c r="GW75" s="19"/>
      <c r="GX75" s="19"/>
      <c r="GY75" s="19"/>
      <c r="GZ75" s="19"/>
      <c r="HA75" s="19"/>
      <c r="HB75" s="19"/>
    </row>
    <row r="76" spans="1:210" x14ac:dyDescent="0.25">
      <c r="A76" s="113">
        <f t="shared" si="5"/>
        <v>54</v>
      </c>
      <c r="B76" s="163"/>
      <c r="C76" s="172" t="str">
        <f t="shared" si="7"/>
        <v>RTH at 54 °C</v>
      </c>
      <c r="D76" s="196">
        <f t="shared" si="6"/>
        <v>1.8529411764705883</v>
      </c>
      <c r="E76" s="197">
        <v>3.5779999999999998</v>
      </c>
      <c r="F76" s="198">
        <v>3.6509999999999998</v>
      </c>
      <c r="G76" s="199">
        <v>3.7250000000000001</v>
      </c>
      <c r="H76" s="128" t="s">
        <v>18</v>
      </c>
      <c r="I76" s="29"/>
      <c r="J76" s="29">
        <v>3.7250000000000001</v>
      </c>
      <c r="K76" s="29">
        <v>3.6509999999999998</v>
      </c>
      <c r="L76" s="29">
        <v>3.5779999999999998</v>
      </c>
      <c r="M76" s="29"/>
      <c r="N76" s="29"/>
      <c r="O76" s="29"/>
      <c r="P76" s="29"/>
      <c r="Q76" s="29"/>
      <c r="R76" s="29"/>
      <c r="S76" s="29"/>
      <c r="T76" s="29"/>
      <c r="U76" s="29"/>
      <c r="V76" s="29"/>
      <c r="W76" s="29"/>
      <c r="X76" s="29"/>
      <c r="Y76" s="30"/>
      <c r="Z76" s="18"/>
      <c r="AA76" s="19"/>
      <c r="AB76" s="19"/>
      <c r="AC76" s="20">
        <f t="shared" si="8"/>
        <v>54</v>
      </c>
      <c r="AD76" s="20">
        <f t="shared" si="9"/>
        <v>3.5779999999999998</v>
      </c>
      <c r="AE76" s="20">
        <f t="shared" si="10"/>
        <v>3.6509999999999998</v>
      </c>
      <c r="AF76" s="20">
        <f t="shared" si="11"/>
        <v>3.7250000000000001</v>
      </c>
      <c r="AG76" s="20">
        <f>Table9[[#This Row],[RTH(min) (kΩ)]]*RT2_TH_MIN/(RT2_TH_MIN+Table9[[#This Row],[RTH(min) (kΩ)]])</f>
        <v>3.2020516516673805</v>
      </c>
      <c r="AH76" s="20">
        <f>Table9[[#This Row],[RTH(nom) (kΩ)]]*RT2_TH_S/(RT2_TH_S+Table9[[#This Row],[RTH(nom) (kΩ)]])</f>
        <v>3.2607408316056965</v>
      </c>
      <c r="AI76" s="20">
        <f>Table9[[#This Row],[RTH(max) (kΩ)]]*RT2_TH_S_MAX/(RT2_TH_S_MAX+Table9[[#This Row],[RTH(max) (kΩ)]])</f>
        <v>3.3199997838209736</v>
      </c>
      <c r="AJ76" s="20">
        <f>Table9[[#This Row],[RLower(min) (kΩ)]]/(Table9[[#This Row],[RLower(min) (kΩ)]]+RT1_TH_S_MAX)*100</f>
        <v>37.937760939066131</v>
      </c>
      <c r="AK76" s="20">
        <f>Table9[[#This Row],[RLower(nom) (kΩ)]]/(Table9[[#This Row],[RLower(nom) (kΩ)]]+RT1_TH_S)*100</f>
        <v>38.389966152569968</v>
      </c>
      <c r="AL76" s="20">
        <f>Table9[[#This Row],[RLower(max) (kΩ)]]/(Table9[[#This Row],[RLower(max) (kΩ)]]+RT1_TH_S_MIN)*100</f>
        <v>38.84059196954059</v>
      </c>
      <c r="AM76" s="20">
        <f>IF(Table9[[#This Row],[Vmin (%)]]&lt;$BA$14, 0, IF(Table9[[#This Row],[Vmin (%)]]&lt;$BA$12, 4, IF(Table9[[#This Row],[Vmin (%)]]&lt;$BA$9, 3, IF(Table9[[#This Row],[Vmin (%)]]&lt;$BA$7, 2, 0))))</f>
        <v>4</v>
      </c>
      <c r="AN76" s="20">
        <f>IF(Table9[[#This Row],[Vmin (%)]]&lt;$BA$13, 0, IF(Table9[[#This Row],[Vmin (%)]]&lt;$BA$11, 4, IF(Table9[[#This Row],[Vmin (%)]]&lt;$BA$10, 3, IF(Table9[[#This Row],[Vmin (%)]]&lt;$BA$8, 2, 0))))</f>
        <v>4</v>
      </c>
      <c r="AO76" s="76" t="str">
        <f>IF(Table9[[#This Row],[Vmin (%)]]&lt;$BA$14, "Hot", IF(Table9[[#This Row],[Vmin (%)]]&lt;$BA$12, "Warm", IF(Table9[[#This Row],[Vmin (%)]]&lt;$BA$9, "Normal", IF(Table9[[#This Row],[Vmin (%)]]&lt;$BA$7, "Cool", "Cold"))))</f>
        <v>Warm</v>
      </c>
      <c r="AP76" s="19"/>
      <c r="AQ76" s="19"/>
      <c r="AR76" s="19"/>
      <c r="AS76" s="19"/>
      <c r="AT76" s="19"/>
      <c r="AU76" s="19"/>
      <c r="AV76" s="19"/>
      <c r="AW76" s="19"/>
      <c r="AX76" s="19"/>
      <c r="AY76" s="19"/>
      <c r="AZ76" s="19"/>
      <c r="BA76" s="19"/>
      <c r="BB76" s="19"/>
      <c r="BC76" s="19"/>
      <c r="BD76" s="19"/>
      <c r="BE76" s="19"/>
      <c r="BF76" s="19"/>
      <c r="BG76" s="19"/>
      <c r="BH76" s="19"/>
      <c r="BI76" s="19"/>
      <c r="BJ76" s="19"/>
      <c r="BK76" s="19"/>
      <c r="BL76" s="19"/>
      <c r="BM76" s="19"/>
      <c r="BN76" s="19"/>
      <c r="BO76" s="19"/>
      <c r="BP76" s="19"/>
      <c r="BQ76" s="19"/>
      <c r="BR76" s="19"/>
      <c r="BS76" s="19"/>
      <c r="BT76" s="19"/>
      <c r="BU76" s="19"/>
      <c r="BV76" s="19"/>
      <c r="BW76" s="19"/>
      <c r="BX76" s="19"/>
      <c r="BY76" s="19"/>
      <c r="BZ76" s="19"/>
      <c r="CA76" s="19"/>
      <c r="CB76" s="19"/>
      <c r="CC76" s="19"/>
      <c r="CD76" s="19"/>
      <c r="CE76" s="19"/>
      <c r="CF76" s="19"/>
      <c r="CG76" s="19"/>
      <c r="CH76" s="19"/>
      <c r="CI76" s="19"/>
      <c r="CJ76" s="19"/>
      <c r="CK76" s="19"/>
      <c r="CL76" s="19"/>
      <c r="CM76" s="19"/>
      <c r="CN76" s="19"/>
      <c r="CO76" s="19"/>
      <c r="CP76" s="19"/>
      <c r="CQ76" s="19"/>
      <c r="CR76" s="19"/>
      <c r="CS76" s="19"/>
      <c r="CT76" s="19"/>
      <c r="CU76" s="19"/>
      <c r="CV76" s="19"/>
      <c r="CW76" s="19"/>
      <c r="CX76" s="19"/>
      <c r="CY76" s="19"/>
      <c r="CZ76" s="19"/>
      <c r="DA76" s="19"/>
      <c r="DB76" s="19"/>
      <c r="DC76" s="19"/>
      <c r="DD76" s="19"/>
      <c r="DE76" s="19"/>
      <c r="DF76" s="19"/>
      <c r="DG76" s="19"/>
      <c r="DH76" s="19"/>
      <c r="DI76" s="19"/>
      <c r="DJ76" s="19"/>
      <c r="DK76" s="19"/>
      <c r="DL76" s="19"/>
      <c r="DM76" s="19"/>
      <c r="DN76" s="19"/>
      <c r="DO76" s="19"/>
      <c r="DP76" s="19"/>
      <c r="DQ76" s="19"/>
      <c r="DR76" s="19"/>
      <c r="DS76" s="19"/>
      <c r="DT76" s="19"/>
      <c r="DU76" s="19"/>
      <c r="DV76" s="19"/>
      <c r="DW76" s="19"/>
      <c r="DX76" s="19"/>
      <c r="DY76" s="19"/>
      <c r="DZ76" s="19"/>
      <c r="EA76" s="19"/>
      <c r="EB76" s="19"/>
      <c r="EC76" s="19"/>
      <c r="ED76" s="19"/>
      <c r="EE76" s="19"/>
      <c r="EF76" s="19"/>
      <c r="EG76" s="19"/>
      <c r="EH76" s="19"/>
      <c r="EI76" s="19"/>
      <c r="EJ76" s="19"/>
      <c r="EK76" s="19"/>
      <c r="EL76" s="19"/>
      <c r="EM76" s="19"/>
      <c r="EN76" s="19"/>
      <c r="EO76" s="19"/>
      <c r="EP76" s="19"/>
      <c r="EQ76" s="19"/>
      <c r="ER76" s="19"/>
      <c r="ES76" s="19"/>
      <c r="ET76" s="19"/>
      <c r="EU76" s="19"/>
      <c r="EV76" s="19"/>
      <c r="EW76" s="19"/>
      <c r="EX76" s="19"/>
      <c r="EY76" s="19"/>
      <c r="EZ76" s="19"/>
      <c r="FA76" s="19"/>
      <c r="FB76" s="19"/>
      <c r="FC76" s="19"/>
      <c r="FD76" s="19"/>
      <c r="FE76" s="19"/>
      <c r="FF76" s="19"/>
      <c r="FG76" s="19"/>
      <c r="FH76" s="19"/>
      <c r="FI76" s="19"/>
      <c r="FJ76" s="19"/>
      <c r="FK76" s="19"/>
      <c r="FL76" s="19"/>
      <c r="FM76" s="19"/>
      <c r="FN76" s="19"/>
      <c r="FO76" s="19"/>
      <c r="FP76" s="19"/>
      <c r="FQ76" s="19"/>
      <c r="FR76" s="19"/>
      <c r="FS76" s="19"/>
      <c r="FT76" s="19"/>
      <c r="FU76" s="19"/>
      <c r="FV76" s="19"/>
      <c r="FW76" s="19"/>
      <c r="FX76" s="19"/>
      <c r="FY76" s="19"/>
      <c r="FZ76" s="19"/>
      <c r="GA76" s="19"/>
      <c r="GB76" s="19"/>
      <c r="GC76" s="19"/>
      <c r="GD76" s="19"/>
      <c r="GE76" s="19"/>
      <c r="GF76" s="19"/>
      <c r="GG76" s="19"/>
      <c r="GH76" s="19"/>
      <c r="GI76" s="19"/>
      <c r="GJ76" s="19"/>
      <c r="GK76" s="19"/>
      <c r="GL76" s="19"/>
      <c r="GM76" s="19"/>
      <c r="GN76" s="19"/>
      <c r="GO76" s="19"/>
      <c r="GP76" s="19"/>
      <c r="GQ76" s="19"/>
      <c r="GR76" s="19"/>
      <c r="GS76" s="19"/>
      <c r="GT76" s="19"/>
      <c r="GU76" s="19"/>
      <c r="GV76" s="19"/>
      <c r="GW76" s="19"/>
      <c r="GX76" s="19"/>
      <c r="GY76" s="19"/>
      <c r="GZ76" s="19"/>
      <c r="HA76" s="19"/>
      <c r="HB76" s="19"/>
    </row>
    <row r="77" spans="1:210" x14ac:dyDescent="0.25">
      <c r="A77" s="113">
        <f t="shared" si="5"/>
        <v>53</v>
      </c>
      <c r="B77" s="163"/>
      <c r="C77" s="172" t="str">
        <f t="shared" si="7"/>
        <v>RTH at 53 °C</v>
      </c>
      <c r="D77" s="196">
        <f t="shared" si="6"/>
        <v>1.8235294117647058</v>
      </c>
      <c r="E77" s="197">
        <v>3.6970000000000001</v>
      </c>
      <c r="F77" s="198">
        <v>3.7709999999999999</v>
      </c>
      <c r="G77" s="199">
        <v>3.8460000000000001</v>
      </c>
      <c r="H77" s="128" t="s">
        <v>18</v>
      </c>
      <c r="I77" s="29"/>
      <c r="J77" s="29">
        <v>3.8460000000000001</v>
      </c>
      <c r="K77" s="29">
        <v>3.7709999999999999</v>
      </c>
      <c r="L77" s="29">
        <v>3.6970000000000001</v>
      </c>
      <c r="M77" s="29"/>
      <c r="N77" s="29"/>
      <c r="O77" s="29"/>
      <c r="P77" s="29"/>
      <c r="Q77" s="29"/>
      <c r="R77" s="29"/>
      <c r="S77" s="29"/>
      <c r="T77" s="29"/>
      <c r="U77" s="29"/>
      <c r="V77" s="29"/>
      <c r="W77" s="29"/>
      <c r="X77" s="29"/>
      <c r="Y77" s="30"/>
      <c r="Z77" s="18"/>
      <c r="AA77" s="19"/>
      <c r="AB77" s="19"/>
      <c r="AC77" s="20">
        <f t="shared" si="8"/>
        <v>53</v>
      </c>
      <c r="AD77" s="20">
        <f t="shared" si="9"/>
        <v>3.6970000000000001</v>
      </c>
      <c r="AE77" s="20">
        <f t="shared" si="10"/>
        <v>3.7709999999999999</v>
      </c>
      <c r="AF77" s="20">
        <f t="shared" si="11"/>
        <v>3.8460000000000001</v>
      </c>
      <c r="AG77" s="20">
        <f>Table9[[#This Row],[RTH(min) (kΩ)]]*RT2_TH_MIN/(RT2_TH_MIN+Table9[[#This Row],[RTH(min) (kΩ)]])</f>
        <v>3.2970263506810316</v>
      </c>
      <c r="AH77" s="20">
        <f>Table9[[#This Row],[RTH(nom) (kΩ)]]*RT2_TH_S/(RT2_TH_S+Table9[[#This Row],[RTH(nom) (kΩ)]])</f>
        <v>3.3561229638905701</v>
      </c>
      <c r="AI77" s="20">
        <f>Table9[[#This Row],[RTH(max) (kΩ)]]*RT2_TH_S_MAX/(RT2_TH_S_MAX+Table9[[#This Row],[RTH(max) (kΩ)]])</f>
        <v>3.4157804418210591</v>
      </c>
      <c r="AJ77" s="20">
        <f>Table9[[#This Row],[RLower(min) (kΩ)]]/(Table9[[#This Row],[RLower(min) (kΩ)]]+RT1_TH_S_MAX)*100</f>
        <v>38.628349045738403</v>
      </c>
      <c r="AK77" s="20">
        <f>Table9[[#This Row],[RLower(nom) (kΩ)]]/(Table9[[#This Row],[RLower(nom) (kΩ)]]+RT1_TH_S)*100</f>
        <v>39.074145722519631</v>
      </c>
      <c r="AL77" s="20">
        <f>Table9[[#This Row],[RLower(max) (kΩ)]]/(Table9[[#This Row],[RLower(max) (kΩ)]]+RT1_TH_S_MIN)*100</f>
        <v>39.518310739229975</v>
      </c>
      <c r="AM77" s="20">
        <f>IF(Table9[[#This Row],[Vmin (%)]]&lt;$BA$14, 0, IF(Table9[[#This Row],[Vmin (%)]]&lt;$BA$12, 4, IF(Table9[[#This Row],[Vmin (%)]]&lt;$BA$9, 3, IF(Table9[[#This Row],[Vmin (%)]]&lt;$BA$7, 2, 0))))</f>
        <v>4</v>
      </c>
      <c r="AN77" s="20">
        <f>IF(Table9[[#This Row],[Vmin (%)]]&lt;$BA$13, 0, IF(Table9[[#This Row],[Vmin (%)]]&lt;$BA$11, 4, IF(Table9[[#This Row],[Vmin (%)]]&lt;$BA$10, 3, IF(Table9[[#This Row],[Vmin (%)]]&lt;$BA$8, 2, 0))))</f>
        <v>4</v>
      </c>
      <c r="AO77" s="76" t="str">
        <f>IF(Table9[[#This Row],[Vmin (%)]]&lt;$BA$14, "Hot", IF(Table9[[#This Row],[Vmin (%)]]&lt;$BA$12, "Warm", IF(Table9[[#This Row],[Vmin (%)]]&lt;$BA$9, "Normal", IF(Table9[[#This Row],[Vmin (%)]]&lt;$BA$7, "Cool", "Cold"))))</f>
        <v>Warm</v>
      </c>
      <c r="AP77" s="19"/>
      <c r="AQ77" s="19"/>
      <c r="AR77" s="19"/>
      <c r="AS77" s="19"/>
      <c r="AT77" s="19"/>
      <c r="AU77" s="19"/>
      <c r="AV77" s="19"/>
      <c r="AW77" s="19"/>
      <c r="AX77" s="19"/>
      <c r="AY77" s="19"/>
      <c r="AZ77" s="19"/>
      <c r="BA77" s="19"/>
      <c r="BB77" s="19"/>
      <c r="BC77" s="19"/>
      <c r="BD77" s="19"/>
      <c r="BE77" s="19"/>
      <c r="BF77" s="19"/>
      <c r="BG77" s="19"/>
      <c r="BH77" s="19"/>
      <c r="BI77" s="19"/>
      <c r="BJ77" s="19"/>
      <c r="BK77" s="19"/>
      <c r="BL77" s="19"/>
      <c r="BM77" s="19"/>
      <c r="BN77" s="19"/>
      <c r="BO77" s="19"/>
      <c r="BP77" s="19"/>
      <c r="BQ77" s="19"/>
      <c r="BR77" s="19"/>
      <c r="BS77" s="19"/>
      <c r="BT77" s="19"/>
      <c r="BU77" s="19"/>
      <c r="BV77" s="19"/>
      <c r="BW77" s="19"/>
      <c r="BX77" s="19"/>
      <c r="BY77" s="19"/>
      <c r="BZ77" s="19"/>
      <c r="CA77" s="19"/>
      <c r="CB77" s="19"/>
      <c r="CC77" s="19"/>
      <c r="CD77" s="19"/>
      <c r="CE77" s="19"/>
      <c r="CF77" s="19"/>
      <c r="CG77" s="19"/>
      <c r="CH77" s="19"/>
      <c r="CI77" s="19"/>
      <c r="CJ77" s="19"/>
      <c r="CK77" s="19"/>
      <c r="CL77" s="19"/>
      <c r="CM77" s="19"/>
      <c r="CN77" s="19"/>
      <c r="CO77" s="19"/>
      <c r="CP77" s="19"/>
      <c r="CQ77" s="19"/>
      <c r="CR77" s="19"/>
      <c r="CS77" s="19"/>
      <c r="CT77" s="19"/>
      <c r="CU77" s="19"/>
      <c r="CV77" s="19"/>
      <c r="CW77" s="19"/>
      <c r="CX77" s="19"/>
      <c r="CY77" s="19"/>
      <c r="CZ77" s="19"/>
      <c r="DA77" s="19"/>
      <c r="DB77" s="19"/>
      <c r="DC77" s="19"/>
      <c r="DD77" s="19"/>
      <c r="DE77" s="19"/>
      <c r="DF77" s="19"/>
      <c r="DG77" s="19"/>
      <c r="DH77" s="19"/>
      <c r="DI77" s="19"/>
      <c r="DJ77" s="19"/>
      <c r="DK77" s="19"/>
      <c r="DL77" s="19"/>
      <c r="DM77" s="19"/>
      <c r="DN77" s="19"/>
      <c r="DO77" s="19"/>
      <c r="DP77" s="19"/>
      <c r="DQ77" s="19"/>
      <c r="DR77" s="19"/>
      <c r="DS77" s="19"/>
      <c r="DT77" s="19"/>
      <c r="DU77" s="19"/>
      <c r="DV77" s="19"/>
      <c r="DW77" s="19"/>
      <c r="DX77" s="19"/>
      <c r="DY77" s="19"/>
      <c r="DZ77" s="19"/>
      <c r="EA77" s="19"/>
      <c r="EB77" s="19"/>
      <c r="EC77" s="19"/>
      <c r="ED77" s="19"/>
      <c r="EE77" s="19"/>
      <c r="EF77" s="19"/>
      <c r="EG77" s="19"/>
      <c r="EH77" s="19"/>
      <c r="EI77" s="19"/>
      <c r="EJ77" s="19"/>
      <c r="EK77" s="19"/>
      <c r="EL77" s="19"/>
      <c r="EM77" s="19"/>
      <c r="EN77" s="19"/>
      <c r="EO77" s="19"/>
      <c r="EP77" s="19"/>
      <c r="EQ77" s="19"/>
      <c r="ER77" s="19"/>
      <c r="ES77" s="19"/>
      <c r="ET77" s="19"/>
      <c r="EU77" s="19"/>
      <c r="EV77" s="19"/>
      <c r="EW77" s="19"/>
      <c r="EX77" s="19"/>
      <c r="EY77" s="19"/>
      <c r="EZ77" s="19"/>
      <c r="FA77" s="19"/>
      <c r="FB77" s="19"/>
      <c r="FC77" s="19"/>
      <c r="FD77" s="19"/>
      <c r="FE77" s="19"/>
      <c r="FF77" s="19"/>
      <c r="FG77" s="19"/>
      <c r="FH77" s="19"/>
      <c r="FI77" s="19"/>
      <c r="FJ77" s="19"/>
      <c r="FK77" s="19"/>
      <c r="FL77" s="19"/>
      <c r="FM77" s="19"/>
      <c r="FN77" s="19"/>
      <c r="FO77" s="19"/>
      <c r="FP77" s="19"/>
      <c r="FQ77" s="19"/>
      <c r="FR77" s="19"/>
      <c r="FS77" s="19"/>
      <c r="FT77" s="19"/>
      <c r="FU77" s="19"/>
      <c r="FV77" s="19"/>
      <c r="FW77" s="19"/>
      <c r="FX77" s="19"/>
      <c r="FY77" s="19"/>
      <c r="FZ77" s="19"/>
      <c r="GA77" s="19"/>
      <c r="GB77" s="19"/>
      <c r="GC77" s="19"/>
      <c r="GD77" s="19"/>
      <c r="GE77" s="19"/>
      <c r="GF77" s="19"/>
      <c r="GG77" s="19"/>
      <c r="GH77" s="19"/>
      <c r="GI77" s="19"/>
      <c r="GJ77" s="19"/>
      <c r="GK77" s="19"/>
      <c r="GL77" s="19"/>
      <c r="GM77" s="19"/>
      <c r="GN77" s="19"/>
      <c r="GO77" s="19"/>
      <c r="GP77" s="19"/>
      <c r="GQ77" s="19"/>
      <c r="GR77" s="19"/>
      <c r="GS77" s="19"/>
      <c r="GT77" s="19"/>
      <c r="GU77" s="19"/>
      <c r="GV77" s="19"/>
      <c r="GW77" s="19"/>
      <c r="GX77" s="19"/>
      <c r="GY77" s="19"/>
      <c r="GZ77" s="19"/>
      <c r="HA77" s="19"/>
      <c r="HB77" s="19"/>
    </row>
    <row r="78" spans="1:210" x14ac:dyDescent="0.25">
      <c r="A78" s="113">
        <f t="shared" si="5"/>
        <v>52</v>
      </c>
      <c r="B78" s="163"/>
      <c r="C78" s="172" t="str">
        <f t="shared" si="7"/>
        <v>RTH at 52 °C</v>
      </c>
      <c r="D78" s="196">
        <f t="shared" si="6"/>
        <v>1.7941176470588236</v>
      </c>
      <c r="E78" s="197">
        <v>3.82</v>
      </c>
      <c r="F78" s="198">
        <v>3.8959999999999999</v>
      </c>
      <c r="G78" s="199">
        <v>3.972</v>
      </c>
      <c r="H78" s="128" t="s">
        <v>18</v>
      </c>
      <c r="I78" s="29"/>
      <c r="J78" s="29">
        <v>3.972</v>
      </c>
      <c r="K78" s="29">
        <v>3.8959999999999999</v>
      </c>
      <c r="L78" s="29">
        <v>3.82</v>
      </c>
      <c r="M78" s="29"/>
      <c r="N78" s="29"/>
      <c r="O78" s="29"/>
      <c r="P78" s="29"/>
      <c r="Q78" s="29"/>
      <c r="R78" s="29"/>
      <c r="S78" s="29"/>
      <c r="T78" s="29"/>
      <c r="U78" s="29"/>
      <c r="V78" s="29"/>
      <c r="W78" s="29"/>
      <c r="X78" s="29"/>
      <c r="Y78" s="30"/>
      <c r="Z78" s="18"/>
      <c r="AA78" s="19"/>
      <c r="AB78" s="19"/>
      <c r="AC78" s="20">
        <f t="shared" si="8"/>
        <v>52</v>
      </c>
      <c r="AD78" s="20">
        <f t="shared" si="9"/>
        <v>3.82</v>
      </c>
      <c r="AE78" s="20">
        <f t="shared" si="10"/>
        <v>3.8959999999999999</v>
      </c>
      <c r="AF78" s="20">
        <f t="shared" si="11"/>
        <v>3.972</v>
      </c>
      <c r="AG78" s="20">
        <f>Table9[[#This Row],[RTH(min) (kΩ)]]*RT2_TH_MIN/(RT2_TH_MIN+Table9[[#This Row],[RTH(min) (kΩ)]])</f>
        <v>3.3945007632916138</v>
      </c>
      <c r="AH78" s="20">
        <f>Table9[[#This Row],[RTH(nom) (kΩ)]]*RT2_TH_S/(RT2_TH_S+Table9[[#This Row],[RTH(nom) (kΩ)]])</f>
        <v>3.4547717525576696</v>
      </c>
      <c r="AI78" s="20">
        <f>Table9[[#This Row],[RTH(max) (kΩ)]]*RT2_TH_S_MAX/(RT2_TH_S_MAX+Table9[[#This Row],[RTH(max) (kΩ)]])</f>
        <v>3.5148050692276911</v>
      </c>
      <c r="AJ78" s="20">
        <f>Table9[[#This Row],[RLower(min) (kΩ)]]/(Table9[[#This Row],[RLower(min) (kΩ)]]+RT1_TH_S_MAX)*100</f>
        <v>39.321312819765289</v>
      </c>
      <c r="AK78" s="20">
        <f>Table9[[#This Row],[RLower(nom) (kΩ)]]/(Table9[[#This Row],[RLower(nom) (kΩ)]]+RT1_TH_S)*100</f>
        <v>39.765953474710429</v>
      </c>
      <c r="AL78" s="20">
        <f>Table9[[#This Row],[RLower(max) (kΩ)]]/(Table9[[#This Row],[RLower(max) (kΩ)]]+RT1_TH_S_MIN)*100</f>
        <v>40.203370325292362</v>
      </c>
      <c r="AM78" s="20">
        <f>IF(Table9[[#This Row],[Vmin (%)]]&lt;$BA$14, 0, IF(Table9[[#This Row],[Vmin (%)]]&lt;$BA$12, 4, IF(Table9[[#This Row],[Vmin (%)]]&lt;$BA$9, 3, IF(Table9[[#This Row],[Vmin (%)]]&lt;$BA$7, 2, 0))))</f>
        <v>4</v>
      </c>
      <c r="AN78" s="20">
        <f>IF(Table9[[#This Row],[Vmin (%)]]&lt;$BA$13, 0, IF(Table9[[#This Row],[Vmin (%)]]&lt;$BA$11, 4, IF(Table9[[#This Row],[Vmin (%)]]&lt;$BA$10, 3, IF(Table9[[#This Row],[Vmin (%)]]&lt;$BA$8, 2, 0))))</f>
        <v>4</v>
      </c>
      <c r="AO78" s="76" t="str">
        <f>IF(Table9[[#This Row],[Vmin (%)]]&lt;$BA$14, "Hot", IF(Table9[[#This Row],[Vmin (%)]]&lt;$BA$12, "Warm", IF(Table9[[#This Row],[Vmin (%)]]&lt;$BA$9, "Normal", IF(Table9[[#This Row],[Vmin (%)]]&lt;$BA$7, "Cool", "Cold"))))</f>
        <v>Warm</v>
      </c>
      <c r="AP78" s="19"/>
      <c r="AQ78" s="19"/>
      <c r="AR78" s="19"/>
      <c r="AS78" s="19"/>
      <c r="AT78" s="19"/>
      <c r="AU78" s="19"/>
      <c r="AV78" s="19"/>
      <c r="AW78" s="19"/>
      <c r="AX78" s="19"/>
      <c r="AY78" s="19"/>
      <c r="AZ78" s="19"/>
      <c r="BA78" s="19"/>
      <c r="BB78" s="19"/>
      <c r="BC78" s="19"/>
      <c r="BD78" s="19"/>
      <c r="BE78" s="19"/>
      <c r="BF78" s="19"/>
      <c r="BG78" s="19"/>
      <c r="BH78" s="19"/>
      <c r="BI78" s="19"/>
      <c r="BJ78" s="19"/>
      <c r="BK78" s="19"/>
      <c r="BL78" s="19"/>
      <c r="BM78" s="19"/>
      <c r="BN78" s="19"/>
      <c r="BO78" s="19"/>
      <c r="BP78" s="19"/>
      <c r="BQ78" s="19"/>
      <c r="BR78" s="19"/>
      <c r="BS78" s="19"/>
      <c r="BT78" s="19"/>
      <c r="BU78" s="19"/>
      <c r="BV78" s="19"/>
      <c r="BW78" s="19"/>
      <c r="BX78" s="19"/>
      <c r="BY78" s="19"/>
      <c r="BZ78" s="19"/>
      <c r="CA78" s="19"/>
      <c r="CB78" s="19"/>
      <c r="CC78" s="19"/>
      <c r="CD78" s="19"/>
      <c r="CE78" s="19"/>
      <c r="CF78" s="19"/>
      <c r="CG78" s="19"/>
      <c r="CH78" s="19"/>
      <c r="CI78" s="19"/>
      <c r="CJ78" s="19"/>
      <c r="CK78" s="19"/>
      <c r="CL78" s="19"/>
      <c r="CM78" s="19"/>
      <c r="CN78" s="19"/>
      <c r="CO78" s="19"/>
      <c r="CP78" s="19"/>
      <c r="CQ78" s="19"/>
      <c r="CR78" s="19"/>
      <c r="CS78" s="19"/>
      <c r="CT78" s="19"/>
      <c r="CU78" s="19"/>
      <c r="CV78" s="19"/>
      <c r="CW78" s="19"/>
      <c r="CX78" s="19"/>
      <c r="CY78" s="19"/>
      <c r="CZ78" s="19"/>
      <c r="DA78" s="19"/>
      <c r="DB78" s="19"/>
      <c r="DC78" s="19"/>
      <c r="DD78" s="19"/>
      <c r="DE78" s="19"/>
      <c r="DF78" s="19"/>
      <c r="DG78" s="19"/>
      <c r="DH78" s="19"/>
      <c r="DI78" s="19"/>
      <c r="DJ78" s="19"/>
      <c r="DK78" s="19"/>
      <c r="DL78" s="19"/>
      <c r="DM78" s="19"/>
      <c r="DN78" s="19"/>
      <c r="DO78" s="19"/>
      <c r="DP78" s="19"/>
      <c r="DQ78" s="19"/>
      <c r="DR78" s="19"/>
      <c r="DS78" s="19"/>
      <c r="DT78" s="19"/>
      <c r="DU78" s="19"/>
      <c r="DV78" s="19"/>
      <c r="DW78" s="19"/>
      <c r="DX78" s="19"/>
      <c r="DY78" s="19"/>
      <c r="DZ78" s="19"/>
      <c r="EA78" s="19"/>
      <c r="EB78" s="19"/>
      <c r="EC78" s="19"/>
      <c r="ED78" s="19"/>
      <c r="EE78" s="19"/>
      <c r="EF78" s="19"/>
      <c r="EG78" s="19"/>
      <c r="EH78" s="19"/>
      <c r="EI78" s="19"/>
      <c r="EJ78" s="19"/>
      <c r="EK78" s="19"/>
      <c r="EL78" s="19"/>
      <c r="EM78" s="19"/>
      <c r="EN78" s="19"/>
      <c r="EO78" s="19"/>
      <c r="EP78" s="19"/>
      <c r="EQ78" s="19"/>
      <c r="ER78" s="19"/>
      <c r="ES78" s="19"/>
      <c r="ET78" s="19"/>
      <c r="EU78" s="19"/>
      <c r="EV78" s="19"/>
      <c r="EW78" s="19"/>
      <c r="EX78" s="19"/>
      <c r="EY78" s="19"/>
      <c r="EZ78" s="19"/>
      <c r="FA78" s="19"/>
      <c r="FB78" s="19"/>
      <c r="FC78" s="19"/>
      <c r="FD78" s="19"/>
      <c r="FE78" s="19"/>
      <c r="FF78" s="19"/>
      <c r="FG78" s="19"/>
      <c r="FH78" s="19"/>
      <c r="FI78" s="19"/>
      <c r="FJ78" s="19"/>
      <c r="FK78" s="19"/>
      <c r="FL78" s="19"/>
      <c r="FM78" s="19"/>
      <c r="FN78" s="19"/>
      <c r="FO78" s="19"/>
      <c r="FP78" s="19"/>
      <c r="FQ78" s="19"/>
      <c r="FR78" s="19"/>
      <c r="FS78" s="19"/>
      <c r="FT78" s="19"/>
      <c r="FU78" s="19"/>
      <c r="FV78" s="19"/>
      <c r="FW78" s="19"/>
      <c r="FX78" s="19"/>
      <c r="FY78" s="19"/>
      <c r="FZ78" s="19"/>
      <c r="GA78" s="19"/>
      <c r="GB78" s="19"/>
      <c r="GC78" s="19"/>
      <c r="GD78" s="19"/>
      <c r="GE78" s="19"/>
      <c r="GF78" s="19"/>
      <c r="GG78" s="19"/>
      <c r="GH78" s="19"/>
      <c r="GI78" s="19"/>
      <c r="GJ78" s="19"/>
      <c r="GK78" s="19"/>
      <c r="GL78" s="19"/>
      <c r="GM78" s="19"/>
      <c r="GN78" s="19"/>
      <c r="GO78" s="19"/>
      <c r="GP78" s="19"/>
      <c r="GQ78" s="19"/>
      <c r="GR78" s="19"/>
      <c r="GS78" s="19"/>
      <c r="GT78" s="19"/>
      <c r="GU78" s="19"/>
      <c r="GV78" s="19"/>
      <c r="GW78" s="19"/>
      <c r="GX78" s="19"/>
      <c r="GY78" s="19"/>
      <c r="GZ78" s="19"/>
      <c r="HA78" s="19"/>
      <c r="HB78" s="19"/>
    </row>
    <row r="79" spans="1:210" x14ac:dyDescent="0.25">
      <c r="A79" s="113">
        <f t="shared" si="5"/>
        <v>51</v>
      </c>
      <c r="B79" s="163"/>
      <c r="C79" s="172" t="str">
        <f t="shared" si="7"/>
        <v>RTH at 51 °C</v>
      </c>
      <c r="D79" s="196">
        <f t="shared" si="6"/>
        <v>1.7647058823529411</v>
      </c>
      <c r="E79" s="197">
        <v>3.9489999999999998</v>
      </c>
      <c r="F79" s="198">
        <v>4.0259999999999998</v>
      </c>
      <c r="G79" s="199">
        <v>4.1029999999999998</v>
      </c>
      <c r="H79" s="128" t="s">
        <v>18</v>
      </c>
      <c r="I79" s="29"/>
      <c r="J79" s="29">
        <v>4.1029999999999998</v>
      </c>
      <c r="K79" s="29">
        <v>4.0259999999999998</v>
      </c>
      <c r="L79" s="29">
        <v>3.9489999999999998</v>
      </c>
      <c r="M79" s="29"/>
      <c r="N79" s="29"/>
      <c r="O79" s="29"/>
      <c r="P79" s="29"/>
      <c r="Q79" s="29"/>
      <c r="R79" s="29"/>
      <c r="S79" s="29"/>
      <c r="T79" s="29"/>
      <c r="U79" s="29"/>
      <c r="V79" s="29"/>
      <c r="W79" s="29"/>
      <c r="X79" s="29"/>
      <c r="Y79" s="30"/>
      <c r="Z79" s="18"/>
      <c r="AA79" s="19"/>
      <c r="AB79" s="19"/>
      <c r="AC79" s="20">
        <f t="shared" si="8"/>
        <v>51</v>
      </c>
      <c r="AD79" s="20">
        <f t="shared" si="9"/>
        <v>3.9489999999999998</v>
      </c>
      <c r="AE79" s="20">
        <f t="shared" si="10"/>
        <v>4.0259999999999998</v>
      </c>
      <c r="AF79" s="20">
        <f t="shared" si="11"/>
        <v>4.1029999999999998</v>
      </c>
      <c r="AG79" s="20">
        <f>Table9[[#This Row],[RTH(min) (kΩ)]]*RT2_TH_MIN/(RT2_TH_MIN+Table9[[#This Row],[RTH(min) (kΩ)]])</f>
        <v>3.4959816537129194</v>
      </c>
      <c r="AH79" s="20">
        <f>Table9[[#This Row],[RTH(nom) (kΩ)]]*RT2_TH_S/(RT2_TH_S+Table9[[#This Row],[RTH(nom) (kΩ)]])</f>
        <v>3.5566088707086201</v>
      </c>
      <c r="AI79" s="20">
        <f>Table9[[#This Row],[RTH(max) (kΩ)]]*RT2_TH_S_MAX/(RT2_TH_S_MAX+Table9[[#This Row],[RTH(max) (kΩ)]])</f>
        <v>3.6169953841406577</v>
      </c>
      <c r="AJ79" s="20">
        <f>Table9[[#This Row],[RLower(min) (kΩ)]]/(Table9[[#This Row],[RLower(min) (kΩ)]]+RT1_TH_S_MAX)*100</f>
        <v>40.026325656824326</v>
      </c>
      <c r="AK79" s="20">
        <f>Table9[[#This Row],[RLower(nom) (kΩ)]]/(Table9[[#This Row],[RLower(nom) (kΩ)]]+RT1_TH_S)*100</f>
        <v>40.463830704672716</v>
      </c>
      <c r="AL79" s="20">
        <f>Table9[[#This Row],[RLower(max) (kΩ)]]/(Table9[[#This Row],[RLower(max) (kΩ)]]+RT1_TH_S_MIN)*100</f>
        <v>40.894247282992708</v>
      </c>
      <c r="AM79" s="20">
        <f>IF(Table9[[#This Row],[Vmin (%)]]&lt;$BA$14, 0, IF(Table9[[#This Row],[Vmin (%)]]&lt;$BA$12, 4, IF(Table9[[#This Row],[Vmin (%)]]&lt;$BA$9, 3, IF(Table9[[#This Row],[Vmin (%)]]&lt;$BA$7, 2, 0))))</f>
        <v>4</v>
      </c>
      <c r="AN79" s="20">
        <f>IF(Table9[[#This Row],[Vmin (%)]]&lt;$BA$13, 0, IF(Table9[[#This Row],[Vmin (%)]]&lt;$BA$11, 4, IF(Table9[[#This Row],[Vmin (%)]]&lt;$BA$10, 3, IF(Table9[[#This Row],[Vmin (%)]]&lt;$BA$8, 2, 0))))</f>
        <v>4</v>
      </c>
      <c r="AO79" s="76" t="str">
        <f>IF(Table9[[#This Row],[Vmin (%)]]&lt;$BA$14, "Hot", IF(Table9[[#This Row],[Vmin (%)]]&lt;$BA$12, "Warm", IF(Table9[[#This Row],[Vmin (%)]]&lt;$BA$9, "Normal", IF(Table9[[#This Row],[Vmin (%)]]&lt;$BA$7, "Cool", "Cold"))))</f>
        <v>Warm</v>
      </c>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19"/>
      <c r="BO79" s="19"/>
      <c r="BP79" s="19"/>
      <c r="BQ79" s="19"/>
      <c r="BR79" s="19"/>
      <c r="BS79" s="19"/>
      <c r="BT79" s="19"/>
      <c r="BU79" s="19"/>
      <c r="BV79" s="19"/>
      <c r="BW79" s="19"/>
      <c r="BX79" s="19"/>
      <c r="BY79" s="19"/>
      <c r="BZ79" s="19"/>
      <c r="CA79" s="19"/>
      <c r="CB79" s="19"/>
      <c r="CC79" s="19"/>
      <c r="CD79" s="19"/>
      <c r="CE79" s="19"/>
      <c r="CF79" s="19"/>
      <c r="CG79" s="19"/>
      <c r="CH79" s="19"/>
      <c r="CI79" s="19"/>
      <c r="CJ79" s="19"/>
      <c r="CK79" s="19"/>
      <c r="CL79" s="19"/>
      <c r="CM79" s="19"/>
      <c r="CN79" s="19"/>
      <c r="CO79" s="19"/>
      <c r="CP79" s="19"/>
      <c r="CQ79" s="19"/>
      <c r="CR79" s="19"/>
      <c r="CS79" s="19"/>
      <c r="CT79" s="19"/>
      <c r="CU79" s="19"/>
      <c r="CV79" s="19"/>
      <c r="CW79" s="19"/>
      <c r="CX79" s="19"/>
      <c r="CY79" s="19"/>
      <c r="CZ79" s="19"/>
      <c r="DA79" s="19"/>
      <c r="DB79" s="19"/>
      <c r="DC79" s="19"/>
      <c r="DD79" s="19"/>
      <c r="DE79" s="19"/>
      <c r="DF79" s="19"/>
      <c r="DG79" s="19"/>
      <c r="DH79" s="19"/>
      <c r="DI79" s="19"/>
      <c r="DJ79" s="19"/>
      <c r="DK79" s="19"/>
      <c r="DL79" s="19"/>
      <c r="DM79" s="19"/>
      <c r="DN79" s="19"/>
      <c r="DO79" s="19"/>
      <c r="DP79" s="19"/>
      <c r="DQ79" s="19"/>
      <c r="DR79" s="19"/>
      <c r="DS79" s="19"/>
      <c r="DT79" s="19"/>
      <c r="DU79" s="19"/>
      <c r="DV79" s="19"/>
      <c r="DW79" s="19"/>
      <c r="DX79" s="19"/>
      <c r="DY79" s="19"/>
      <c r="DZ79" s="19"/>
      <c r="EA79" s="19"/>
      <c r="EB79" s="19"/>
      <c r="EC79" s="19"/>
      <c r="ED79" s="19"/>
      <c r="EE79" s="19"/>
      <c r="EF79" s="19"/>
      <c r="EG79" s="19"/>
      <c r="EH79" s="19"/>
      <c r="EI79" s="19"/>
      <c r="EJ79" s="19"/>
      <c r="EK79" s="19"/>
      <c r="EL79" s="19"/>
      <c r="EM79" s="19"/>
      <c r="EN79" s="19"/>
      <c r="EO79" s="19"/>
      <c r="EP79" s="19"/>
      <c r="EQ79" s="19"/>
      <c r="ER79" s="19"/>
      <c r="ES79" s="19"/>
      <c r="ET79" s="19"/>
      <c r="EU79" s="19"/>
      <c r="EV79" s="19"/>
      <c r="EW79" s="19"/>
      <c r="EX79" s="19"/>
      <c r="EY79" s="19"/>
      <c r="EZ79" s="19"/>
      <c r="FA79" s="19"/>
      <c r="FB79" s="19"/>
      <c r="FC79" s="19"/>
      <c r="FD79" s="19"/>
      <c r="FE79" s="19"/>
      <c r="FF79" s="19"/>
      <c r="FG79" s="19"/>
      <c r="FH79" s="19"/>
      <c r="FI79" s="19"/>
      <c r="FJ79" s="19"/>
      <c r="FK79" s="19"/>
      <c r="FL79" s="19"/>
      <c r="FM79" s="19"/>
      <c r="FN79" s="19"/>
      <c r="FO79" s="19"/>
      <c r="FP79" s="19"/>
      <c r="FQ79" s="19"/>
      <c r="FR79" s="19"/>
      <c r="FS79" s="19"/>
      <c r="FT79" s="19"/>
      <c r="FU79" s="19"/>
      <c r="FV79" s="19"/>
      <c r="FW79" s="19"/>
      <c r="FX79" s="19"/>
      <c r="FY79" s="19"/>
      <c r="FZ79" s="19"/>
      <c r="GA79" s="19"/>
      <c r="GB79" s="19"/>
      <c r="GC79" s="19"/>
      <c r="GD79" s="19"/>
      <c r="GE79" s="19"/>
      <c r="GF79" s="19"/>
      <c r="GG79" s="19"/>
      <c r="GH79" s="19"/>
      <c r="GI79" s="19"/>
      <c r="GJ79" s="19"/>
      <c r="GK79" s="19"/>
      <c r="GL79" s="19"/>
      <c r="GM79" s="19"/>
      <c r="GN79" s="19"/>
      <c r="GO79" s="19"/>
      <c r="GP79" s="19"/>
      <c r="GQ79" s="19"/>
      <c r="GR79" s="19"/>
      <c r="GS79" s="19"/>
      <c r="GT79" s="19"/>
      <c r="GU79" s="19"/>
      <c r="GV79" s="19"/>
      <c r="GW79" s="19"/>
      <c r="GX79" s="19"/>
      <c r="GY79" s="19"/>
      <c r="GZ79" s="19"/>
      <c r="HA79" s="19"/>
      <c r="HB79" s="19"/>
    </row>
    <row r="80" spans="1:210" x14ac:dyDescent="0.25">
      <c r="A80" s="113">
        <f t="shared" si="5"/>
        <v>50</v>
      </c>
      <c r="B80" s="163"/>
      <c r="C80" s="172" t="str">
        <f t="shared" si="7"/>
        <v>RTH at 50 °C</v>
      </c>
      <c r="D80" s="196">
        <f t="shared" si="6"/>
        <v>1.7352941176470589</v>
      </c>
      <c r="E80" s="197">
        <v>4.0819999999999999</v>
      </c>
      <c r="F80" s="198">
        <v>4.16</v>
      </c>
      <c r="G80" s="199">
        <v>4.2389999999999999</v>
      </c>
      <c r="H80" s="128" t="s">
        <v>18</v>
      </c>
      <c r="I80" s="29"/>
      <c r="J80" s="29">
        <v>4.2389999999999999</v>
      </c>
      <c r="K80" s="29">
        <v>4.16</v>
      </c>
      <c r="L80" s="29">
        <v>4.0819999999999999</v>
      </c>
      <c r="M80" s="29"/>
      <c r="N80" s="29"/>
      <c r="O80" s="29"/>
      <c r="P80" s="29"/>
      <c r="Q80" s="29"/>
      <c r="R80" s="29"/>
      <c r="S80" s="29"/>
      <c r="T80" s="29"/>
      <c r="U80" s="29"/>
      <c r="V80" s="29"/>
      <c r="W80" s="29"/>
      <c r="X80" s="29"/>
      <c r="Y80" s="30"/>
      <c r="Z80" s="18"/>
      <c r="AA80" s="19"/>
      <c r="AB80" s="19"/>
      <c r="AC80" s="20">
        <f t="shared" si="8"/>
        <v>50</v>
      </c>
      <c r="AD80" s="20">
        <f t="shared" si="9"/>
        <v>4.0819999999999999</v>
      </c>
      <c r="AE80" s="20">
        <f t="shared" si="10"/>
        <v>4.16</v>
      </c>
      <c r="AF80" s="20">
        <f t="shared" si="11"/>
        <v>4.2389999999999999</v>
      </c>
      <c r="AG80" s="20">
        <f>Table9[[#This Row],[RTH(min) (kΩ)]]*RT2_TH_MIN/(RT2_TH_MIN+Table9[[#This Row],[RTH(min) (kΩ)]])</f>
        <v>3.5998159806985095</v>
      </c>
      <c r="AH80" s="20">
        <f>Table9[[#This Row],[RTH(nom) (kΩ)]]*RT2_TH_S/(RT2_TH_S+Table9[[#This Row],[RTH(nom) (kΩ)]])</f>
        <v>3.6607800153984353</v>
      </c>
      <c r="AI80" s="20">
        <f>Table9[[#This Row],[RTH(max) (kΩ)]]*RT2_TH_S_MAX/(RT2_TH_S_MAX+Table9[[#This Row],[RTH(max) (kΩ)]])</f>
        <v>3.7222715307109859</v>
      </c>
      <c r="AJ80" s="20">
        <f>Table9[[#This Row],[RLower(min) (kΩ)]]/(Table9[[#This Row],[RLower(min) (kΩ)]]+RT1_TH_S_MAX)*100</f>
        <v>40.730930527210518</v>
      </c>
      <c r="AK80" s="20">
        <f>Table9[[#This Row],[RLower(nom) (kΩ)]]/(Table9[[#This Row],[RLower(nom) (kΩ)]]+RT1_TH_S)*100</f>
        <v>41.161167165530948</v>
      </c>
      <c r="AL80" s="20">
        <f>Table9[[#This Row],[RLower(max) (kΩ)]]/(Table9[[#This Row],[RLower(max) (kΩ)]]+RT1_TH_S_MIN)*100</f>
        <v>41.589488092713708</v>
      </c>
      <c r="AM80" s="20">
        <f>IF(Table9[[#This Row],[Vmin (%)]]&lt;$BA$14, 0, IF(Table9[[#This Row],[Vmin (%)]]&lt;$BA$12, 4, IF(Table9[[#This Row],[Vmin (%)]]&lt;$BA$9, 3, IF(Table9[[#This Row],[Vmin (%)]]&lt;$BA$7, 2, 0))))</f>
        <v>4</v>
      </c>
      <c r="AN80" s="20">
        <f>IF(Table9[[#This Row],[Vmin (%)]]&lt;$BA$13, 0, IF(Table9[[#This Row],[Vmin (%)]]&lt;$BA$11, 4, IF(Table9[[#This Row],[Vmin (%)]]&lt;$BA$10, 3, IF(Table9[[#This Row],[Vmin (%)]]&lt;$BA$8, 2, 0))))</f>
        <v>4</v>
      </c>
      <c r="AO80" s="76" t="str">
        <f>IF(Table9[[#This Row],[Vmin (%)]]&lt;$BA$14, "Hot", IF(Table9[[#This Row],[Vmin (%)]]&lt;$BA$12, "Warm", IF(Table9[[#This Row],[Vmin (%)]]&lt;$BA$9, "Normal", IF(Table9[[#This Row],[Vmin (%)]]&lt;$BA$7, "Cool", "Cold"))))</f>
        <v>Warm</v>
      </c>
      <c r="AP80" s="19"/>
      <c r="AQ80" s="19"/>
      <c r="AR80" s="19"/>
      <c r="AS80" s="19"/>
      <c r="AT80" s="19"/>
      <c r="AU80" s="19"/>
      <c r="AV80" s="19"/>
      <c r="AW80" s="19"/>
      <c r="AX80" s="19"/>
      <c r="AY80" s="19"/>
      <c r="AZ80" s="19"/>
      <c r="BA80" s="19"/>
      <c r="BB80" s="19"/>
      <c r="BC80" s="19"/>
      <c r="BD80" s="19"/>
      <c r="BE80" s="19"/>
      <c r="BF80" s="19"/>
      <c r="BG80" s="19"/>
      <c r="BH80" s="19"/>
      <c r="BI80" s="19"/>
      <c r="BJ80" s="19"/>
      <c r="BK80" s="19"/>
      <c r="BL80" s="19"/>
      <c r="BM80" s="19"/>
      <c r="BN80" s="19"/>
      <c r="BO80" s="19"/>
      <c r="BP80" s="19"/>
      <c r="BQ80" s="19"/>
      <c r="BR80" s="19"/>
      <c r="BS80" s="19"/>
      <c r="BT80" s="19"/>
      <c r="BU80" s="19"/>
      <c r="BV80" s="19"/>
      <c r="BW80" s="19"/>
      <c r="BX80" s="19"/>
      <c r="BY80" s="19"/>
      <c r="BZ80" s="19"/>
      <c r="CA80" s="19"/>
      <c r="CB80" s="19"/>
      <c r="CC80" s="19"/>
      <c r="CD80" s="19"/>
      <c r="CE80" s="19"/>
      <c r="CF80" s="19"/>
      <c r="CG80" s="19"/>
      <c r="CH80" s="19"/>
      <c r="CI80" s="19"/>
      <c r="CJ80" s="19"/>
      <c r="CK80" s="19"/>
      <c r="CL80" s="19"/>
      <c r="CM80" s="19"/>
      <c r="CN80" s="19"/>
      <c r="CO80" s="19"/>
      <c r="CP80" s="19"/>
      <c r="CQ80" s="19"/>
      <c r="CR80" s="19"/>
      <c r="CS80" s="19"/>
      <c r="CT80" s="19"/>
      <c r="CU80" s="19"/>
      <c r="CV80" s="19"/>
      <c r="CW80" s="19"/>
      <c r="CX80" s="19"/>
      <c r="CY80" s="19"/>
      <c r="CZ80" s="19"/>
      <c r="DA80" s="19"/>
      <c r="DB80" s="19"/>
      <c r="DC80" s="19"/>
      <c r="DD80" s="19"/>
      <c r="DE80" s="19"/>
      <c r="DF80" s="19"/>
      <c r="DG80" s="19"/>
      <c r="DH80" s="19"/>
      <c r="DI80" s="19"/>
      <c r="DJ80" s="19"/>
      <c r="DK80" s="19"/>
      <c r="DL80" s="19"/>
      <c r="DM80" s="19"/>
      <c r="DN80" s="19"/>
      <c r="DO80" s="19"/>
      <c r="DP80" s="19"/>
      <c r="DQ80" s="19"/>
      <c r="DR80" s="19"/>
      <c r="DS80" s="19"/>
      <c r="DT80" s="19"/>
      <c r="DU80" s="19"/>
      <c r="DV80" s="19"/>
      <c r="DW80" s="19"/>
      <c r="DX80" s="19"/>
      <c r="DY80" s="19"/>
      <c r="DZ80" s="19"/>
      <c r="EA80" s="19"/>
      <c r="EB80" s="19"/>
      <c r="EC80" s="19"/>
      <c r="ED80" s="19"/>
      <c r="EE80" s="19"/>
      <c r="EF80" s="19"/>
      <c r="EG80" s="19"/>
      <c r="EH80" s="19"/>
      <c r="EI80" s="19"/>
      <c r="EJ80" s="19"/>
      <c r="EK80" s="19"/>
      <c r="EL80" s="19"/>
      <c r="EM80" s="19"/>
      <c r="EN80" s="19"/>
      <c r="EO80" s="19"/>
      <c r="EP80" s="19"/>
      <c r="EQ80" s="19"/>
      <c r="ER80" s="19"/>
      <c r="ES80" s="19"/>
      <c r="ET80" s="19"/>
      <c r="EU80" s="19"/>
      <c r="EV80" s="19"/>
      <c r="EW80" s="19"/>
      <c r="EX80" s="19"/>
      <c r="EY80" s="19"/>
      <c r="EZ80" s="19"/>
      <c r="FA80" s="19"/>
      <c r="FB80" s="19"/>
      <c r="FC80" s="19"/>
      <c r="FD80" s="19"/>
      <c r="FE80" s="19"/>
      <c r="FF80" s="19"/>
      <c r="FG80" s="19"/>
      <c r="FH80" s="19"/>
      <c r="FI80" s="19"/>
      <c r="FJ80" s="19"/>
      <c r="FK80" s="19"/>
      <c r="FL80" s="19"/>
      <c r="FM80" s="19"/>
      <c r="FN80" s="19"/>
      <c r="FO80" s="19"/>
      <c r="FP80" s="19"/>
      <c r="FQ80" s="19"/>
      <c r="FR80" s="19"/>
      <c r="FS80" s="19"/>
      <c r="FT80" s="19"/>
      <c r="FU80" s="19"/>
      <c r="FV80" s="19"/>
      <c r="FW80" s="19"/>
      <c r="FX80" s="19"/>
      <c r="FY80" s="19"/>
      <c r="FZ80" s="19"/>
      <c r="GA80" s="19"/>
      <c r="GB80" s="19"/>
      <c r="GC80" s="19"/>
      <c r="GD80" s="19"/>
      <c r="GE80" s="19"/>
      <c r="GF80" s="19"/>
      <c r="GG80" s="19"/>
      <c r="GH80" s="19"/>
      <c r="GI80" s="19"/>
      <c r="GJ80" s="19"/>
      <c r="GK80" s="19"/>
      <c r="GL80" s="19"/>
      <c r="GM80" s="19"/>
      <c r="GN80" s="19"/>
      <c r="GO80" s="19"/>
      <c r="GP80" s="19"/>
      <c r="GQ80" s="19"/>
      <c r="GR80" s="19"/>
      <c r="GS80" s="19"/>
      <c r="GT80" s="19"/>
      <c r="GU80" s="19"/>
      <c r="GV80" s="19"/>
      <c r="GW80" s="19"/>
      <c r="GX80" s="19"/>
      <c r="GY80" s="19"/>
      <c r="GZ80" s="19"/>
      <c r="HA80" s="19"/>
      <c r="HB80" s="19"/>
    </row>
    <row r="81" spans="1:210" x14ac:dyDescent="0.25">
      <c r="A81" s="113">
        <f t="shared" si="5"/>
        <v>49</v>
      </c>
      <c r="B81" s="163"/>
      <c r="C81" s="172" t="str">
        <f t="shared" si="7"/>
        <v>RTH at 49 °C</v>
      </c>
      <c r="D81" s="196">
        <f t="shared" si="6"/>
        <v>1.7058823529411764</v>
      </c>
      <c r="E81" s="197">
        <v>4.22</v>
      </c>
      <c r="F81" s="198">
        <v>4.2990000000000004</v>
      </c>
      <c r="G81" s="199">
        <v>4.3789999999999996</v>
      </c>
      <c r="H81" s="128" t="s">
        <v>18</v>
      </c>
      <c r="I81" s="29"/>
      <c r="J81" s="29">
        <v>4.3789999999999996</v>
      </c>
      <c r="K81" s="29">
        <v>4.2990000000000004</v>
      </c>
      <c r="L81" s="29">
        <v>4.22</v>
      </c>
      <c r="M81" s="29"/>
      <c r="N81" s="29"/>
      <c r="O81" s="29"/>
      <c r="P81" s="29"/>
      <c r="Q81" s="29"/>
      <c r="R81" s="29"/>
      <c r="S81" s="29"/>
      <c r="T81" s="29"/>
      <c r="U81" s="29"/>
      <c r="V81" s="29"/>
      <c r="W81" s="29"/>
      <c r="X81" s="29"/>
      <c r="Y81" s="30"/>
      <c r="Z81" s="18"/>
      <c r="AA81" s="19"/>
      <c r="AB81" s="19"/>
      <c r="AC81" s="20">
        <f t="shared" si="8"/>
        <v>49</v>
      </c>
      <c r="AD81" s="20">
        <f t="shared" si="9"/>
        <v>4.22</v>
      </c>
      <c r="AE81" s="20">
        <f t="shared" si="10"/>
        <v>4.2990000000000004</v>
      </c>
      <c r="AF81" s="20">
        <f t="shared" si="11"/>
        <v>4.3789999999999996</v>
      </c>
      <c r="AG81" s="20">
        <f>Table9[[#This Row],[RTH(min) (kΩ)]]*RT2_TH_MIN/(RT2_TH_MIN+Table9[[#This Row],[RTH(min) (kΩ)]])</f>
        <v>3.7067123160071462</v>
      </c>
      <c r="AH81" s="20">
        <f>Table9[[#This Row],[RTH(nom) (kΩ)]]*RT2_TH_S/(RT2_TH_S+Table9[[#This Row],[RTH(nom) (kΩ)]])</f>
        <v>3.7679905499354547</v>
      </c>
      <c r="AI81" s="20">
        <f>Table9[[#This Row],[RTH(max) (kΩ)]]*RT2_TH_S_MAX/(RT2_TH_S_MAX+Table9[[#This Row],[RTH(max) (kΩ)]])</f>
        <v>3.829787354139786</v>
      </c>
      <c r="AJ81" s="20">
        <f>Table9[[#This Row],[RLower(min) (kΩ)]]/(Table9[[#This Row],[RLower(min) (kΩ)]]+RT1_TH_S_MAX)*100</f>
        <v>41.439224695246004</v>
      </c>
      <c r="AK81" s="20">
        <f>Table9[[#This Row],[RLower(nom) (kΩ)]]/(Table9[[#This Row],[RLower(nom) (kΩ)]]+RT1_TH_S)*100</f>
        <v>41.861995467625505</v>
      </c>
      <c r="AL81" s="20">
        <f>Table9[[#This Row],[RLower(max) (kΩ)]]/(Table9[[#This Row],[RLower(max) (kΩ)]]+RT1_TH_S_MIN)*100</f>
        <v>42.282838656374608</v>
      </c>
      <c r="AM81" s="20">
        <f>IF(Table9[[#This Row],[Vmin (%)]]&lt;$BA$14, 0, IF(Table9[[#This Row],[Vmin (%)]]&lt;$BA$12, 4, IF(Table9[[#This Row],[Vmin (%)]]&lt;$BA$9, 3, IF(Table9[[#This Row],[Vmin (%)]]&lt;$BA$7, 2, 0))))</f>
        <v>3</v>
      </c>
      <c r="AN81" s="20">
        <f>IF(Table9[[#This Row],[Vmin (%)]]&lt;$BA$13, 0, IF(Table9[[#This Row],[Vmin (%)]]&lt;$BA$11, 4, IF(Table9[[#This Row],[Vmin (%)]]&lt;$BA$10, 3, IF(Table9[[#This Row],[Vmin (%)]]&lt;$BA$8, 2, 0))))</f>
        <v>4</v>
      </c>
      <c r="AO81" s="76" t="str">
        <f>IF(Table9[[#This Row],[Vmin (%)]]&lt;$BA$14, "Hot", IF(Table9[[#This Row],[Vmin (%)]]&lt;$BA$12, "Warm", IF(Table9[[#This Row],[Vmin (%)]]&lt;$BA$9, "Normal", IF(Table9[[#This Row],[Vmin (%)]]&lt;$BA$7, "Cool", "Cold"))))</f>
        <v>Normal</v>
      </c>
      <c r="AP81" s="19"/>
      <c r="AQ81" s="19"/>
      <c r="AR81" s="19"/>
      <c r="AS81" s="19"/>
      <c r="AT81" s="19"/>
      <c r="AU81" s="19"/>
      <c r="AV81" s="19"/>
      <c r="AW81" s="19"/>
      <c r="AX81" s="19"/>
      <c r="AY81" s="19"/>
      <c r="AZ81" s="19"/>
      <c r="BA81" s="19"/>
      <c r="BB81" s="19"/>
      <c r="BC81" s="19"/>
      <c r="BD81" s="19"/>
      <c r="BE81" s="19"/>
      <c r="BF81" s="19"/>
      <c r="BG81" s="19"/>
      <c r="BH81" s="19"/>
      <c r="BI81" s="19"/>
      <c r="BJ81" s="19"/>
      <c r="BK81" s="19"/>
      <c r="BL81" s="19"/>
      <c r="BM81" s="19"/>
      <c r="BN81" s="19"/>
      <c r="BO81" s="19"/>
      <c r="BP81" s="19"/>
      <c r="BQ81" s="19"/>
      <c r="BR81" s="19"/>
      <c r="BS81" s="19"/>
      <c r="BT81" s="19"/>
      <c r="BU81" s="19"/>
      <c r="BV81" s="19"/>
      <c r="BW81" s="19"/>
      <c r="BX81" s="19"/>
      <c r="BY81" s="19"/>
      <c r="BZ81" s="19"/>
      <c r="CA81" s="19"/>
      <c r="CB81" s="19"/>
      <c r="CC81" s="19"/>
      <c r="CD81" s="19"/>
      <c r="CE81" s="19"/>
      <c r="CF81" s="19"/>
      <c r="CG81" s="19"/>
      <c r="CH81" s="19"/>
      <c r="CI81" s="19"/>
      <c r="CJ81" s="19"/>
      <c r="CK81" s="19"/>
      <c r="CL81" s="19"/>
      <c r="CM81" s="19"/>
      <c r="CN81" s="19"/>
      <c r="CO81" s="19"/>
      <c r="CP81" s="19"/>
      <c r="CQ81" s="19"/>
      <c r="CR81" s="19"/>
      <c r="CS81" s="19"/>
      <c r="CT81" s="19"/>
      <c r="CU81" s="19"/>
      <c r="CV81" s="19"/>
      <c r="CW81" s="19"/>
      <c r="CX81" s="19"/>
      <c r="CY81" s="19"/>
      <c r="CZ81" s="19"/>
      <c r="DA81" s="19"/>
      <c r="DB81" s="19"/>
      <c r="DC81" s="19"/>
      <c r="DD81" s="19"/>
      <c r="DE81" s="19"/>
      <c r="DF81" s="19"/>
      <c r="DG81" s="19"/>
      <c r="DH81" s="19"/>
      <c r="DI81" s="19"/>
      <c r="DJ81" s="19"/>
      <c r="DK81" s="19"/>
      <c r="DL81" s="19"/>
      <c r="DM81" s="19"/>
      <c r="DN81" s="19"/>
      <c r="DO81" s="19"/>
      <c r="DP81" s="19"/>
      <c r="DQ81" s="19"/>
      <c r="DR81" s="19"/>
      <c r="DS81" s="19"/>
      <c r="DT81" s="19"/>
      <c r="DU81" s="19"/>
      <c r="DV81" s="19"/>
      <c r="DW81" s="19"/>
      <c r="DX81" s="19"/>
      <c r="DY81" s="19"/>
      <c r="DZ81" s="19"/>
      <c r="EA81" s="19"/>
      <c r="EB81" s="19"/>
      <c r="EC81" s="19"/>
      <c r="ED81" s="19"/>
      <c r="EE81" s="19"/>
      <c r="EF81" s="19"/>
      <c r="EG81" s="19"/>
      <c r="EH81" s="19"/>
      <c r="EI81" s="19"/>
      <c r="EJ81" s="19"/>
      <c r="EK81" s="19"/>
      <c r="EL81" s="19"/>
      <c r="EM81" s="19"/>
      <c r="EN81" s="19"/>
      <c r="EO81" s="19"/>
      <c r="EP81" s="19"/>
      <c r="EQ81" s="19"/>
      <c r="ER81" s="19"/>
      <c r="ES81" s="19"/>
      <c r="ET81" s="19"/>
      <c r="EU81" s="19"/>
      <c r="EV81" s="19"/>
      <c r="EW81" s="19"/>
      <c r="EX81" s="19"/>
      <c r="EY81" s="19"/>
      <c r="EZ81" s="19"/>
      <c r="FA81" s="19"/>
      <c r="FB81" s="19"/>
      <c r="FC81" s="19"/>
      <c r="FD81" s="19"/>
      <c r="FE81" s="19"/>
      <c r="FF81" s="19"/>
      <c r="FG81" s="19"/>
      <c r="FH81" s="19"/>
      <c r="FI81" s="19"/>
      <c r="FJ81" s="19"/>
      <c r="FK81" s="19"/>
      <c r="FL81" s="19"/>
      <c r="FM81" s="19"/>
      <c r="FN81" s="19"/>
      <c r="FO81" s="19"/>
      <c r="FP81" s="19"/>
      <c r="FQ81" s="19"/>
      <c r="FR81" s="19"/>
      <c r="FS81" s="19"/>
      <c r="FT81" s="19"/>
      <c r="FU81" s="19"/>
      <c r="FV81" s="19"/>
      <c r="FW81" s="19"/>
      <c r="FX81" s="19"/>
      <c r="FY81" s="19"/>
      <c r="FZ81" s="19"/>
      <c r="GA81" s="19"/>
      <c r="GB81" s="19"/>
      <c r="GC81" s="19"/>
      <c r="GD81" s="19"/>
      <c r="GE81" s="19"/>
      <c r="GF81" s="19"/>
      <c r="GG81" s="19"/>
      <c r="GH81" s="19"/>
      <c r="GI81" s="19"/>
      <c r="GJ81" s="19"/>
      <c r="GK81" s="19"/>
      <c r="GL81" s="19"/>
      <c r="GM81" s="19"/>
      <c r="GN81" s="19"/>
      <c r="GO81" s="19"/>
      <c r="GP81" s="19"/>
      <c r="GQ81" s="19"/>
      <c r="GR81" s="19"/>
      <c r="GS81" s="19"/>
      <c r="GT81" s="19"/>
      <c r="GU81" s="19"/>
      <c r="GV81" s="19"/>
      <c r="GW81" s="19"/>
      <c r="GX81" s="19"/>
      <c r="GY81" s="19"/>
      <c r="GZ81" s="19"/>
      <c r="HA81" s="19"/>
      <c r="HB81" s="19"/>
    </row>
    <row r="82" spans="1:210" x14ac:dyDescent="0.25">
      <c r="A82" s="113">
        <f t="shared" si="5"/>
        <v>48</v>
      </c>
      <c r="B82" s="163"/>
      <c r="C82" s="172" t="str">
        <f t="shared" si="7"/>
        <v>RTH at 48 °C</v>
      </c>
      <c r="D82" s="196">
        <f t="shared" si="6"/>
        <v>1.6764705882352942</v>
      </c>
      <c r="E82" s="197">
        <v>4.3630000000000004</v>
      </c>
      <c r="F82" s="198">
        <v>4.4429999999999996</v>
      </c>
      <c r="G82" s="199">
        <v>4.524</v>
      </c>
      <c r="H82" s="128" t="s">
        <v>18</v>
      </c>
      <c r="I82" s="29"/>
      <c r="J82" s="29">
        <v>4.524</v>
      </c>
      <c r="K82" s="29">
        <v>4.4429999999999996</v>
      </c>
      <c r="L82" s="29">
        <v>4.3630000000000004</v>
      </c>
      <c r="M82" s="29"/>
      <c r="N82" s="29"/>
      <c r="O82" s="29"/>
      <c r="P82" s="29"/>
      <c r="Q82" s="29"/>
      <c r="R82" s="29"/>
      <c r="S82" s="29"/>
      <c r="T82" s="29"/>
      <c r="U82" s="29"/>
      <c r="V82" s="29"/>
      <c r="W82" s="29"/>
      <c r="X82" s="29"/>
      <c r="Y82" s="30"/>
      <c r="Z82" s="18"/>
      <c r="AA82" s="19"/>
      <c r="AB82" s="19"/>
      <c r="AC82" s="20">
        <f t="shared" si="8"/>
        <v>48</v>
      </c>
      <c r="AD82" s="20">
        <f t="shared" si="9"/>
        <v>4.3630000000000004</v>
      </c>
      <c r="AE82" s="20">
        <f t="shared" si="10"/>
        <v>4.4429999999999996</v>
      </c>
      <c r="AF82" s="20">
        <f t="shared" si="11"/>
        <v>4.524</v>
      </c>
      <c r="AG82" s="20">
        <f>Table9[[#This Row],[RTH(min) (kΩ)]]*RT2_TH_MIN/(RT2_TH_MIN+Table9[[#This Row],[RTH(min) (kΩ)]])</f>
        <v>3.8165882457479112</v>
      </c>
      <c r="AH82" s="20">
        <f>Table9[[#This Row],[RTH(nom) (kΩ)]]*RT2_TH_S/(RT2_TH_S+Table9[[#This Row],[RTH(nom) (kΩ)]])</f>
        <v>3.8781581931981286</v>
      </c>
      <c r="AI82" s="20">
        <f>Table9[[#This Row],[RTH(max) (kΩ)]]*RT2_TH_S_MAX/(RT2_TH_S_MAX+Table9[[#This Row],[RTH(max) (kΩ)]])</f>
        <v>3.940237821259692</v>
      </c>
      <c r="AJ82" s="20">
        <f>Table9[[#This Row],[RLower(min) (kΩ)]]/(Table9[[#This Row],[RLower(min) (kΩ)]]+RT1_TH_S_MAX)*100</f>
        <v>42.14983242076066</v>
      </c>
      <c r="AK82" s="20">
        <f>Table9[[#This Row],[RLower(nom) (kΩ)]]/(Table9[[#This Row],[RLower(nom) (kΩ)]]+RT1_TH_S)*100</f>
        <v>42.564972304499207</v>
      </c>
      <c r="AL82" s="20">
        <f>Table9[[#This Row],[RLower(max) (kΩ)]]/(Table9[[#This Row],[RLower(max) (kΩ)]]+RT1_TH_S_MIN)*100</f>
        <v>42.978180086200872</v>
      </c>
      <c r="AM82" s="20">
        <f>IF(Table9[[#This Row],[Vmin (%)]]&lt;$BA$14, 0, IF(Table9[[#This Row],[Vmin (%)]]&lt;$BA$12, 4, IF(Table9[[#This Row],[Vmin (%)]]&lt;$BA$9, 3, IF(Table9[[#This Row],[Vmin (%)]]&lt;$BA$7, 2, 0))))</f>
        <v>3</v>
      </c>
      <c r="AN82" s="20">
        <f>IF(Table9[[#This Row],[Vmin (%)]]&lt;$BA$13, 0, IF(Table9[[#This Row],[Vmin (%)]]&lt;$BA$11, 4, IF(Table9[[#This Row],[Vmin (%)]]&lt;$BA$10, 3, IF(Table9[[#This Row],[Vmin (%)]]&lt;$BA$8, 2, 0))))</f>
        <v>4</v>
      </c>
      <c r="AO82" s="76" t="str">
        <f>IF(Table9[[#This Row],[Vmin (%)]]&lt;$BA$14, "Hot", IF(Table9[[#This Row],[Vmin (%)]]&lt;$BA$12, "Warm", IF(Table9[[#This Row],[Vmin (%)]]&lt;$BA$9, "Normal", IF(Table9[[#This Row],[Vmin (%)]]&lt;$BA$7, "Cool", "Cold"))))</f>
        <v>Normal</v>
      </c>
      <c r="AP82" s="19"/>
      <c r="AQ82" s="19"/>
      <c r="AR82" s="19"/>
      <c r="AS82" s="19"/>
      <c r="AT82" s="19"/>
      <c r="AU82" s="19"/>
      <c r="AV82" s="19"/>
      <c r="AW82" s="19"/>
      <c r="AX82" s="19"/>
      <c r="AY82" s="19"/>
      <c r="AZ82" s="19"/>
      <c r="BA82" s="19"/>
      <c r="BB82" s="19"/>
      <c r="BC82" s="19"/>
      <c r="BD82" s="19"/>
      <c r="BE82" s="19"/>
      <c r="BF82" s="19"/>
      <c r="BG82" s="19"/>
      <c r="BH82" s="19"/>
      <c r="BI82" s="19"/>
      <c r="BJ82" s="19"/>
      <c r="BK82" s="19"/>
      <c r="BL82" s="19"/>
      <c r="BM82" s="19"/>
      <c r="BN82" s="19"/>
      <c r="BO82" s="19"/>
      <c r="BP82" s="19"/>
      <c r="BQ82" s="19"/>
      <c r="BR82" s="19"/>
      <c r="BS82" s="19"/>
      <c r="BT82" s="19"/>
      <c r="BU82" s="19"/>
      <c r="BV82" s="19"/>
      <c r="BW82" s="19"/>
      <c r="BX82" s="19"/>
      <c r="BY82" s="19"/>
      <c r="BZ82" s="19"/>
      <c r="CA82" s="19"/>
      <c r="CB82" s="19"/>
      <c r="CC82" s="19"/>
      <c r="CD82" s="19"/>
      <c r="CE82" s="19"/>
      <c r="CF82" s="19"/>
      <c r="CG82" s="19"/>
      <c r="CH82" s="19"/>
      <c r="CI82" s="19"/>
      <c r="CJ82" s="19"/>
      <c r="CK82" s="19"/>
      <c r="CL82" s="19"/>
      <c r="CM82" s="19"/>
      <c r="CN82" s="19"/>
      <c r="CO82" s="19"/>
      <c r="CP82" s="19"/>
      <c r="CQ82" s="19"/>
      <c r="CR82" s="19"/>
      <c r="CS82" s="19"/>
      <c r="CT82" s="19"/>
      <c r="CU82" s="19"/>
      <c r="CV82" s="19"/>
      <c r="CW82" s="19"/>
      <c r="CX82" s="19"/>
      <c r="CY82" s="19"/>
      <c r="CZ82" s="19"/>
      <c r="DA82" s="19"/>
      <c r="DB82" s="19"/>
      <c r="DC82" s="19"/>
      <c r="DD82" s="19"/>
      <c r="DE82" s="19"/>
      <c r="DF82" s="19"/>
      <c r="DG82" s="19"/>
      <c r="DH82" s="19"/>
      <c r="DI82" s="19"/>
      <c r="DJ82" s="19"/>
      <c r="DK82" s="19"/>
      <c r="DL82" s="19"/>
      <c r="DM82" s="19"/>
      <c r="DN82" s="19"/>
      <c r="DO82" s="19"/>
      <c r="DP82" s="19"/>
      <c r="DQ82" s="19"/>
      <c r="DR82" s="19"/>
      <c r="DS82" s="19"/>
      <c r="DT82" s="19"/>
      <c r="DU82" s="19"/>
      <c r="DV82" s="19"/>
      <c r="DW82" s="19"/>
      <c r="DX82" s="19"/>
      <c r="DY82" s="19"/>
      <c r="DZ82" s="19"/>
      <c r="EA82" s="19"/>
      <c r="EB82" s="19"/>
      <c r="EC82" s="19"/>
      <c r="ED82" s="19"/>
      <c r="EE82" s="19"/>
      <c r="EF82" s="19"/>
      <c r="EG82" s="19"/>
      <c r="EH82" s="19"/>
      <c r="EI82" s="19"/>
      <c r="EJ82" s="19"/>
      <c r="EK82" s="19"/>
      <c r="EL82" s="19"/>
      <c r="EM82" s="19"/>
      <c r="EN82" s="19"/>
      <c r="EO82" s="19"/>
      <c r="EP82" s="19"/>
      <c r="EQ82" s="19"/>
      <c r="ER82" s="19"/>
      <c r="ES82" s="19"/>
      <c r="ET82" s="19"/>
      <c r="EU82" s="19"/>
      <c r="EV82" s="19"/>
      <c r="EW82" s="19"/>
      <c r="EX82" s="19"/>
      <c r="EY82" s="19"/>
      <c r="EZ82" s="19"/>
      <c r="FA82" s="19"/>
      <c r="FB82" s="19"/>
      <c r="FC82" s="19"/>
      <c r="FD82" s="19"/>
      <c r="FE82" s="19"/>
      <c r="FF82" s="19"/>
      <c r="FG82" s="19"/>
      <c r="FH82" s="19"/>
      <c r="FI82" s="19"/>
      <c r="FJ82" s="19"/>
      <c r="FK82" s="19"/>
      <c r="FL82" s="19"/>
      <c r="FM82" s="19"/>
      <c r="FN82" s="19"/>
      <c r="FO82" s="19"/>
      <c r="FP82" s="19"/>
      <c r="FQ82" s="19"/>
      <c r="FR82" s="19"/>
      <c r="FS82" s="19"/>
      <c r="FT82" s="19"/>
      <c r="FU82" s="19"/>
      <c r="FV82" s="19"/>
      <c r="FW82" s="19"/>
      <c r="FX82" s="19"/>
      <c r="FY82" s="19"/>
      <c r="FZ82" s="19"/>
      <c r="GA82" s="19"/>
      <c r="GB82" s="19"/>
      <c r="GC82" s="19"/>
      <c r="GD82" s="19"/>
      <c r="GE82" s="19"/>
      <c r="GF82" s="19"/>
      <c r="GG82" s="19"/>
      <c r="GH82" s="19"/>
      <c r="GI82" s="19"/>
      <c r="GJ82" s="19"/>
      <c r="GK82" s="19"/>
      <c r="GL82" s="19"/>
      <c r="GM82" s="19"/>
      <c r="GN82" s="19"/>
      <c r="GO82" s="19"/>
      <c r="GP82" s="19"/>
      <c r="GQ82" s="19"/>
      <c r="GR82" s="19"/>
      <c r="GS82" s="19"/>
      <c r="GT82" s="19"/>
      <c r="GU82" s="19"/>
      <c r="GV82" s="19"/>
      <c r="GW82" s="19"/>
      <c r="GX82" s="19"/>
      <c r="GY82" s="19"/>
      <c r="GZ82" s="19"/>
      <c r="HA82" s="19"/>
      <c r="HB82" s="19"/>
    </row>
    <row r="83" spans="1:210" x14ac:dyDescent="0.25">
      <c r="A83" s="113">
        <f t="shared" si="5"/>
        <v>47</v>
      </c>
      <c r="B83" s="163"/>
      <c r="C83" s="172" t="str">
        <f t="shared" si="7"/>
        <v>RTH at 47 °C</v>
      </c>
      <c r="D83" s="196">
        <f t="shared" si="6"/>
        <v>1.6470588235294117</v>
      </c>
      <c r="E83" s="197">
        <v>4.5110000000000001</v>
      </c>
      <c r="F83" s="198">
        <v>4.593</v>
      </c>
      <c r="G83" s="199">
        <v>4.6749999999999998</v>
      </c>
      <c r="H83" s="128" t="s">
        <v>18</v>
      </c>
      <c r="I83" s="29"/>
      <c r="J83" s="29">
        <v>4.6749999999999998</v>
      </c>
      <c r="K83" s="29">
        <v>4.593</v>
      </c>
      <c r="L83" s="29">
        <v>4.5110000000000001</v>
      </c>
      <c r="M83" s="29"/>
      <c r="N83" s="29"/>
      <c r="O83" s="29"/>
      <c r="P83" s="29"/>
      <c r="Q83" s="29"/>
      <c r="R83" s="29"/>
      <c r="S83" s="29"/>
      <c r="T83" s="29"/>
      <c r="U83" s="29"/>
      <c r="V83" s="29"/>
      <c r="W83" s="29"/>
      <c r="X83" s="29"/>
      <c r="Y83" s="30"/>
      <c r="Z83" s="18"/>
      <c r="AA83" s="19"/>
      <c r="AB83" s="19"/>
      <c r="AC83" s="20">
        <f t="shared" si="8"/>
        <v>47</v>
      </c>
      <c r="AD83" s="20">
        <f t="shared" si="9"/>
        <v>4.5110000000000001</v>
      </c>
      <c r="AE83" s="20">
        <f t="shared" si="10"/>
        <v>4.593</v>
      </c>
      <c r="AF83" s="20">
        <f t="shared" si="11"/>
        <v>4.6749999999999998</v>
      </c>
      <c r="AG83" s="20">
        <f>Table9[[#This Row],[RTH(min) (kΩ)]]*RT2_TH_MIN/(RT2_TH_MIN+Table9[[#This Row],[RTH(min) (kΩ)]])</f>
        <v>3.9293601249230115</v>
      </c>
      <c r="AH83" s="20">
        <f>Table9[[#This Row],[RTH(nom) (kΩ)]]*RT2_TH_S/(RT2_TH_S+Table9[[#This Row],[RTH(nom) (kΩ)]])</f>
        <v>3.9919548872610084</v>
      </c>
      <c r="AI83" s="20">
        <f>Table9[[#This Row],[RTH(max) (kΩ)]]*RT2_TH_S_MAX/(RT2_TH_S_MAX+Table9[[#This Row],[RTH(max) (kΩ)]])</f>
        <v>4.0542917281450999</v>
      </c>
      <c r="AJ83" s="20">
        <f>Table9[[#This Row],[RLower(min) (kΩ)]]/(Table9[[#This Row],[RLower(min) (kΩ)]]+RT1_TH_S_MAX)*100</f>
        <v>42.861456325317214</v>
      </c>
      <c r="AK83" s="20">
        <f>Table9[[#This Row],[RLower(nom) (kΩ)]]/(Table9[[#This Row],[RLower(nom) (kΩ)]]+RT1_TH_S)*100</f>
        <v>43.27347685845703</v>
      </c>
      <c r="AL83" s="20">
        <f>Table9[[#This Row],[RLower(max) (kΩ)]]/(Table9[[#This Row],[RLower(max) (kΩ)]]+RT1_TH_S_MIN)*100</f>
        <v>43.67884011499757</v>
      </c>
      <c r="AM83" s="20">
        <f>IF(Table9[[#This Row],[Vmin (%)]]&lt;$BA$14, 0, IF(Table9[[#This Row],[Vmin (%)]]&lt;$BA$12, 4, IF(Table9[[#This Row],[Vmin (%)]]&lt;$BA$9, 3, IF(Table9[[#This Row],[Vmin (%)]]&lt;$BA$7, 2, 0))))</f>
        <v>3</v>
      </c>
      <c r="AN83" s="20">
        <f>IF(Table9[[#This Row],[Vmin (%)]]&lt;$BA$13, 0, IF(Table9[[#This Row],[Vmin (%)]]&lt;$BA$11, 4, IF(Table9[[#This Row],[Vmin (%)]]&lt;$BA$10, 3, IF(Table9[[#This Row],[Vmin (%)]]&lt;$BA$8, 2, 0))))</f>
        <v>3</v>
      </c>
      <c r="AO83" s="76" t="str">
        <f>IF(Table9[[#This Row],[Vmin (%)]]&lt;$BA$14, "Hot", IF(Table9[[#This Row],[Vmin (%)]]&lt;$BA$12, "Warm", IF(Table9[[#This Row],[Vmin (%)]]&lt;$BA$9, "Normal", IF(Table9[[#This Row],[Vmin (%)]]&lt;$BA$7, "Cool", "Cold"))))</f>
        <v>Normal</v>
      </c>
      <c r="AP83" s="19"/>
      <c r="AQ83" s="19"/>
      <c r="AR83" s="19"/>
      <c r="AS83" s="19"/>
      <c r="AT83" s="19"/>
      <c r="AU83" s="19"/>
      <c r="AV83" s="19"/>
      <c r="AW83" s="19"/>
      <c r="AX83" s="19"/>
      <c r="AY83" s="19"/>
      <c r="AZ83" s="19"/>
      <c r="BA83" s="19"/>
      <c r="BB83" s="19"/>
      <c r="BC83" s="19"/>
      <c r="BD83" s="19"/>
      <c r="BE83" s="19"/>
      <c r="BF83" s="19"/>
      <c r="BG83" s="19"/>
      <c r="BH83" s="19"/>
      <c r="BI83" s="19"/>
      <c r="BJ83" s="19"/>
      <c r="BK83" s="19"/>
      <c r="BL83" s="19"/>
      <c r="BM83" s="19"/>
      <c r="BN83" s="19"/>
      <c r="BO83" s="19"/>
      <c r="BP83" s="19"/>
      <c r="BQ83" s="19"/>
      <c r="BR83" s="19"/>
      <c r="BS83" s="19"/>
      <c r="BT83" s="19"/>
      <c r="BU83" s="19"/>
      <c r="BV83" s="19"/>
      <c r="BW83" s="19"/>
      <c r="BX83" s="19"/>
      <c r="BY83" s="19"/>
      <c r="BZ83" s="19"/>
      <c r="CA83" s="19"/>
      <c r="CB83" s="19"/>
      <c r="CC83" s="19"/>
      <c r="CD83" s="19"/>
      <c r="CE83" s="19"/>
      <c r="CF83" s="19"/>
      <c r="CG83" s="19"/>
      <c r="CH83" s="19"/>
      <c r="CI83" s="19"/>
      <c r="CJ83" s="19"/>
      <c r="CK83" s="19"/>
      <c r="CL83" s="19"/>
      <c r="CM83" s="19"/>
      <c r="CN83" s="19"/>
      <c r="CO83" s="19"/>
      <c r="CP83" s="19"/>
      <c r="CQ83" s="19"/>
      <c r="CR83" s="19"/>
      <c r="CS83" s="19"/>
      <c r="CT83" s="19"/>
      <c r="CU83" s="19"/>
      <c r="CV83" s="19"/>
      <c r="CW83" s="19"/>
      <c r="CX83" s="19"/>
      <c r="CY83" s="19"/>
      <c r="CZ83" s="19"/>
      <c r="DA83" s="19"/>
      <c r="DB83" s="19"/>
      <c r="DC83" s="19"/>
      <c r="DD83" s="19"/>
      <c r="DE83" s="19"/>
      <c r="DF83" s="19"/>
      <c r="DG83" s="19"/>
      <c r="DH83" s="19"/>
      <c r="DI83" s="19"/>
      <c r="DJ83" s="19"/>
      <c r="DK83" s="19"/>
      <c r="DL83" s="19"/>
      <c r="DM83" s="19"/>
      <c r="DN83" s="19"/>
      <c r="DO83" s="19"/>
      <c r="DP83" s="19"/>
      <c r="DQ83" s="19"/>
      <c r="DR83" s="19"/>
      <c r="DS83" s="19"/>
      <c r="DT83" s="19"/>
      <c r="DU83" s="19"/>
      <c r="DV83" s="19"/>
      <c r="DW83" s="19"/>
      <c r="DX83" s="19"/>
      <c r="DY83" s="19"/>
      <c r="DZ83" s="19"/>
      <c r="EA83" s="19"/>
      <c r="EB83" s="19"/>
      <c r="EC83" s="19"/>
      <c r="ED83" s="19"/>
      <c r="EE83" s="19"/>
      <c r="EF83" s="19"/>
      <c r="EG83" s="19"/>
      <c r="EH83" s="19"/>
      <c r="EI83" s="19"/>
      <c r="EJ83" s="19"/>
      <c r="EK83" s="19"/>
      <c r="EL83" s="19"/>
      <c r="EM83" s="19"/>
      <c r="EN83" s="19"/>
      <c r="EO83" s="19"/>
      <c r="EP83" s="19"/>
      <c r="EQ83" s="19"/>
      <c r="ER83" s="19"/>
      <c r="ES83" s="19"/>
      <c r="ET83" s="19"/>
      <c r="EU83" s="19"/>
      <c r="EV83" s="19"/>
      <c r="EW83" s="19"/>
      <c r="EX83" s="19"/>
      <c r="EY83" s="19"/>
      <c r="EZ83" s="19"/>
      <c r="FA83" s="19"/>
      <c r="FB83" s="19"/>
      <c r="FC83" s="19"/>
      <c r="FD83" s="19"/>
      <c r="FE83" s="19"/>
      <c r="FF83" s="19"/>
      <c r="FG83" s="19"/>
      <c r="FH83" s="19"/>
      <c r="FI83" s="19"/>
      <c r="FJ83" s="19"/>
      <c r="FK83" s="19"/>
      <c r="FL83" s="19"/>
      <c r="FM83" s="19"/>
      <c r="FN83" s="19"/>
      <c r="FO83" s="19"/>
      <c r="FP83" s="19"/>
      <c r="FQ83" s="19"/>
      <c r="FR83" s="19"/>
      <c r="FS83" s="19"/>
      <c r="FT83" s="19"/>
      <c r="FU83" s="19"/>
      <c r="FV83" s="19"/>
      <c r="FW83" s="19"/>
      <c r="FX83" s="19"/>
      <c r="FY83" s="19"/>
      <c r="FZ83" s="19"/>
      <c r="GA83" s="19"/>
      <c r="GB83" s="19"/>
      <c r="GC83" s="19"/>
      <c r="GD83" s="19"/>
      <c r="GE83" s="19"/>
      <c r="GF83" s="19"/>
      <c r="GG83" s="19"/>
      <c r="GH83" s="19"/>
      <c r="GI83" s="19"/>
      <c r="GJ83" s="19"/>
      <c r="GK83" s="19"/>
      <c r="GL83" s="19"/>
      <c r="GM83" s="19"/>
      <c r="GN83" s="19"/>
      <c r="GO83" s="19"/>
      <c r="GP83" s="19"/>
      <c r="GQ83" s="19"/>
      <c r="GR83" s="19"/>
      <c r="GS83" s="19"/>
      <c r="GT83" s="19"/>
      <c r="GU83" s="19"/>
      <c r="GV83" s="19"/>
      <c r="GW83" s="19"/>
      <c r="GX83" s="19"/>
      <c r="GY83" s="19"/>
      <c r="GZ83" s="19"/>
      <c r="HA83" s="19"/>
      <c r="HB83" s="19"/>
    </row>
    <row r="84" spans="1:210" x14ac:dyDescent="0.25">
      <c r="A84" s="113">
        <f t="shared" si="5"/>
        <v>46</v>
      </c>
      <c r="B84" s="163"/>
      <c r="C84" s="172" t="str">
        <f t="shared" ref="C84:C115" si="12">_xlfn.CONCAT("RTH at ",A84, " °C")</f>
        <v>RTH at 46 °C</v>
      </c>
      <c r="D84" s="196">
        <f t="shared" si="6"/>
        <v>1.6176470588235294</v>
      </c>
      <c r="E84" s="197">
        <v>4.6660000000000004</v>
      </c>
      <c r="F84" s="198">
        <v>4.7489999999999997</v>
      </c>
      <c r="G84" s="199">
        <v>4.8319999999999999</v>
      </c>
      <c r="H84" s="128" t="s">
        <v>18</v>
      </c>
      <c r="I84" s="29"/>
      <c r="J84" s="29">
        <v>4.8319999999999999</v>
      </c>
      <c r="K84" s="29">
        <v>4.7489999999999997</v>
      </c>
      <c r="L84" s="29">
        <v>4.6660000000000004</v>
      </c>
      <c r="M84" s="29"/>
      <c r="N84" s="29"/>
      <c r="O84" s="29"/>
      <c r="P84" s="29"/>
      <c r="Q84" s="29"/>
      <c r="R84" s="29"/>
      <c r="S84" s="29"/>
      <c r="T84" s="29"/>
      <c r="U84" s="29"/>
      <c r="V84" s="29"/>
      <c r="W84" s="29"/>
      <c r="X84" s="29"/>
      <c r="Y84" s="30"/>
      <c r="Z84" s="18"/>
      <c r="AA84" s="19"/>
      <c r="AB84" s="19"/>
      <c r="AC84" s="20">
        <f t="shared" ref="AC84:AC115" si="13">A84</f>
        <v>46</v>
      </c>
      <c r="AD84" s="20">
        <f t="shared" ref="AD84:AD115" si="14">E84</f>
        <v>4.6660000000000004</v>
      </c>
      <c r="AE84" s="20">
        <f t="shared" ref="AE84:AE115" si="15">F84</f>
        <v>4.7489999999999997</v>
      </c>
      <c r="AF84" s="20">
        <f t="shared" ref="AF84:AF115" si="16">G84</f>
        <v>4.8319999999999999</v>
      </c>
      <c r="AG84" s="20">
        <f>Table9[[#This Row],[RTH(min) (kΩ)]]*RT2_TH_MIN/(RT2_TH_MIN+Table9[[#This Row],[RTH(min) (kΩ)]])</f>
        <v>4.0464474473699488</v>
      </c>
      <c r="AH84" s="20">
        <f>Table9[[#This Row],[RTH(nom) (kΩ)]]*RT2_TH_S/(RT2_TH_S+Table9[[#This Row],[RTH(nom) (kΩ)]])</f>
        <v>4.1092762075416669</v>
      </c>
      <c r="AI84" s="20">
        <f>Table9[[#This Row],[RTH(max) (kΩ)]]*RT2_TH_S_MAX/(RT2_TH_S_MAX+Table9[[#This Row],[RTH(max) (kΩ)]])</f>
        <v>4.1718448746425922</v>
      </c>
      <c r="AJ84" s="20">
        <f>Table9[[#This Row],[RLower(min) (kΩ)]]/(Table9[[#This Row],[RLower(min) (kΩ)]]+RT1_TH_S_MAX)*100</f>
        <v>43.582020216662109</v>
      </c>
      <c r="AK84" s="20">
        <f>Table9[[#This Row],[RLower(nom) (kΩ)]]/(Table9[[#This Row],[RLower(nom) (kΩ)]]+RT1_TH_S)*100</f>
        <v>43.985855378302489</v>
      </c>
      <c r="AL84" s="20">
        <f>Table9[[#This Row],[RLower(max) (kΩ)]]/(Table9[[#This Row],[RLower(max) (kΩ)]]+RT1_TH_S_MIN)*100</f>
        <v>44.383202792604344</v>
      </c>
      <c r="AM84" s="20">
        <f>IF(Table9[[#This Row],[Vmin (%)]]&lt;$BA$14, 0, IF(Table9[[#This Row],[Vmin (%)]]&lt;$BA$12, 4, IF(Table9[[#This Row],[Vmin (%)]]&lt;$BA$9, 3, IF(Table9[[#This Row],[Vmin (%)]]&lt;$BA$7, 2, 0))))</f>
        <v>3</v>
      </c>
      <c r="AN84" s="20">
        <f>IF(Table9[[#This Row],[Vmin (%)]]&lt;$BA$13, 0, IF(Table9[[#This Row],[Vmin (%)]]&lt;$BA$11, 4, IF(Table9[[#This Row],[Vmin (%)]]&lt;$BA$10, 3, IF(Table9[[#This Row],[Vmin (%)]]&lt;$BA$8, 2, 0))))</f>
        <v>3</v>
      </c>
      <c r="AO84" s="76" t="str">
        <f>IF(Table9[[#This Row],[Vmin (%)]]&lt;$BA$14, "Hot", IF(Table9[[#This Row],[Vmin (%)]]&lt;$BA$12, "Warm", IF(Table9[[#This Row],[Vmin (%)]]&lt;$BA$9, "Normal", IF(Table9[[#This Row],[Vmin (%)]]&lt;$BA$7, "Cool", "Cold"))))</f>
        <v>Normal</v>
      </c>
      <c r="AP84" s="19"/>
      <c r="AQ84" s="19"/>
      <c r="AR84" s="19"/>
      <c r="AS84" s="19"/>
      <c r="AT84" s="19"/>
      <c r="AU84" s="19"/>
      <c r="AV84" s="19"/>
      <c r="AW84" s="19"/>
      <c r="AX84" s="19"/>
      <c r="AY84" s="19"/>
      <c r="AZ84" s="19"/>
      <c r="BA84" s="19"/>
      <c r="BB84" s="19"/>
      <c r="BC84" s="19"/>
      <c r="BD84" s="19"/>
      <c r="BE84" s="19"/>
      <c r="BF84" s="19"/>
      <c r="BG84" s="19"/>
      <c r="BH84" s="19"/>
      <c r="BI84" s="19"/>
      <c r="BJ84" s="19"/>
      <c r="BK84" s="19"/>
      <c r="BL84" s="19"/>
      <c r="BM84" s="19"/>
      <c r="BN84" s="19"/>
      <c r="BO84" s="19"/>
      <c r="BP84" s="19"/>
      <c r="BQ84" s="19"/>
      <c r="BR84" s="19"/>
      <c r="BS84" s="19"/>
      <c r="BT84" s="19"/>
      <c r="BU84" s="19"/>
      <c r="BV84" s="19"/>
      <c r="BW84" s="19"/>
      <c r="BX84" s="19"/>
      <c r="BY84" s="19"/>
      <c r="BZ84" s="19"/>
      <c r="CA84" s="19"/>
      <c r="CB84" s="19"/>
      <c r="CC84" s="19"/>
      <c r="CD84" s="19"/>
      <c r="CE84" s="19"/>
      <c r="CF84" s="19"/>
      <c r="CG84" s="19"/>
      <c r="CH84" s="19"/>
      <c r="CI84" s="19"/>
      <c r="CJ84" s="19"/>
      <c r="CK84" s="19"/>
      <c r="CL84" s="19"/>
      <c r="CM84" s="19"/>
      <c r="CN84" s="19"/>
      <c r="CO84" s="19"/>
      <c r="CP84" s="19"/>
      <c r="CQ84" s="19"/>
      <c r="CR84" s="19"/>
      <c r="CS84" s="19"/>
      <c r="CT84" s="19"/>
      <c r="CU84" s="19"/>
      <c r="CV84" s="19"/>
      <c r="CW84" s="19"/>
      <c r="CX84" s="19"/>
      <c r="CY84" s="19"/>
      <c r="CZ84" s="19"/>
      <c r="DA84" s="19"/>
      <c r="DB84" s="19"/>
      <c r="DC84" s="19"/>
      <c r="DD84" s="19"/>
      <c r="DE84" s="19"/>
      <c r="DF84" s="19"/>
      <c r="DG84" s="19"/>
      <c r="DH84" s="19"/>
      <c r="DI84" s="19"/>
      <c r="DJ84" s="19"/>
      <c r="DK84" s="19"/>
      <c r="DL84" s="19"/>
      <c r="DM84" s="19"/>
      <c r="DN84" s="19"/>
      <c r="DO84" s="19"/>
      <c r="DP84" s="19"/>
      <c r="DQ84" s="19"/>
      <c r="DR84" s="19"/>
      <c r="DS84" s="19"/>
      <c r="DT84" s="19"/>
      <c r="DU84" s="19"/>
      <c r="DV84" s="19"/>
      <c r="DW84" s="19"/>
      <c r="DX84" s="19"/>
      <c r="DY84" s="19"/>
      <c r="DZ84" s="19"/>
      <c r="EA84" s="19"/>
      <c r="EB84" s="19"/>
      <c r="EC84" s="19"/>
      <c r="ED84" s="19"/>
      <c r="EE84" s="19"/>
      <c r="EF84" s="19"/>
      <c r="EG84" s="19"/>
      <c r="EH84" s="19"/>
      <c r="EI84" s="19"/>
      <c r="EJ84" s="19"/>
      <c r="EK84" s="19"/>
      <c r="EL84" s="19"/>
      <c r="EM84" s="19"/>
      <c r="EN84" s="19"/>
      <c r="EO84" s="19"/>
      <c r="EP84" s="19"/>
      <c r="EQ84" s="19"/>
      <c r="ER84" s="19"/>
      <c r="ES84" s="19"/>
      <c r="ET84" s="19"/>
      <c r="EU84" s="19"/>
      <c r="EV84" s="19"/>
      <c r="EW84" s="19"/>
      <c r="EX84" s="19"/>
      <c r="EY84" s="19"/>
      <c r="EZ84" s="19"/>
      <c r="FA84" s="19"/>
      <c r="FB84" s="19"/>
      <c r="FC84" s="19"/>
      <c r="FD84" s="19"/>
      <c r="FE84" s="19"/>
      <c r="FF84" s="19"/>
      <c r="FG84" s="19"/>
      <c r="FH84" s="19"/>
      <c r="FI84" s="19"/>
      <c r="FJ84" s="19"/>
      <c r="FK84" s="19"/>
      <c r="FL84" s="19"/>
      <c r="FM84" s="19"/>
      <c r="FN84" s="19"/>
      <c r="FO84" s="19"/>
      <c r="FP84" s="19"/>
      <c r="FQ84" s="19"/>
      <c r="FR84" s="19"/>
      <c r="FS84" s="19"/>
      <c r="FT84" s="19"/>
      <c r="FU84" s="19"/>
      <c r="FV84" s="19"/>
      <c r="FW84" s="19"/>
      <c r="FX84" s="19"/>
      <c r="FY84" s="19"/>
      <c r="FZ84" s="19"/>
      <c r="GA84" s="19"/>
      <c r="GB84" s="19"/>
      <c r="GC84" s="19"/>
      <c r="GD84" s="19"/>
      <c r="GE84" s="19"/>
      <c r="GF84" s="19"/>
      <c r="GG84" s="19"/>
      <c r="GH84" s="19"/>
      <c r="GI84" s="19"/>
      <c r="GJ84" s="19"/>
      <c r="GK84" s="19"/>
      <c r="GL84" s="19"/>
      <c r="GM84" s="19"/>
      <c r="GN84" s="19"/>
      <c r="GO84" s="19"/>
      <c r="GP84" s="19"/>
      <c r="GQ84" s="19"/>
      <c r="GR84" s="19"/>
      <c r="GS84" s="19"/>
      <c r="GT84" s="19"/>
      <c r="GU84" s="19"/>
      <c r="GV84" s="19"/>
      <c r="GW84" s="19"/>
      <c r="GX84" s="19"/>
      <c r="GY84" s="19"/>
      <c r="GZ84" s="19"/>
      <c r="HA84" s="19"/>
      <c r="HB84" s="19"/>
    </row>
    <row r="85" spans="1:210" x14ac:dyDescent="0.25">
      <c r="A85" s="113">
        <f t="shared" si="5"/>
        <v>45</v>
      </c>
      <c r="B85" s="163"/>
      <c r="C85" s="172" t="str">
        <f t="shared" si="12"/>
        <v>RTH at 45 °C</v>
      </c>
      <c r="D85" s="196">
        <f t="shared" si="6"/>
        <v>1.588235294117647</v>
      </c>
      <c r="E85" s="197">
        <v>4.827</v>
      </c>
      <c r="F85" s="198">
        <v>4.9109999999999996</v>
      </c>
      <c r="G85" s="199">
        <v>4.9950000000000001</v>
      </c>
      <c r="H85" s="128" t="s">
        <v>18</v>
      </c>
      <c r="I85" s="29"/>
      <c r="J85" s="29">
        <v>4.9950000000000001</v>
      </c>
      <c r="K85" s="29">
        <v>4.9109999999999996</v>
      </c>
      <c r="L85" s="29">
        <v>4.827</v>
      </c>
      <c r="M85" s="29"/>
      <c r="N85" s="29"/>
      <c r="O85" s="29"/>
      <c r="P85" s="29"/>
      <c r="Q85" s="29"/>
      <c r="R85" s="29"/>
      <c r="S85" s="29"/>
      <c r="T85" s="29"/>
      <c r="U85" s="29"/>
      <c r="V85" s="29"/>
      <c r="W85" s="29"/>
      <c r="X85" s="29"/>
      <c r="Y85" s="30"/>
      <c r="Z85" s="18"/>
      <c r="AA85" s="19"/>
      <c r="AB85" s="19"/>
      <c r="AC85" s="20">
        <f t="shared" si="13"/>
        <v>45</v>
      </c>
      <c r="AD85" s="20">
        <f t="shared" si="14"/>
        <v>4.827</v>
      </c>
      <c r="AE85" s="20">
        <f t="shared" si="15"/>
        <v>4.9109999999999996</v>
      </c>
      <c r="AF85" s="20">
        <f t="shared" si="16"/>
        <v>4.9950000000000001</v>
      </c>
      <c r="AG85" s="20">
        <f>Table9[[#This Row],[RTH(min) (kΩ)]]*RT2_TH_MIN/(RT2_TH_MIN+Table9[[#This Row],[RTH(min) (kΩ)]])</f>
        <v>4.1669785164246562</v>
      </c>
      <c r="AH85" s="20">
        <f>Table9[[#This Row],[RTH(nom) (kΩ)]]*RT2_TH_S/(RT2_TH_S+Table9[[#This Row],[RTH(nom) (kΩ)]])</f>
        <v>4.2300159512161049</v>
      </c>
      <c r="AI85" s="20">
        <f>Table9[[#This Row],[RTH(max) (kΩ)]]*RT2_TH_S_MAX/(RT2_TH_S_MAX+Table9[[#This Row],[RTH(max) (kΩ)]])</f>
        <v>4.292791321674807</v>
      </c>
      <c r="AJ85" s="20">
        <f>Table9[[#This Row],[RLower(min) (kΩ)]]/(Table9[[#This Row],[RLower(min) (kΩ)]]+RT1_TH_S_MAX)*100</f>
        <v>44.305037005037335</v>
      </c>
      <c r="AK85" s="20">
        <f>Table9[[#This Row],[RLower(nom) (kΩ)]]/(Table9[[#This Row],[RLower(nom) (kΩ)]]+RT1_TH_S)*100</f>
        <v>44.700547166410082</v>
      </c>
      <c r="AL85" s="20">
        <f>Table9[[#This Row],[RLower(max) (kΩ)]]/(Table9[[#This Row],[RLower(max) (kΩ)]]+RT1_TH_S_MIN)*100</f>
        <v>45.08974331671525</v>
      </c>
      <c r="AM85" s="20">
        <f>IF(Table9[[#This Row],[Vmin (%)]]&lt;$BA$14, 0, IF(Table9[[#This Row],[Vmin (%)]]&lt;$BA$12, 4, IF(Table9[[#This Row],[Vmin (%)]]&lt;$BA$9, 3, IF(Table9[[#This Row],[Vmin (%)]]&lt;$BA$7, 2, 0))))</f>
        <v>3</v>
      </c>
      <c r="AN85" s="20">
        <f>IF(Table9[[#This Row],[Vmin (%)]]&lt;$BA$13, 0, IF(Table9[[#This Row],[Vmin (%)]]&lt;$BA$11, 4, IF(Table9[[#This Row],[Vmin (%)]]&lt;$BA$10, 3, IF(Table9[[#This Row],[Vmin (%)]]&lt;$BA$8, 2, 0))))</f>
        <v>3</v>
      </c>
      <c r="AO85" s="76" t="str">
        <f>IF(Table9[[#This Row],[Vmin (%)]]&lt;$BA$14, "Hot", IF(Table9[[#This Row],[Vmin (%)]]&lt;$BA$12, "Warm", IF(Table9[[#This Row],[Vmin (%)]]&lt;$BA$9, "Normal", IF(Table9[[#This Row],[Vmin (%)]]&lt;$BA$7, "Cool", "Cold"))))</f>
        <v>Normal</v>
      </c>
      <c r="AP85" s="19"/>
      <c r="AQ85" s="19"/>
      <c r="AR85" s="19"/>
      <c r="AS85" s="19"/>
      <c r="AT85" s="19"/>
      <c r="AU85" s="19"/>
      <c r="AV85" s="19"/>
      <c r="AW85" s="19"/>
      <c r="AX85" s="19"/>
      <c r="AY85" s="19"/>
      <c r="AZ85" s="19"/>
      <c r="BA85" s="19"/>
      <c r="BB85" s="19"/>
      <c r="BC85" s="19"/>
      <c r="BD85" s="19"/>
      <c r="BE85" s="19"/>
      <c r="BF85" s="19"/>
      <c r="BG85" s="19"/>
      <c r="BH85" s="19"/>
      <c r="BI85" s="19"/>
      <c r="BJ85" s="19"/>
      <c r="BK85" s="19"/>
      <c r="BL85" s="19"/>
      <c r="BM85" s="19"/>
      <c r="BN85" s="19"/>
      <c r="BO85" s="19"/>
      <c r="BP85" s="19"/>
      <c r="BQ85" s="19"/>
      <c r="BR85" s="19"/>
      <c r="BS85" s="19"/>
      <c r="BT85" s="19"/>
      <c r="BU85" s="19"/>
      <c r="BV85" s="19"/>
      <c r="BW85" s="19"/>
      <c r="BX85" s="19"/>
      <c r="BY85" s="19"/>
      <c r="BZ85" s="19"/>
      <c r="CA85" s="19"/>
      <c r="CB85" s="19"/>
      <c r="CC85" s="19"/>
      <c r="CD85" s="19"/>
      <c r="CE85" s="19"/>
      <c r="CF85" s="19"/>
      <c r="CG85" s="19"/>
      <c r="CH85" s="19"/>
      <c r="CI85" s="19"/>
      <c r="CJ85" s="19"/>
      <c r="CK85" s="19"/>
      <c r="CL85" s="19"/>
      <c r="CM85" s="19"/>
      <c r="CN85" s="19"/>
      <c r="CO85" s="19"/>
      <c r="CP85" s="19"/>
      <c r="CQ85" s="19"/>
      <c r="CR85" s="19"/>
      <c r="CS85" s="19"/>
      <c r="CT85" s="19"/>
      <c r="CU85" s="19"/>
      <c r="CV85" s="19"/>
      <c r="CW85" s="19"/>
      <c r="CX85" s="19"/>
      <c r="CY85" s="19"/>
      <c r="CZ85" s="19"/>
      <c r="DA85" s="19"/>
      <c r="DB85" s="19"/>
      <c r="DC85" s="19"/>
      <c r="DD85" s="19"/>
      <c r="DE85" s="19"/>
      <c r="DF85" s="19"/>
      <c r="DG85" s="19"/>
      <c r="DH85" s="19"/>
      <c r="DI85" s="19"/>
      <c r="DJ85" s="19"/>
      <c r="DK85" s="19"/>
      <c r="DL85" s="19"/>
      <c r="DM85" s="19"/>
      <c r="DN85" s="19"/>
      <c r="DO85" s="19"/>
      <c r="DP85" s="19"/>
      <c r="DQ85" s="19"/>
      <c r="DR85" s="19"/>
      <c r="DS85" s="19"/>
      <c r="DT85" s="19"/>
      <c r="DU85" s="19"/>
      <c r="DV85" s="19"/>
      <c r="DW85" s="19"/>
      <c r="DX85" s="19"/>
      <c r="DY85" s="19"/>
      <c r="DZ85" s="19"/>
      <c r="EA85" s="19"/>
      <c r="EB85" s="19"/>
      <c r="EC85" s="19"/>
      <c r="ED85" s="19"/>
      <c r="EE85" s="19"/>
      <c r="EF85" s="19"/>
      <c r="EG85" s="19"/>
      <c r="EH85" s="19"/>
      <c r="EI85" s="19"/>
      <c r="EJ85" s="19"/>
      <c r="EK85" s="19"/>
      <c r="EL85" s="19"/>
      <c r="EM85" s="19"/>
      <c r="EN85" s="19"/>
      <c r="EO85" s="19"/>
      <c r="EP85" s="19"/>
      <c r="EQ85" s="19"/>
      <c r="ER85" s="19"/>
      <c r="ES85" s="19"/>
      <c r="ET85" s="19"/>
      <c r="EU85" s="19"/>
      <c r="EV85" s="19"/>
      <c r="EW85" s="19"/>
      <c r="EX85" s="19"/>
      <c r="EY85" s="19"/>
      <c r="EZ85" s="19"/>
      <c r="FA85" s="19"/>
      <c r="FB85" s="19"/>
      <c r="FC85" s="19"/>
      <c r="FD85" s="19"/>
      <c r="FE85" s="19"/>
      <c r="FF85" s="19"/>
      <c r="FG85" s="19"/>
      <c r="FH85" s="19"/>
      <c r="FI85" s="19"/>
      <c r="FJ85" s="19"/>
      <c r="FK85" s="19"/>
      <c r="FL85" s="19"/>
      <c r="FM85" s="19"/>
      <c r="FN85" s="19"/>
      <c r="FO85" s="19"/>
      <c r="FP85" s="19"/>
      <c r="FQ85" s="19"/>
      <c r="FR85" s="19"/>
      <c r="FS85" s="19"/>
      <c r="FT85" s="19"/>
      <c r="FU85" s="19"/>
      <c r="FV85" s="19"/>
      <c r="FW85" s="19"/>
      <c r="FX85" s="19"/>
      <c r="FY85" s="19"/>
      <c r="FZ85" s="19"/>
      <c r="GA85" s="19"/>
      <c r="GB85" s="19"/>
      <c r="GC85" s="19"/>
      <c r="GD85" s="19"/>
      <c r="GE85" s="19"/>
      <c r="GF85" s="19"/>
      <c r="GG85" s="19"/>
      <c r="GH85" s="19"/>
      <c r="GI85" s="19"/>
      <c r="GJ85" s="19"/>
      <c r="GK85" s="19"/>
      <c r="GL85" s="19"/>
      <c r="GM85" s="19"/>
      <c r="GN85" s="19"/>
      <c r="GO85" s="19"/>
      <c r="GP85" s="19"/>
      <c r="GQ85" s="19"/>
      <c r="GR85" s="19"/>
      <c r="GS85" s="19"/>
      <c r="GT85" s="19"/>
      <c r="GU85" s="19"/>
      <c r="GV85" s="19"/>
      <c r="GW85" s="19"/>
      <c r="GX85" s="19"/>
      <c r="GY85" s="19"/>
      <c r="GZ85" s="19"/>
      <c r="HA85" s="19"/>
      <c r="HB85" s="19"/>
    </row>
    <row r="86" spans="1:210" x14ac:dyDescent="0.25">
      <c r="A86" s="113">
        <f t="shared" ref="A86:A149" si="17">A85-1</f>
        <v>44</v>
      </c>
      <c r="B86" s="163"/>
      <c r="C86" s="172" t="str">
        <f t="shared" si="12"/>
        <v>RTH at 44 °C</v>
      </c>
      <c r="D86" s="196">
        <f t="shared" ref="D86:D104" si="18">$D$20-(ROW(D86)-ROW($D$20))*($D$20-$D$105)/(ROW($D$105)-ROW($D$20))</f>
        <v>1.5588235294117647</v>
      </c>
      <c r="E86" s="197">
        <v>4.9939999999999998</v>
      </c>
      <c r="F86" s="198">
        <v>5.08</v>
      </c>
      <c r="G86" s="199">
        <v>5.165</v>
      </c>
      <c r="H86" s="128" t="s">
        <v>18</v>
      </c>
      <c r="I86" s="29"/>
      <c r="J86" s="29">
        <v>5.165</v>
      </c>
      <c r="K86" s="29">
        <v>5.08</v>
      </c>
      <c r="L86" s="29">
        <v>4.9939999999999998</v>
      </c>
      <c r="M86" s="29"/>
      <c r="N86" s="29"/>
      <c r="O86" s="29"/>
      <c r="P86" s="29"/>
      <c r="Q86" s="29"/>
      <c r="R86" s="29"/>
      <c r="S86" s="29"/>
      <c r="T86" s="29"/>
      <c r="U86" s="29"/>
      <c r="V86" s="29"/>
      <c r="W86" s="29"/>
      <c r="X86" s="29"/>
      <c r="Y86" s="30"/>
      <c r="Z86" s="18"/>
      <c r="AA86" s="19"/>
      <c r="AB86" s="19"/>
      <c r="AC86" s="20">
        <f t="shared" si="13"/>
        <v>44</v>
      </c>
      <c r="AD86" s="20">
        <f t="shared" si="14"/>
        <v>4.9939999999999998</v>
      </c>
      <c r="AE86" s="20">
        <f t="shared" si="15"/>
        <v>5.08</v>
      </c>
      <c r="AF86" s="20">
        <f t="shared" si="16"/>
        <v>5.165</v>
      </c>
      <c r="AG86" s="20">
        <f>Table9[[#This Row],[RTH(min) (kΩ)]]*RT2_TH_MIN/(RT2_TH_MIN+Table9[[#This Row],[RTH(min) (kΩ)]])</f>
        <v>4.2908452683323759</v>
      </c>
      <c r="AH86" s="20">
        <f>Table9[[#This Row],[RTH(nom) (kΩ)]]*RT2_TH_S/(RT2_TH_S+Table9[[#This Row],[RTH(nom) (kΩ)]])</f>
        <v>4.3548012437788275</v>
      </c>
      <c r="AI86" s="20">
        <f>Table9[[#This Row],[RTH(max) (kΩ)]]*RT2_TH_S_MAX/(RT2_TH_S_MAX+Table9[[#This Row],[RTH(max) (kΩ)]])</f>
        <v>4.4177552094004273</v>
      </c>
      <c r="AJ86" s="20">
        <f>Table9[[#This Row],[RLower(min) (kΩ)]]/(Table9[[#This Row],[RLower(min) (kΩ)]]+RT1_TH_S_MAX)*100</f>
        <v>45.029006352899351</v>
      </c>
      <c r="AK86" s="20">
        <f>Table9[[#This Row],[RLower(nom) (kΩ)]]/(Table9[[#This Row],[RLower(nom) (kΩ)]]+RT1_TH_S)*100</f>
        <v>45.420270552073696</v>
      </c>
      <c r="AL86" s="20">
        <f>Table9[[#This Row],[RLower(max) (kΩ)]]/(Table9[[#This Row],[RLower(max) (kΩ)]]+RT1_TH_S_MIN)*100</f>
        <v>45.801141341003429</v>
      </c>
      <c r="AM86" s="20">
        <f>IF(Table9[[#This Row],[Vmin (%)]]&lt;$BA$14, 0, IF(Table9[[#This Row],[Vmin (%)]]&lt;$BA$12, 4, IF(Table9[[#This Row],[Vmin (%)]]&lt;$BA$9, 3, IF(Table9[[#This Row],[Vmin (%)]]&lt;$BA$7, 2, 0))))</f>
        <v>3</v>
      </c>
      <c r="AN86" s="20">
        <f>IF(Table9[[#This Row],[Vmin (%)]]&lt;$BA$13, 0, IF(Table9[[#This Row],[Vmin (%)]]&lt;$BA$11, 4, IF(Table9[[#This Row],[Vmin (%)]]&lt;$BA$10, 3, IF(Table9[[#This Row],[Vmin (%)]]&lt;$BA$8, 2, 0))))</f>
        <v>3</v>
      </c>
      <c r="AO86" s="76" t="str">
        <f>IF(Table9[[#This Row],[Vmin (%)]]&lt;$BA$14, "Hot", IF(Table9[[#This Row],[Vmin (%)]]&lt;$BA$12, "Warm", IF(Table9[[#This Row],[Vmin (%)]]&lt;$BA$9, "Normal", IF(Table9[[#This Row],[Vmin (%)]]&lt;$BA$7, "Cool", "Cold"))))</f>
        <v>Normal</v>
      </c>
      <c r="AP86" s="19"/>
      <c r="AQ86" s="19"/>
      <c r="AR86" s="19"/>
      <c r="AS86" s="19"/>
      <c r="AT86" s="19"/>
      <c r="AU86" s="19"/>
      <c r="AV86" s="19"/>
      <c r="AW86" s="19"/>
      <c r="AX86" s="19"/>
      <c r="AY86" s="19"/>
      <c r="AZ86" s="19"/>
      <c r="BA86" s="19"/>
      <c r="BB86" s="19"/>
      <c r="BC86" s="19"/>
      <c r="BD86" s="19"/>
      <c r="BE86" s="19"/>
      <c r="BF86" s="19"/>
      <c r="BG86" s="19"/>
      <c r="BH86" s="19"/>
      <c r="BI86" s="19"/>
      <c r="BJ86" s="19"/>
      <c r="BK86" s="19"/>
      <c r="BL86" s="19"/>
      <c r="BM86" s="19"/>
      <c r="BN86" s="19"/>
      <c r="BO86" s="19"/>
      <c r="BP86" s="19"/>
      <c r="BQ86" s="19"/>
      <c r="BR86" s="19"/>
      <c r="BS86" s="19"/>
      <c r="BT86" s="19"/>
      <c r="BU86" s="19"/>
      <c r="BV86" s="19"/>
      <c r="BW86" s="19"/>
      <c r="BX86" s="19"/>
      <c r="BY86" s="19"/>
      <c r="BZ86" s="19"/>
      <c r="CA86" s="19"/>
      <c r="CB86" s="19"/>
      <c r="CC86" s="19"/>
      <c r="CD86" s="19"/>
      <c r="CE86" s="19"/>
      <c r="CF86" s="19"/>
      <c r="CG86" s="19"/>
      <c r="CH86" s="19"/>
      <c r="CI86" s="19"/>
      <c r="CJ86" s="19"/>
      <c r="CK86" s="19"/>
      <c r="CL86" s="19"/>
      <c r="CM86" s="19"/>
      <c r="CN86" s="19"/>
      <c r="CO86" s="19"/>
      <c r="CP86" s="19"/>
      <c r="CQ86" s="19"/>
      <c r="CR86" s="19"/>
      <c r="CS86" s="19"/>
      <c r="CT86" s="19"/>
      <c r="CU86" s="19"/>
      <c r="CV86" s="19"/>
      <c r="CW86" s="19"/>
      <c r="CX86" s="19"/>
      <c r="CY86" s="19"/>
      <c r="CZ86" s="19"/>
      <c r="DA86" s="19"/>
      <c r="DB86" s="19"/>
      <c r="DC86" s="19"/>
      <c r="DD86" s="19"/>
      <c r="DE86" s="19"/>
      <c r="DF86" s="19"/>
      <c r="DG86" s="19"/>
      <c r="DH86" s="19"/>
      <c r="DI86" s="19"/>
      <c r="DJ86" s="19"/>
      <c r="DK86" s="19"/>
      <c r="DL86" s="19"/>
      <c r="DM86" s="19"/>
      <c r="DN86" s="19"/>
      <c r="DO86" s="19"/>
      <c r="DP86" s="19"/>
      <c r="DQ86" s="19"/>
      <c r="DR86" s="19"/>
      <c r="DS86" s="19"/>
      <c r="DT86" s="19"/>
      <c r="DU86" s="19"/>
      <c r="DV86" s="19"/>
      <c r="DW86" s="19"/>
      <c r="DX86" s="19"/>
      <c r="DY86" s="19"/>
      <c r="DZ86" s="19"/>
      <c r="EA86" s="19"/>
      <c r="EB86" s="19"/>
      <c r="EC86" s="19"/>
      <c r="ED86" s="19"/>
      <c r="EE86" s="19"/>
      <c r="EF86" s="19"/>
      <c r="EG86" s="19"/>
      <c r="EH86" s="19"/>
      <c r="EI86" s="19"/>
      <c r="EJ86" s="19"/>
      <c r="EK86" s="19"/>
      <c r="EL86" s="19"/>
      <c r="EM86" s="19"/>
      <c r="EN86" s="19"/>
      <c r="EO86" s="19"/>
      <c r="EP86" s="19"/>
      <c r="EQ86" s="19"/>
      <c r="ER86" s="19"/>
      <c r="ES86" s="19"/>
      <c r="ET86" s="19"/>
      <c r="EU86" s="19"/>
      <c r="EV86" s="19"/>
      <c r="EW86" s="19"/>
      <c r="EX86" s="19"/>
      <c r="EY86" s="19"/>
      <c r="EZ86" s="19"/>
      <c r="FA86" s="19"/>
      <c r="FB86" s="19"/>
      <c r="FC86" s="19"/>
      <c r="FD86" s="19"/>
      <c r="FE86" s="19"/>
      <c r="FF86" s="19"/>
      <c r="FG86" s="19"/>
      <c r="FH86" s="19"/>
      <c r="FI86" s="19"/>
      <c r="FJ86" s="19"/>
      <c r="FK86" s="19"/>
      <c r="FL86" s="19"/>
      <c r="FM86" s="19"/>
      <c r="FN86" s="19"/>
      <c r="FO86" s="19"/>
      <c r="FP86" s="19"/>
      <c r="FQ86" s="19"/>
      <c r="FR86" s="19"/>
      <c r="FS86" s="19"/>
      <c r="FT86" s="19"/>
      <c r="FU86" s="19"/>
      <c r="FV86" s="19"/>
      <c r="FW86" s="19"/>
      <c r="FX86" s="19"/>
      <c r="FY86" s="19"/>
      <c r="FZ86" s="19"/>
      <c r="GA86" s="19"/>
      <c r="GB86" s="19"/>
      <c r="GC86" s="19"/>
      <c r="GD86" s="19"/>
      <c r="GE86" s="19"/>
      <c r="GF86" s="19"/>
      <c r="GG86" s="19"/>
      <c r="GH86" s="19"/>
      <c r="GI86" s="19"/>
      <c r="GJ86" s="19"/>
      <c r="GK86" s="19"/>
      <c r="GL86" s="19"/>
      <c r="GM86" s="19"/>
      <c r="GN86" s="19"/>
      <c r="GO86" s="19"/>
      <c r="GP86" s="19"/>
      <c r="GQ86" s="19"/>
      <c r="GR86" s="19"/>
      <c r="GS86" s="19"/>
      <c r="GT86" s="19"/>
      <c r="GU86" s="19"/>
      <c r="GV86" s="19"/>
      <c r="GW86" s="19"/>
      <c r="GX86" s="19"/>
      <c r="GY86" s="19"/>
      <c r="GZ86" s="19"/>
      <c r="HA86" s="19"/>
      <c r="HB86" s="19"/>
    </row>
    <row r="87" spans="1:210" x14ac:dyDescent="0.25">
      <c r="A87" s="113">
        <f t="shared" si="17"/>
        <v>43</v>
      </c>
      <c r="B87" s="163"/>
      <c r="C87" s="172" t="str">
        <f t="shared" si="12"/>
        <v>RTH at 43 °C</v>
      </c>
      <c r="D87" s="196">
        <f t="shared" si="18"/>
        <v>1.5294117647058822</v>
      </c>
      <c r="E87" s="197">
        <v>5.1689999999999996</v>
      </c>
      <c r="F87" s="198">
        <v>5.2549999999999999</v>
      </c>
      <c r="G87" s="199">
        <v>5.3419999999999996</v>
      </c>
      <c r="H87" s="128" t="s">
        <v>18</v>
      </c>
      <c r="I87" s="29"/>
      <c r="J87" s="29">
        <v>5.3419999999999996</v>
      </c>
      <c r="K87" s="29">
        <v>5.2549999999999999</v>
      </c>
      <c r="L87" s="29">
        <v>5.1689999999999996</v>
      </c>
      <c r="M87" s="29"/>
      <c r="N87" s="29"/>
      <c r="O87" s="29"/>
      <c r="P87" s="29"/>
      <c r="Q87" s="29"/>
      <c r="R87" s="29"/>
      <c r="S87" s="29"/>
      <c r="T87" s="29"/>
      <c r="U87" s="29"/>
      <c r="V87" s="29"/>
      <c r="W87" s="29"/>
      <c r="X87" s="29"/>
      <c r="Y87" s="30"/>
      <c r="Z87" s="18"/>
      <c r="AA87" s="19"/>
      <c r="AB87" s="19"/>
      <c r="AC87" s="20">
        <f t="shared" si="13"/>
        <v>43</v>
      </c>
      <c r="AD87" s="20">
        <f t="shared" si="14"/>
        <v>5.1689999999999996</v>
      </c>
      <c r="AE87" s="20">
        <f t="shared" si="15"/>
        <v>5.2549999999999999</v>
      </c>
      <c r="AF87" s="20">
        <f t="shared" si="16"/>
        <v>5.3419999999999996</v>
      </c>
      <c r="AG87" s="20">
        <f>Table9[[#This Row],[RTH(min) (kΩ)]]*RT2_TH_MIN/(RT2_TH_MIN+Table9[[#This Row],[RTH(min) (kΩ)]])</f>
        <v>4.4194003284830696</v>
      </c>
      <c r="AH87" s="20">
        <f>Table9[[#This Row],[RTH(nom) (kΩ)]]*RT2_TH_S/(RT2_TH_S+Table9[[#This Row],[RTH(nom) (kΩ)]])</f>
        <v>4.4827737800882197</v>
      </c>
      <c r="AI87" s="20">
        <f>Table9[[#This Row],[RTH(max) (kΩ)]]*RT2_TH_S_MAX/(RT2_TH_S_MAX+Table9[[#This Row],[RTH(max) (kΩ)]])</f>
        <v>4.5466062862862975</v>
      </c>
      <c r="AJ87" s="20">
        <f>Table9[[#This Row],[RLower(min) (kΩ)]]/(Table9[[#This Row],[RLower(min) (kΩ)]]+RT1_TH_S_MAX)*100</f>
        <v>45.760739028921257</v>
      </c>
      <c r="AK87" s="20">
        <f>Table9[[#This Row],[RLower(nom) (kΩ)]]/(Table9[[#This Row],[RLower(nom) (kΩ)]]+RT1_TH_S)*100</f>
        <v>46.139174978135998</v>
      </c>
      <c r="AL87" s="20">
        <f>Table9[[#This Row],[RLower(max) (kΩ)]]/(Table9[[#This Row],[RLower(max) (kΩ)]]+RT1_TH_S_MIN)*100</f>
        <v>46.515620665533334</v>
      </c>
      <c r="AM87" s="20">
        <f>IF(Table9[[#This Row],[Vmin (%)]]&lt;$BA$14, 0, IF(Table9[[#This Row],[Vmin (%)]]&lt;$BA$12, 4, IF(Table9[[#This Row],[Vmin (%)]]&lt;$BA$9, 3, IF(Table9[[#This Row],[Vmin (%)]]&lt;$BA$7, 2, 0))))</f>
        <v>3</v>
      </c>
      <c r="AN87" s="20">
        <f>IF(Table9[[#This Row],[Vmin (%)]]&lt;$BA$13, 0, IF(Table9[[#This Row],[Vmin (%)]]&lt;$BA$11, 4, IF(Table9[[#This Row],[Vmin (%)]]&lt;$BA$10, 3, IF(Table9[[#This Row],[Vmin (%)]]&lt;$BA$8, 2, 0))))</f>
        <v>3</v>
      </c>
      <c r="AO87" s="76" t="str">
        <f>IF(Table9[[#This Row],[Vmin (%)]]&lt;$BA$14, "Hot", IF(Table9[[#This Row],[Vmin (%)]]&lt;$BA$12, "Warm", IF(Table9[[#This Row],[Vmin (%)]]&lt;$BA$9, "Normal", IF(Table9[[#This Row],[Vmin (%)]]&lt;$BA$7, "Cool", "Cold"))))</f>
        <v>Normal</v>
      </c>
      <c r="AP87" s="19"/>
      <c r="AQ87" s="19"/>
      <c r="AR87" s="19"/>
      <c r="AS87" s="19"/>
      <c r="AT87" s="19"/>
      <c r="AU87" s="19"/>
      <c r="AV87" s="19"/>
      <c r="AW87" s="19"/>
      <c r="AX87" s="19"/>
      <c r="AY87" s="19"/>
      <c r="AZ87" s="19"/>
      <c r="BA87" s="19"/>
      <c r="BB87" s="19"/>
      <c r="BC87" s="19"/>
      <c r="BD87" s="19"/>
      <c r="BE87" s="19"/>
      <c r="BF87" s="19"/>
      <c r="BG87" s="19"/>
      <c r="BH87" s="19"/>
      <c r="BI87" s="19"/>
      <c r="BJ87" s="19"/>
      <c r="BK87" s="19"/>
      <c r="BL87" s="19"/>
      <c r="BM87" s="19"/>
      <c r="BN87" s="19"/>
      <c r="BO87" s="19"/>
      <c r="BP87" s="19"/>
      <c r="BQ87" s="19"/>
      <c r="BR87" s="19"/>
      <c r="BS87" s="19"/>
      <c r="BT87" s="19"/>
      <c r="BU87" s="19"/>
      <c r="BV87" s="19"/>
      <c r="BW87" s="19"/>
      <c r="BX87" s="19"/>
      <c r="BY87" s="19"/>
      <c r="BZ87" s="19"/>
      <c r="CA87" s="19"/>
      <c r="CB87" s="19"/>
      <c r="CC87" s="19"/>
      <c r="CD87" s="19"/>
      <c r="CE87" s="19"/>
      <c r="CF87" s="19"/>
      <c r="CG87" s="19"/>
      <c r="CH87" s="19"/>
      <c r="CI87" s="19"/>
      <c r="CJ87" s="19"/>
      <c r="CK87" s="19"/>
      <c r="CL87" s="19"/>
      <c r="CM87" s="19"/>
      <c r="CN87" s="19"/>
      <c r="CO87" s="19"/>
      <c r="CP87" s="19"/>
      <c r="CQ87" s="19"/>
      <c r="CR87" s="19"/>
      <c r="CS87" s="19"/>
      <c r="CT87" s="19"/>
      <c r="CU87" s="19"/>
      <c r="CV87" s="19"/>
      <c r="CW87" s="19"/>
      <c r="CX87" s="19"/>
      <c r="CY87" s="19"/>
      <c r="CZ87" s="19"/>
      <c r="DA87" s="19"/>
      <c r="DB87" s="19"/>
      <c r="DC87" s="19"/>
      <c r="DD87" s="19"/>
      <c r="DE87" s="19"/>
      <c r="DF87" s="19"/>
      <c r="DG87" s="19"/>
      <c r="DH87" s="19"/>
      <c r="DI87" s="19"/>
      <c r="DJ87" s="19"/>
      <c r="DK87" s="19"/>
      <c r="DL87" s="19"/>
      <c r="DM87" s="19"/>
      <c r="DN87" s="19"/>
      <c r="DO87" s="19"/>
      <c r="DP87" s="19"/>
      <c r="DQ87" s="19"/>
      <c r="DR87" s="19"/>
      <c r="DS87" s="19"/>
      <c r="DT87" s="19"/>
      <c r="DU87" s="19"/>
      <c r="DV87" s="19"/>
      <c r="DW87" s="19"/>
      <c r="DX87" s="19"/>
      <c r="DY87" s="19"/>
      <c r="DZ87" s="19"/>
      <c r="EA87" s="19"/>
      <c r="EB87" s="19"/>
      <c r="EC87" s="19"/>
      <c r="ED87" s="19"/>
      <c r="EE87" s="19"/>
      <c r="EF87" s="19"/>
      <c r="EG87" s="19"/>
      <c r="EH87" s="19"/>
      <c r="EI87" s="19"/>
      <c r="EJ87" s="19"/>
      <c r="EK87" s="19"/>
      <c r="EL87" s="19"/>
      <c r="EM87" s="19"/>
      <c r="EN87" s="19"/>
      <c r="EO87" s="19"/>
      <c r="EP87" s="19"/>
      <c r="EQ87" s="19"/>
      <c r="ER87" s="19"/>
      <c r="ES87" s="19"/>
      <c r="ET87" s="19"/>
      <c r="EU87" s="19"/>
      <c r="EV87" s="19"/>
      <c r="EW87" s="19"/>
      <c r="EX87" s="19"/>
      <c r="EY87" s="19"/>
      <c r="EZ87" s="19"/>
      <c r="FA87" s="19"/>
      <c r="FB87" s="19"/>
      <c r="FC87" s="19"/>
      <c r="FD87" s="19"/>
      <c r="FE87" s="19"/>
      <c r="FF87" s="19"/>
      <c r="FG87" s="19"/>
      <c r="FH87" s="19"/>
      <c r="FI87" s="19"/>
      <c r="FJ87" s="19"/>
      <c r="FK87" s="19"/>
      <c r="FL87" s="19"/>
      <c r="FM87" s="19"/>
      <c r="FN87" s="19"/>
      <c r="FO87" s="19"/>
      <c r="FP87" s="19"/>
      <c r="FQ87" s="19"/>
      <c r="FR87" s="19"/>
      <c r="FS87" s="19"/>
      <c r="FT87" s="19"/>
      <c r="FU87" s="19"/>
      <c r="FV87" s="19"/>
      <c r="FW87" s="19"/>
      <c r="FX87" s="19"/>
      <c r="FY87" s="19"/>
      <c r="FZ87" s="19"/>
      <c r="GA87" s="19"/>
      <c r="GB87" s="19"/>
      <c r="GC87" s="19"/>
      <c r="GD87" s="19"/>
      <c r="GE87" s="19"/>
      <c r="GF87" s="19"/>
      <c r="GG87" s="19"/>
      <c r="GH87" s="19"/>
      <c r="GI87" s="19"/>
      <c r="GJ87" s="19"/>
      <c r="GK87" s="19"/>
      <c r="GL87" s="19"/>
      <c r="GM87" s="19"/>
      <c r="GN87" s="19"/>
      <c r="GO87" s="19"/>
      <c r="GP87" s="19"/>
      <c r="GQ87" s="19"/>
      <c r="GR87" s="19"/>
      <c r="GS87" s="19"/>
      <c r="GT87" s="19"/>
      <c r="GU87" s="19"/>
      <c r="GV87" s="19"/>
      <c r="GW87" s="19"/>
      <c r="GX87" s="19"/>
      <c r="GY87" s="19"/>
      <c r="GZ87" s="19"/>
      <c r="HA87" s="19"/>
      <c r="HB87" s="19"/>
    </row>
    <row r="88" spans="1:210" x14ac:dyDescent="0.25">
      <c r="A88" s="113">
        <f t="shared" si="17"/>
        <v>42</v>
      </c>
      <c r="B88" s="163"/>
      <c r="C88" s="172" t="str">
        <f t="shared" si="12"/>
        <v>RTH at 42 °C</v>
      </c>
      <c r="D88" s="196">
        <f t="shared" si="18"/>
        <v>1.5</v>
      </c>
      <c r="E88" s="197">
        <v>5.351</v>
      </c>
      <c r="F88" s="198">
        <v>5.4379999999999997</v>
      </c>
      <c r="G88" s="199">
        <v>5.5259999999999998</v>
      </c>
      <c r="H88" s="128" t="s">
        <v>18</v>
      </c>
      <c r="I88" s="29"/>
      <c r="J88" s="29">
        <v>5.5259999999999998</v>
      </c>
      <c r="K88" s="29">
        <v>5.4379999999999997</v>
      </c>
      <c r="L88" s="29">
        <v>5.351</v>
      </c>
      <c r="M88" s="29"/>
      <c r="N88" s="29"/>
      <c r="O88" s="29"/>
      <c r="P88" s="29"/>
      <c r="Q88" s="29"/>
      <c r="R88" s="29"/>
      <c r="S88" s="29"/>
      <c r="T88" s="29"/>
      <c r="U88" s="29"/>
      <c r="V88" s="29"/>
      <c r="W88" s="29"/>
      <c r="X88" s="29"/>
      <c r="Y88" s="30"/>
      <c r="Z88" s="18"/>
      <c r="AA88" s="19"/>
      <c r="AB88" s="19"/>
      <c r="AC88" s="20">
        <f t="shared" si="13"/>
        <v>42</v>
      </c>
      <c r="AD88" s="20">
        <f t="shared" si="14"/>
        <v>5.351</v>
      </c>
      <c r="AE88" s="20">
        <f t="shared" si="15"/>
        <v>5.4379999999999997</v>
      </c>
      <c r="AF88" s="20">
        <f t="shared" si="16"/>
        <v>5.5259999999999998</v>
      </c>
      <c r="AG88" s="20">
        <f>Table9[[#This Row],[RTH(min) (kΩ)]]*RT2_TH_MIN/(RT2_TH_MIN+Table9[[#This Row],[RTH(min) (kΩ)]])</f>
        <v>4.5517653121270181</v>
      </c>
      <c r="AH88" s="20">
        <f>Table9[[#This Row],[RTH(nom) (kΩ)]]*RT2_TH_S/(RT2_TH_S+Table9[[#This Row],[RTH(nom) (kΩ)]])</f>
        <v>4.6152635969000837</v>
      </c>
      <c r="AI88" s="20">
        <f>Table9[[#This Row],[RTH(max) (kΩ)]]*RT2_TH_S_MAX/(RT2_TH_S_MAX+Table9[[#This Row],[RTH(max) (kΩ)]])</f>
        <v>4.6792122801732088</v>
      </c>
      <c r="AJ88" s="20">
        <f>Table9[[#This Row],[RLower(min) (kΩ)]]/(Table9[[#This Row],[RLower(min) (kΩ)]]+RT1_TH_S_MAX)*100</f>
        <v>46.494077806036252</v>
      </c>
      <c r="AK88" s="20">
        <f>Table9[[#This Row],[RLower(nom) (kΩ)]]/(Table9[[#This Row],[RLower(nom) (kΩ)]]+RT1_TH_S)*100</f>
        <v>46.863771470223767</v>
      </c>
      <c r="AL88" s="20">
        <f>Table9[[#This Row],[RLower(max) (kΩ)]]/(Table9[[#This Row],[RLower(max) (kΩ)]]+RT1_TH_S_MIN)*100</f>
        <v>47.23151553218328</v>
      </c>
      <c r="AM88" s="20">
        <f>IF(Table9[[#This Row],[Vmin (%)]]&lt;$BA$14, 0, IF(Table9[[#This Row],[Vmin (%)]]&lt;$BA$12, 4, IF(Table9[[#This Row],[Vmin (%)]]&lt;$BA$9, 3, IF(Table9[[#This Row],[Vmin (%)]]&lt;$BA$7, 2, 0))))</f>
        <v>3</v>
      </c>
      <c r="AN88" s="20">
        <f>IF(Table9[[#This Row],[Vmin (%)]]&lt;$BA$13, 0, IF(Table9[[#This Row],[Vmin (%)]]&lt;$BA$11, 4, IF(Table9[[#This Row],[Vmin (%)]]&lt;$BA$10, 3, IF(Table9[[#This Row],[Vmin (%)]]&lt;$BA$8, 2, 0))))</f>
        <v>3</v>
      </c>
      <c r="AO88" s="76" t="str">
        <f>IF(Table9[[#This Row],[Vmin (%)]]&lt;$BA$14, "Hot", IF(Table9[[#This Row],[Vmin (%)]]&lt;$BA$12, "Warm", IF(Table9[[#This Row],[Vmin (%)]]&lt;$BA$9, "Normal", IF(Table9[[#This Row],[Vmin (%)]]&lt;$BA$7, "Cool", "Cold"))))</f>
        <v>Normal</v>
      </c>
      <c r="AP88" s="19"/>
      <c r="AQ88" s="19"/>
      <c r="AR88" s="19"/>
      <c r="AS88" s="19"/>
      <c r="AT88" s="19"/>
      <c r="AU88" s="19"/>
      <c r="AV88" s="19"/>
      <c r="AW88" s="19"/>
      <c r="AX88" s="19"/>
      <c r="AY88" s="19"/>
      <c r="AZ88" s="19"/>
      <c r="BA88" s="19"/>
      <c r="BB88" s="19"/>
      <c r="BC88" s="19"/>
      <c r="BD88" s="19"/>
      <c r="BE88" s="19"/>
      <c r="BF88" s="19"/>
      <c r="BG88" s="19"/>
      <c r="BH88" s="19"/>
      <c r="BI88" s="19"/>
      <c r="BJ88" s="19"/>
      <c r="BK88" s="19"/>
      <c r="BL88" s="19"/>
      <c r="BM88" s="19"/>
      <c r="BN88" s="19"/>
      <c r="BO88" s="19"/>
      <c r="BP88" s="19"/>
      <c r="BQ88" s="19"/>
      <c r="BR88" s="19"/>
      <c r="BS88" s="19"/>
      <c r="BT88" s="19"/>
      <c r="BU88" s="19"/>
      <c r="BV88" s="19"/>
      <c r="BW88" s="19"/>
      <c r="BX88" s="19"/>
      <c r="BY88" s="19"/>
      <c r="BZ88" s="19"/>
      <c r="CA88" s="19"/>
      <c r="CB88" s="19"/>
      <c r="CC88" s="19"/>
      <c r="CD88" s="19"/>
      <c r="CE88" s="19"/>
      <c r="CF88" s="19"/>
      <c r="CG88" s="19"/>
      <c r="CH88" s="19"/>
      <c r="CI88" s="19"/>
      <c r="CJ88" s="19"/>
      <c r="CK88" s="19"/>
      <c r="CL88" s="19"/>
      <c r="CM88" s="19"/>
      <c r="CN88" s="19"/>
      <c r="CO88" s="19"/>
      <c r="CP88" s="19"/>
      <c r="CQ88" s="19"/>
      <c r="CR88" s="19"/>
      <c r="CS88" s="19"/>
      <c r="CT88" s="19"/>
      <c r="CU88" s="19"/>
      <c r="CV88" s="19"/>
      <c r="CW88" s="19"/>
      <c r="CX88" s="19"/>
      <c r="CY88" s="19"/>
      <c r="CZ88" s="19"/>
      <c r="DA88" s="19"/>
      <c r="DB88" s="19"/>
      <c r="DC88" s="19"/>
      <c r="DD88" s="19"/>
      <c r="DE88" s="19"/>
      <c r="DF88" s="19"/>
      <c r="DG88" s="19"/>
      <c r="DH88" s="19"/>
      <c r="DI88" s="19"/>
      <c r="DJ88" s="19"/>
      <c r="DK88" s="19"/>
      <c r="DL88" s="19"/>
      <c r="DM88" s="19"/>
      <c r="DN88" s="19"/>
      <c r="DO88" s="19"/>
      <c r="DP88" s="19"/>
      <c r="DQ88" s="19"/>
      <c r="DR88" s="19"/>
      <c r="DS88" s="19"/>
      <c r="DT88" s="19"/>
      <c r="DU88" s="19"/>
      <c r="DV88" s="19"/>
      <c r="DW88" s="19"/>
      <c r="DX88" s="19"/>
      <c r="DY88" s="19"/>
      <c r="DZ88" s="19"/>
      <c r="EA88" s="19"/>
      <c r="EB88" s="19"/>
      <c r="EC88" s="19"/>
      <c r="ED88" s="19"/>
      <c r="EE88" s="19"/>
      <c r="EF88" s="19"/>
      <c r="EG88" s="19"/>
      <c r="EH88" s="19"/>
      <c r="EI88" s="19"/>
      <c r="EJ88" s="19"/>
      <c r="EK88" s="19"/>
      <c r="EL88" s="19"/>
      <c r="EM88" s="19"/>
      <c r="EN88" s="19"/>
      <c r="EO88" s="19"/>
      <c r="EP88" s="19"/>
      <c r="EQ88" s="19"/>
      <c r="ER88" s="19"/>
      <c r="ES88" s="19"/>
      <c r="ET88" s="19"/>
      <c r="EU88" s="19"/>
      <c r="EV88" s="19"/>
      <c r="EW88" s="19"/>
      <c r="EX88" s="19"/>
      <c r="EY88" s="19"/>
      <c r="EZ88" s="19"/>
      <c r="FA88" s="19"/>
      <c r="FB88" s="19"/>
      <c r="FC88" s="19"/>
      <c r="FD88" s="19"/>
      <c r="FE88" s="19"/>
      <c r="FF88" s="19"/>
      <c r="FG88" s="19"/>
      <c r="FH88" s="19"/>
      <c r="FI88" s="19"/>
      <c r="FJ88" s="19"/>
      <c r="FK88" s="19"/>
      <c r="FL88" s="19"/>
      <c r="FM88" s="19"/>
      <c r="FN88" s="19"/>
      <c r="FO88" s="19"/>
      <c r="FP88" s="19"/>
      <c r="FQ88" s="19"/>
      <c r="FR88" s="19"/>
      <c r="FS88" s="19"/>
      <c r="FT88" s="19"/>
      <c r="FU88" s="19"/>
      <c r="FV88" s="19"/>
      <c r="FW88" s="19"/>
      <c r="FX88" s="19"/>
      <c r="FY88" s="19"/>
      <c r="FZ88" s="19"/>
      <c r="GA88" s="19"/>
      <c r="GB88" s="19"/>
      <c r="GC88" s="19"/>
      <c r="GD88" s="19"/>
      <c r="GE88" s="19"/>
      <c r="GF88" s="19"/>
      <c r="GG88" s="19"/>
      <c r="GH88" s="19"/>
      <c r="GI88" s="19"/>
      <c r="GJ88" s="19"/>
      <c r="GK88" s="19"/>
      <c r="GL88" s="19"/>
      <c r="GM88" s="19"/>
      <c r="GN88" s="19"/>
      <c r="GO88" s="19"/>
      <c r="GP88" s="19"/>
      <c r="GQ88" s="19"/>
      <c r="GR88" s="19"/>
      <c r="GS88" s="19"/>
      <c r="GT88" s="19"/>
      <c r="GU88" s="19"/>
      <c r="GV88" s="19"/>
      <c r="GW88" s="19"/>
      <c r="GX88" s="19"/>
      <c r="GY88" s="19"/>
      <c r="GZ88" s="19"/>
      <c r="HA88" s="19"/>
      <c r="HB88" s="19"/>
    </row>
    <row r="89" spans="1:210" x14ac:dyDescent="0.25">
      <c r="A89" s="113">
        <f t="shared" si="17"/>
        <v>41</v>
      </c>
      <c r="B89" s="163"/>
      <c r="C89" s="172" t="str">
        <f t="shared" si="12"/>
        <v>RTH at 41 °C</v>
      </c>
      <c r="D89" s="196">
        <f t="shared" si="18"/>
        <v>1.4705882352941178</v>
      </c>
      <c r="E89" s="197">
        <v>5.54</v>
      </c>
      <c r="F89" s="198">
        <v>5.6289999999999996</v>
      </c>
      <c r="G89" s="199">
        <v>5.718</v>
      </c>
      <c r="H89" s="128" t="s">
        <v>18</v>
      </c>
      <c r="I89" s="29"/>
      <c r="J89" s="29">
        <v>5.718</v>
      </c>
      <c r="K89" s="29">
        <v>5.6289999999999996</v>
      </c>
      <c r="L89" s="29">
        <v>5.54</v>
      </c>
      <c r="M89" s="29"/>
      <c r="N89" s="29"/>
      <c r="O89" s="29"/>
      <c r="P89" s="29"/>
      <c r="Q89" s="29"/>
      <c r="R89" s="29"/>
      <c r="S89" s="29"/>
      <c r="T89" s="29"/>
      <c r="U89" s="29"/>
      <c r="V89" s="29"/>
      <c r="W89" s="29"/>
      <c r="X89" s="29"/>
      <c r="Y89" s="30"/>
      <c r="Z89" s="18"/>
      <c r="AA89" s="19"/>
      <c r="AB89" s="19"/>
      <c r="AC89" s="20">
        <f t="shared" si="13"/>
        <v>41</v>
      </c>
      <c r="AD89" s="20">
        <f t="shared" si="14"/>
        <v>5.54</v>
      </c>
      <c r="AE89" s="20">
        <f t="shared" si="15"/>
        <v>5.6289999999999996</v>
      </c>
      <c r="AF89" s="20">
        <f t="shared" si="16"/>
        <v>5.718</v>
      </c>
      <c r="AG89" s="20">
        <f>Table9[[#This Row],[RTH(min) (kΩ)]]*RT2_TH_MIN/(RT2_TH_MIN+Table9[[#This Row],[RTH(min) (kΩ)]])</f>
        <v>4.6878052778944754</v>
      </c>
      <c r="AH89" s="20">
        <f>Table9[[#This Row],[RTH(nom) (kΩ)]]*RT2_TH_S/(RT2_TH_S+Table9[[#This Row],[RTH(nom) (kΩ)]])</f>
        <v>4.7521140633704881</v>
      </c>
      <c r="AI89" s="20">
        <f>Table9[[#This Row],[RTH(max) (kΩ)]]*RT2_TH_S_MAX/(RT2_TH_S_MAX+Table9[[#This Row],[RTH(max) (kΩ)]])</f>
        <v>4.8161486557031337</v>
      </c>
      <c r="AJ89" s="20">
        <f>Table9[[#This Row],[RLower(min) (kΩ)]]/(Table9[[#This Row],[RLower(min) (kΩ)]]+RT1_TH_S_MAX)*100</f>
        <v>47.227396590281984</v>
      </c>
      <c r="AK89" s="20">
        <f>Table9[[#This Row],[RLower(nom) (kΩ)]]/(Table9[[#This Row],[RLower(nom) (kΩ)]]+RT1_TH_S)*100</f>
        <v>47.592027959034752</v>
      </c>
      <c r="AL89" s="20">
        <f>Table9[[#This Row],[RLower(max) (kΩ)]]/(Table9[[#This Row],[RLower(max) (kΩ)]]+RT1_TH_S_MIN)*100</f>
        <v>47.950949228745365</v>
      </c>
      <c r="AM89" s="20">
        <f>IF(Table9[[#This Row],[Vmin (%)]]&lt;$BA$14, 0, IF(Table9[[#This Row],[Vmin (%)]]&lt;$BA$12, 4, IF(Table9[[#This Row],[Vmin (%)]]&lt;$BA$9, 3, IF(Table9[[#This Row],[Vmin (%)]]&lt;$BA$7, 2, 0))))</f>
        <v>3</v>
      </c>
      <c r="AN89" s="20">
        <f>IF(Table9[[#This Row],[Vmin (%)]]&lt;$BA$13, 0, IF(Table9[[#This Row],[Vmin (%)]]&lt;$BA$11, 4, IF(Table9[[#This Row],[Vmin (%)]]&lt;$BA$10, 3, IF(Table9[[#This Row],[Vmin (%)]]&lt;$BA$8, 2, 0))))</f>
        <v>3</v>
      </c>
      <c r="AO89" s="76" t="str">
        <f>IF(Table9[[#This Row],[Vmin (%)]]&lt;$BA$14, "Hot", IF(Table9[[#This Row],[Vmin (%)]]&lt;$BA$12, "Warm", IF(Table9[[#This Row],[Vmin (%)]]&lt;$BA$9, "Normal", IF(Table9[[#This Row],[Vmin (%)]]&lt;$BA$7, "Cool", "Cold"))))</f>
        <v>Normal</v>
      </c>
      <c r="AP89" s="19"/>
      <c r="AQ89" s="19"/>
      <c r="AR89" s="19"/>
      <c r="AS89" s="19"/>
      <c r="AT89" s="19"/>
      <c r="AU89" s="19"/>
      <c r="AV89" s="19"/>
      <c r="AW89" s="19"/>
      <c r="AX89" s="19"/>
      <c r="AY89" s="19"/>
      <c r="AZ89" s="19"/>
      <c r="BA89" s="19"/>
      <c r="BB89" s="19"/>
      <c r="BC89" s="19"/>
      <c r="BD89" s="19"/>
      <c r="BE89" s="19"/>
      <c r="BF89" s="19"/>
      <c r="BG89" s="19"/>
      <c r="BH89" s="19"/>
      <c r="BI89" s="19"/>
      <c r="BJ89" s="19"/>
      <c r="BK89" s="19"/>
      <c r="BL89" s="19"/>
      <c r="BM89" s="19"/>
      <c r="BN89" s="19"/>
      <c r="BO89" s="19"/>
      <c r="BP89" s="19"/>
      <c r="BQ89" s="19"/>
      <c r="BR89" s="19"/>
      <c r="BS89" s="19"/>
      <c r="BT89" s="19"/>
      <c r="BU89" s="19"/>
      <c r="BV89" s="19"/>
      <c r="BW89" s="19"/>
      <c r="BX89" s="19"/>
      <c r="BY89" s="19"/>
      <c r="BZ89" s="19"/>
      <c r="CA89" s="19"/>
      <c r="CB89" s="19"/>
      <c r="CC89" s="19"/>
      <c r="CD89" s="19"/>
      <c r="CE89" s="19"/>
      <c r="CF89" s="19"/>
      <c r="CG89" s="19"/>
      <c r="CH89" s="19"/>
      <c r="CI89" s="19"/>
      <c r="CJ89" s="19"/>
      <c r="CK89" s="19"/>
      <c r="CL89" s="19"/>
      <c r="CM89" s="19"/>
      <c r="CN89" s="19"/>
      <c r="CO89" s="19"/>
      <c r="CP89" s="19"/>
      <c r="CQ89" s="19"/>
      <c r="CR89" s="19"/>
      <c r="CS89" s="19"/>
      <c r="CT89" s="19"/>
      <c r="CU89" s="19"/>
      <c r="CV89" s="19"/>
      <c r="CW89" s="19"/>
      <c r="CX89" s="19"/>
      <c r="CY89" s="19"/>
      <c r="CZ89" s="19"/>
      <c r="DA89" s="19"/>
      <c r="DB89" s="19"/>
      <c r="DC89" s="19"/>
      <c r="DD89" s="19"/>
      <c r="DE89" s="19"/>
      <c r="DF89" s="19"/>
      <c r="DG89" s="19"/>
      <c r="DH89" s="19"/>
      <c r="DI89" s="19"/>
      <c r="DJ89" s="19"/>
      <c r="DK89" s="19"/>
      <c r="DL89" s="19"/>
      <c r="DM89" s="19"/>
      <c r="DN89" s="19"/>
      <c r="DO89" s="19"/>
      <c r="DP89" s="19"/>
      <c r="DQ89" s="19"/>
      <c r="DR89" s="19"/>
      <c r="DS89" s="19"/>
      <c r="DT89" s="19"/>
      <c r="DU89" s="19"/>
      <c r="DV89" s="19"/>
      <c r="DW89" s="19"/>
      <c r="DX89" s="19"/>
      <c r="DY89" s="19"/>
      <c r="DZ89" s="19"/>
      <c r="EA89" s="19"/>
      <c r="EB89" s="19"/>
      <c r="EC89" s="19"/>
      <c r="ED89" s="19"/>
      <c r="EE89" s="19"/>
      <c r="EF89" s="19"/>
      <c r="EG89" s="19"/>
      <c r="EH89" s="19"/>
      <c r="EI89" s="19"/>
      <c r="EJ89" s="19"/>
      <c r="EK89" s="19"/>
      <c r="EL89" s="19"/>
      <c r="EM89" s="19"/>
      <c r="EN89" s="19"/>
      <c r="EO89" s="19"/>
      <c r="EP89" s="19"/>
      <c r="EQ89" s="19"/>
      <c r="ER89" s="19"/>
      <c r="ES89" s="19"/>
      <c r="ET89" s="19"/>
      <c r="EU89" s="19"/>
      <c r="EV89" s="19"/>
      <c r="EW89" s="19"/>
      <c r="EX89" s="19"/>
      <c r="EY89" s="19"/>
      <c r="EZ89" s="19"/>
      <c r="FA89" s="19"/>
      <c r="FB89" s="19"/>
      <c r="FC89" s="19"/>
      <c r="FD89" s="19"/>
      <c r="FE89" s="19"/>
      <c r="FF89" s="19"/>
      <c r="FG89" s="19"/>
      <c r="FH89" s="19"/>
      <c r="FI89" s="19"/>
      <c r="FJ89" s="19"/>
      <c r="FK89" s="19"/>
      <c r="FL89" s="19"/>
      <c r="FM89" s="19"/>
      <c r="FN89" s="19"/>
      <c r="FO89" s="19"/>
      <c r="FP89" s="19"/>
      <c r="FQ89" s="19"/>
      <c r="FR89" s="19"/>
      <c r="FS89" s="19"/>
      <c r="FT89" s="19"/>
      <c r="FU89" s="19"/>
      <c r="FV89" s="19"/>
      <c r="FW89" s="19"/>
      <c r="FX89" s="19"/>
      <c r="FY89" s="19"/>
      <c r="FZ89" s="19"/>
      <c r="GA89" s="19"/>
      <c r="GB89" s="19"/>
      <c r="GC89" s="19"/>
      <c r="GD89" s="19"/>
      <c r="GE89" s="19"/>
      <c r="GF89" s="19"/>
      <c r="GG89" s="19"/>
      <c r="GH89" s="19"/>
      <c r="GI89" s="19"/>
      <c r="GJ89" s="19"/>
      <c r="GK89" s="19"/>
      <c r="GL89" s="19"/>
      <c r="GM89" s="19"/>
      <c r="GN89" s="19"/>
      <c r="GO89" s="19"/>
      <c r="GP89" s="19"/>
      <c r="GQ89" s="19"/>
      <c r="GR89" s="19"/>
      <c r="GS89" s="19"/>
      <c r="GT89" s="19"/>
      <c r="GU89" s="19"/>
      <c r="GV89" s="19"/>
      <c r="GW89" s="19"/>
      <c r="GX89" s="19"/>
      <c r="GY89" s="19"/>
      <c r="GZ89" s="19"/>
      <c r="HA89" s="19"/>
      <c r="HB89" s="19"/>
    </row>
    <row r="90" spans="1:210" x14ac:dyDescent="0.25">
      <c r="A90" s="113">
        <f t="shared" si="17"/>
        <v>40</v>
      </c>
      <c r="B90" s="163"/>
      <c r="C90" s="172" t="str">
        <f t="shared" si="12"/>
        <v>RTH at 40 °C</v>
      </c>
      <c r="D90" s="196">
        <f t="shared" si="18"/>
        <v>1.4411764705882355</v>
      </c>
      <c r="E90" s="197">
        <v>5.7380000000000004</v>
      </c>
      <c r="F90" s="198">
        <v>5.827</v>
      </c>
      <c r="G90" s="199">
        <v>5.9180000000000001</v>
      </c>
      <c r="H90" s="128" t="s">
        <v>18</v>
      </c>
      <c r="I90" s="29"/>
      <c r="J90" s="29">
        <v>5.9180000000000001</v>
      </c>
      <c r="K90" s="29">
        <v>5.827</v>
      </c>
      <c r="L90" s="29">
        <v>5.7380000000000004</v>
      </c>
      <c r="M90" s="29"/>
      <c r="N90" s="29"/>
      <c r="O90" s="29"/>
      <c r="P90" s="29"/>
      <c r="Q90" s="29"/>
      <c r="R90" s="29"/>
      <c r="S90" s="29"/>
      <c r="T90" s="29"/>
      <c r="U90" s="29"/>
      <c r="V90" s="29"/>
      <c r="W90" s="29"/>
      <c r="X90" s="29"/>
      <c r="Y90" s="30"/>
      <c r="Z90" s="18"/>
      <c r="AA90" s="19"/>
      <c r="AB90" s="19"/>
      <c r="AC90" s="20">
        <f t="shared" si="13"/>
        <v>40</v>
      </c>
      <c r="AD90" s="20">
        <f t="shared" si="14"/>
        <v>5.7380000000000004</v>
      </c>
      <c r="AE90" s="20">
        <f t="shared" si="15"/>
        <v>5.827</v>
      </c>
      <c r="AF90" s="20">
        <f t="shared" si="16"/>
        <v>5.9180000000000001</v>
      </c>
      <c r="AG90" s="20">
        <f>Table9[[#This Row],[RTH(min) (kΩ)]]*RT2_TH_MIN/(RT2_TH_MIN+Table9[[#This Row],[RTH(min) (kΩ)]])</f>
        <v>4.8288002700353641</v>
      </c>
      <c r="AH90" s="20">
        <f>Table9[[#This Row],[RTH(nom) (kΩ)]]*RT2_TH_S/(RT2_TH_S+Table9[[#This Row],[RTH(nom) (kΩ)]])</f>
        <v>4.8924610713806747</v>
      </c>
      <c r="AI90" s="20">
        <f>Table9[[#This Row],[RTH(max) (kΩ)]]*RT2_TH_S_MAX/(RT2_TH_S_MAX+Table9[[#This Row],[RTH(max) (kΩ)]])</f>
        <v>4.9572568347484847</v>
      </c>
      <c r="AJ90" s="20">
        <f>Table9[[#This Row],[RLower(min) (kΩ)]]/(Table9[[#This Row],[RLower(min) (kΩ)]]+RT1_TH_S_MAX)*100</f>
        <v>47.966510006665139</v>
      </c>
      <c r="AK90" s="20">
        <f>Table9[[#This Row],[RLower(nom) (kΩ)]]/(Table9[[#This Row],[RLower(nom) (kΩ)]]+RT1_TH_S)*100</f>
        <v>48.3184451020255</v>
      </c>
      <c r="AL90" s="20">
        <f>Table9[[#This Row],[RLower(max) (kΩ)]]/(Table9[[#This Row],[RLower(max) (kΩ)]]+RT1_TH_S_MIN)*100</f>
        <v>48.672062234693946</v>
      </c>
      <c r="AM90" s="20">
        <f>IF(Table9[[#This Row],[Vmin (%)]]&lt;$BA$14, 0, IF(Table9[[#This Row],[Vmin (%)]]&lt;$BA$12, 4, IF(Table9[[#This Row],[Vmin (%)]]&lt;$BA$9, 3, IF(Table9[[#This Row],[Vmin (%)]]&lt;$BA$7, 2, 0))))</f>
        <v>3</v>
      </c>
      <c r="AN90" s="20">
        <f>IF(Table9[[#This Row],[Vmin (%)]]&lt;$BA$13, 0, IF(Table9[[#This Row],[Vmin (%)]]&lt;$BA$11, 4, IF(Table9[[#This Row],[Vmin (%)]]&lt;$BA$10, 3, IF(Table9[[#This Row],[Vmin (%)]]&lt;$BA$8, 2, 0))))</f>
        <v>3</v>
      </c>
      <c r="AO90" s="76" t="str">
        <f>IF(Table9[[#This Row],[Vmin (%)]]&lt;$BA$14, "Hot", IF(Table9[[#This Row],[Vmin (%)]]&lt;$BA$12, "Warm", IF(Table9[[#This Row],[Vmin (%)]]&lt;$BA$9, "Normal", IF(Table9[[#This Row],[Vmin (%)]]&lt;$BA$7, "Cool", "Cold"))))</f>
        <v>Normal</v>
      </c>
      <c r="AP90" s="19"/>
      <c r="AQ90" s="19"/>
      <c r="AR90" s="19"/>
      <c r="AS90" s="19"/>
      <c r="AT90" s="19"/>
      <c r="AU90" s="19"/>
      <c r="AV90" s="19"/>
      <c r="AW90" s="19"/>
      <c r="AX90" s="19"/>
      <c r="AY90" s="19"/>
      <c r="AZ90" s="19"/>
      <c r="BA90" s="19"/>
      <c r="BB90" s="19"/>
      <c r="BC90" s="19"/>
      <c r="BD90" s="19"/>
      <c r="BE90" s="19"/>
      <c r="BF90" s="19"/>
      <c r="BG90" s="19"/>
      <c r="BH90" s="19"/>
      <c r="BI90" s="19"/>
      <c r="BJ90" s="19"/>
      <c r="BK90" s="19"/>
      <c r="BL90" s="19"/>
      <c r="BM90" s="19"/>
      <c r="BN90" s="19"/>
      <c r="BO90" s="19"/>
      <c r="BP90" s="19"/>
      <c r="BQ90" s="19"/>
      <c r="BR90" s="19"/>
      <c r="BS90" s="19"/>
      <c r="BT90" s="19"/>
      <c r="BU90" s="19"/>
      <c r="BV90" s="19"/>
      <c r="BW90" s="19"/>
      <c r="BX90" s="19"/>
      <c r="BY90" s="19"/>
      <c r="BZ90" s="19"/>
      <c r="CA90" s="19"/>
      <c r="CB90" s="19"/>
      <c r="CC90" s="19"/>
      <c r="CD90" s="19"/>
      <c r="CE90" s="19"/>
      <c r="CF90" s="19"/>
      <c r="CG90" s="19"/>
      <c r="CH90" s="19"/>
      <c r="CI90" s="19"/>
      <c r="CJ90" s="19"/>
      <c r="CK90" s="19"/>
      <c r="CL90" s="19"/>
      <c r="CM90" s="19"/>
      <c r="CN90" s="19"/>
      <c r="CO90" s="19"/>
      <c r="CP90" s="19"/>
      <c r="CQ90" s="19"/>
      <c r="CR90" s="19"/>
      <c r="CS90" s="19"/>
      <c r="CT90" s="19"/>
      <c r="CU90" s="19"/>
      <c r="CV90" s="19"/>
      <c r="CW90" s="19"/>
      <c r="CX90" s="19"/>
      <c r="CY90" s="19"/>
      <c r="CZ90" s="19"/>
      <c r="DA90" s="19"/>
      <c r="DB90" s="19"/>
      <c r="DC90" s="19"/>
      <c r="DD90" s="19"/>
      <c r="DE90" s="19"/>
      <c r="DF90" s="19"/>
      <c r="DG90" s="19"/>
      <c r="DH90" s="19"/>
      <c r="DI90" s="19"/>
      <c r="DJ90" s="19"/>
      <c r="DK90" s="19"/>
      <c r="DL90" s="19"/>
      <c r="DM90" s="19"/>
      <c r="DN90" s="19"/>
      <c r="DO90" s="19"/>
      <c r="DP90" s="19"/>
      <c r="DQ90" s="19"/>
      <c r="DR90" s="19"/>
      <c r="DS90" s="19"/>
      <c r="DT90" s="19"/>
      <c r="DU90" s="19"/>
      <c r="DV90" s="19"/>
      <c r="DW90" s="19"/>
      <c r="DX90" s="19"/>
      <c r="DY90" s="19"/>
      <c r="DZ90" s="19"/>
      <c r="EA90" s="19"/>
      <c r="EB90" s="19"/>
      <c r="EC90" s="19"/>
      <c r="ED90" s="19"/>
      <c r="EE90" s="19"/>
      <c r="EF90" s="19"/>
      <c r="EG90" s="19"/>
      <c r="EH90" s="19"/>
      <c r="EI90" s="19"/>
      <c r="EJ90" s="19"/>
      <c r="EK90" s="19"/>
      <c r="EL90" s="19"/>
      <c r="EM90" s="19"/>
      <c r="EN90" s="19"/>
      <c r="EO90" s="19"/>
      <c r="EP90" s="19"/>
      <c r="EQ90" s="19"/>
      <c r="ER90" s="19"/>
      <c r="ES90" s="19"/>
      <c r="ET90" s="19"/>
      <c r="EU90" s="19"/>
      <c r="EV90" s="19"/>
      <c r="EW90" s="19"/>
      <c r="EX90" s="19"/>
      <c r="EY90" s="19"/>
      <c r="EZ90" s="19"/>
      <c r="FA90" s="19"/>
      <c r="FB90" s="19"/>
      <c r="FC90" s="19"/>
      <c r="FD90" s="19"/>
      <c r="FE90" s="19"/>
      <c r="FF90" s="19"/>
      <c r="FG90" s="19"/>
      <c r="FH90" s="19"/>
      <c r="FI90" s="19"/>
      <c r="FJ90" s="19"/>
      <c r="FK90" s="19"/>
      <c r="FL90" s="19"/>
      <c r="FM90" s="19"/>
      <c r="FN90" s="19"/>
      <c r="FO90" s="19"/>
      <c r="FP90" s="19"/>
      <c r="FQ90" s="19"/>
      <c r="FR90" s="19"/>
      <c r="FS90" s="19"/>
      <c r="FT90" s="19"/>
      <c r="FU90" s="19"/>
      <c r="FV90" s="19"/>
      <c r="FW90" s="19"/>
      <c r="FX90" s="19"/>
      <c r="FY90" s="19"/>
      <c r="FZ90" s="19"/>
      <c r="GA90" s="19"/>
      <c r="GB90" s="19"/>
      <c r="GC90" s="19"/>
      <c r="GD90" s="19"/>
      <c r="GE90" s="19"/>
      <c r="GF90" s="19"/>
      <c r="GG90" s="19"/>
      <c r="GH90" s="19"/>
      <c r="GI90" s="19"/>
      <c r="GJ90" s="19"/>
      <c r="GK90" s="19"/>
      <c r="GL90" s="19"/>
      <c r="GM90" s="19"/>
      <c r="GN90" s="19"/>
      <c r="GO90" s="19"/>
      <c r="GP90" s="19"/>
      <c r="GQ90" s="19"/>
      <c r="GR90" s="19"/>
      <c r="GS90" s="19"/>
      <c r="GT90" s="19"/>
      <c r="GU90" s="19"/>
      <c r="GV90" s="19"/>
      <c r="GW90" s="19"/>
      <c r="GX90" s="19"/>
      <c r="GY90" s="19"/>
      <c r="GZ90" s="19"/>
      <c r="HA90" s="19"/>
      <c r="HB90" s="19"/>
    </row>
    <row r="91" spans="1:210" x14ac:dyDescent="0.25">
      <c r="A91" s="113">
        <f t="shared" si="17"/>
        <v>39</v>
      </c>
      <c r="B91" s="163"/>
      <c r="C91" s="172" t="str">
        <f t="shared" si="12"/>
        <v>RTH at 39 °C</v>
      </c>
      <c r="D91" s="196">
        <f t="shared" si="18"/>
        <v>1.4117647058823528</v>
      </c>
      <c r="E91" s="197">
        <v>5.9409999999999998</v>
      </c>
      <c r="F91" s="198">
        <v>6.032</v>
      </c>
      <c r="G91" s="199">
        <v>6.1230000000000002</v>
      </c>
      <c r="H91" s="128" t="s">
        <v>18</v>
      </c>
      <c r="I91" s="29"/>
      <c r="J91" s="29">
        <v>6.1230000000000002</v>
      </c>
      <c r="K91" s="29">
        <v>6.032</v>
      </c>
      <c r="L91" s="29">
        <v>5.9409999999999998</v>
      </c>
      <c r="M91" s="29"/>
      <c r="N91" s="29"/>
      <c r="O91" s="29"/>
      <c r="P91" s="29"/>
      <c r="Q91" s="29"/>
      <c r="R91" s="29"/>
      <c r="S91" s="29"/>
      <c r="T91" s="29"/>
      <c r="U91" s="29"/>
      <c r="V91" s="29"/>
      <c r="W91" s="29"/>
      <c r="X91" s="29"/>
      <c r="Y91" s="30"/>
      <c r="Z91" s="18"/>
      <c r="AA91" s="19"/>
      <c r="AB91" s="19"/>
      <c r="AC91" s="20">
        <f t="shared" si="13"/>
        <v>39</v>
      </c>
      <c r="AD91" s="20">
        <f t="shared" si="14"/>
        <v>5.9409999999999998</v>
      </c>
      <c r="AE91" s="20">
        <f t="shared" si="15"/>
        <v>6.032</v>
      </c>
      <c r="AF91" s="20">
        <f t="shared" si="16"/>
        <v>6.1230000000000002</v>
      </c>
      <c r="AG91" s="20">
        <f>Table9[[#This Row],[RTH(min) (kΩ)]]*RT2_TH_MIN/(RT2_TH_MIN+Table9[[#This Row],[RTH(min) (kΩ)]])</f>
        <v>4.9717639385982011</v>
      </c>
      <c r="AH91" s="20">
        <f>Table9[[#This Row],[RTH(nom) (kΩ)]]*RT2_TH_S/(RT2_TH_S+Table9[[#This Row],[RTH(nom) (kΩ)]])</f>
        <v>5.0361671111599708</v>
      </c>
      <c r="AI91" s="20">
        <f>Table9[[#This Row],[RTH(max) (kΩ)]]*RT2_TH_S_MAX/(RT2_TH_S_MAX+Table9[[#This Row],[RTH(max) (kΩ)]])</f>
        <v>5.100294805678649</v>
      </c>
      <c r="AJ91" s="20">
        <f>Table9[[#This Row],[RLower(min) (kΩ)]]/(Table9[[#This Row],[RLower(min) (kΩ)]]+RT1_TH_S_MAX)*100</f>
        <v>48.695100340149764</v>
      </c>
      <c r="AK91" s="20">
        <f>Table9[[#This Row],[RLower(nom) (kΩ)]]/(Table9[[#This Row],[RLower(nom) (kΩ)]]+RT1_TH_S)*100</f>
        <v>49.041673958514927</v>
      </c>
      <c r="AL91" s="20">
        <f>Table9[[#This Row],[RLower(max) (kΩ)]]/(Table9[[#This Row],[RLower(max) (kΩ)]]+RT1_TH_S_MIN)*100</f>
        <v>49.382926528037181</v>
      </c>
      <c r="AM91" s="20">
        <f>IF(Table9[[#This Row],[Vmin (%)]]&lt;$BA$14, 0, IF(Table9[[#This Row],[Vmin (%)]]&lt;$BA$12, 4, IF(Table9[[#This Row],[Vmin (%)]]&lt;$BA$9, 3, IF(Table9[[#This Row],[Vmin (%)]]&lt;$BA$7, 2, 0))))</f>
        <v>3</v>
      </c>
      <c r="AN91" s="20">
        <f>IF(Table9[[#This Row],[Vmin (%)]]&lt;$BA$13, 0, IF(Table9[[#This Row],[Vmin (%)]]&lt;$BA$11, 4, IF(Table9[[#This Row],[Vmin (%)]]&lt;$BA$10, 3, IF(Table9[[#This Row],[Vmin (%)]]&lt;$BA$8, 2, 0))))</f>
        <v>3</v>
      </c>
      <c r="AO91" s="76" t="str">
        <f>IF(Table9[[#This Row],[Vmin (%)]]&lt;$BA$14, "Hot", IF(Table9[[#This Row],[Vmin (%)]]&lt;$BA$12, "Warm", IF(Table9[[#This Row],[Vmin (%)]]&lt;$BA$9, "Normal", IF(Table9[[#This Row],[Vmin (%)]]&lt;$BA$7, "Cool", "Cold"))))</f>
        <v>Normal</v>
      </c>
      <c r="AP91" s="19"/>
      <c r="AQ91" s="19"/>
      <c r="AR91" s="19"/>
      <c r="AS91" s="19"/>
      <c r="AT91" s="19"/>
      <c r="AU91" s="19"/>
      <c r="AV91" s="19"/>
      <c r="AW91" s="19"/>
      <c r="AX91" s="19"/>
      <c r="AY91" s="19"/>
      <c r="AZ91" s="19"/>
      <c r="BA91" s="19"/>
      <c r="BB91" s="19"/>
      <c r="BC91" s="19"/>
      <c r="BD91" s="19"/>
      <c r="BE91" s="19"/>
      <c r="BF91" s="19"/>
      <c r="BG91" s="19"/>
      <c r="BH91" s="19"/>
      <c r="BI91" s="19"/>
      <c r="BJ91" s="19"/>
      <c r="BK91" s="19"/>
      <c r="BL91" s="19"/>
      <c r="BM91" s="19"/>
      <c r="BN91" s="19"/>
      <c r="BO91" s="19"/>
      <c r="BP91" s="19"/>
      <c r="BQ91" s="19"/>
      <c r="BR91" s="19"/>
      <c r="BS91" s="19"/>
      <c r="BT91" s="19"/>
      <c r="BU91" s="19"/>
      <c r="BV91" s="19"/>
      <c r="BW91" s="19"/>
      <c r="BX91" s="19"/>
      <c r="BY91" s="19"/>
      <c r="BZ91" s="19"/>
      <c r="CA91" s="19"/>
      <c r="CB91" s="19"/>
      <c r="CC91" s="19"/>
      <c r="CD91" s="19"/>
      <c r="CE91" s="19"/>
      <c r="CF91" s="19"/>
      <c r="CG91" s="19"/>
      <c r="CH91" s="19"/>
      <c r="CI91" s="19"/>
      <c r="CJ91" s="19"/>
      <c r="CK91" s="19"/>
      <c r="CL91" s="19"/>
      <c r="CM91" s="19"/>
      <c r="CN91" s="19"/>
      <c r="CO91" s="19"/>
      <c r="CP91" s="19"/>
      <c r="CQ91" s="19"/>
      <c r="CR91" s="19"/>
      <c r="CS91" s="19"/>
      <c r="CT91" s="19"/>
      <c r="CU91" s="19"/>
      <c r="CV91" s="19"/>
      <c r="CW91" s="19"/>
      <c r="CX91" s="19"/>
      <c r="CY91" s="19"/>
      <c r="CZ91" s="19"/>
      <c r="DA91" s="19"/>
      <c r="DB91" s="19"/>
      <c r="DC91" s="19"/>
      <c r="DD91" s="19"/>
      <c r="DE91" s="19"/>
      <c r="DF91" s="19"/>
      <c r="DG91" s="19"/>
      <c r="DH91" s="19"/>
      <c r="DI91" s="19"/>
      <c r="DJ91" s="19"/>
      <c r="DK91" s="19"/>
      <c r="DL91" s="19"/>
      <c r="DM91" s="19"/>
      <c r="DN91" s="19"/>
      <c r="DO91" s="19"/>
      <c r="DP91" s="19"/>
      <c r="DQ91" s="19"/>
      <c r="DR91" s="19"/>
      <c r="DS91" s="19"/>
      <c r="DT91" s="19"/>
      <c r="DU91" s="19"/>
      <c r="DV91" s="19"/>
      <c r="DW91" s="19"/>
      <c r="DX91" s="19"/>
      <c r="DY91" s="19"/>
      <c r="DZ91" s="19"/>
      <c r="EA91" s="19"/>
      <c r="EB91" s="19"/>
      <c r="EC91" s="19"/>
      <c r="ED91" s="19"/>
      <c r="EE91" s="19"/>
      <c r="EF91" s="19"/>
      <c r="EG91" s="19"/>
      <c r="EH91" s="19"/>
      <c r="EI91" s="19"/>
      <c r="EJ91" s="19"/>
      <c r="EK91" s="19"/>
      <c r="EL91" s="19"/>
      <c r="EM91" s="19"/>
      <c r="EN91" s="19"/>
      <c r="EO91" s="19"/>
      <c r="EP91" s="19"/>
      <c r="EQ91" s="19"/>
      <c r="ER91" s="19"/>
      <c r="ES91" s="19"/>
      <c r="ET91" s="19"/>
      <c r="EU91" s="19"/>
      <c r="EV91" s="19"/>
      <c r="EW91" s="19"/>
      <c r="EX91" s="19"/>
      <c r="EY91" s="19"/>
      <c r="EZ91" s="19"/>
      <c r="FA91" s="19"/>
      <c r="FB91" s="19"/>
      <c r="FC91" s="19"/>
      <c r="FD91" s="19"/>
      <c r="FE91" s="19"/>
      <c r="FF91" s="19"/>
      <c r="FG91" s="19"/>
      <c r="FH91" s="19"/>
      <c r="FI91" s="19"/>
      <c r="FJ91" s="19"/>
      <c r="FK91" s="19"/>
      <c r="FL91" s="19"/>
      <c r="FM91" s="19"/>
      <c r="FN91" s="19"/>
      <c r="FO91" s="19"/>
      <c r="FP91" s="19"/>
      <c r="FQ91" s="19"/>
      <c r="FR91" s="19"/>
      <c r="FS91" s="19"/>
      <c r="FT91" s="19"/>
      <c r="FU91" s="19"/>
      <c r="FV91" s="19"/>
      <c r="FW91" s="19"/>
      <c r="FX91" s="19"/>
      <c r="FY91" s="19"/>
      <c r="FZ91" s="19"/>
      <c r="GA91" s="19"/>
      <c r="GB91" s="19"/>
      <c r="GC91" s="19"/>
      <c r="GD91" s="19"/>
      <c r="GE91" s="19"/>
      <c r="GF91" s="19"/>
      <c r="GG91" s="19"/>
      <c r="GH91" s="19"/>
      <c r="GI91" s="19"/>
      <c r="GJ91" s="19"/>
      <c r="GK91" s="19"/>
      <c r="GL91" s="19"/>
      <c r="GM91" s="19"/>
      <c r="GN91" s="19"/>
      <c r="GO91" s="19"/>
      <c r="GP91" s="19"/>
      <c r="GQ91" s="19"/>
      <c r="GR91" s="19"/>
      <c r="GS91" s="19"/>
      <c r="GT91" s="19"/>
      <c r="GU91" s="19"/>
      <c r="GV91" s="19"/>
      <c r="GW91" s="19"/>
      <c r="GX91" s="19"/>
      <c r="GY91" s="19"/>
      <c r="GZ91" s="19"/>
      <c r="HA91" s="19"/>
      <c r="HB91" s="19"/>
    </row>
    <row r="92" spans="1:210" x14ac:dyDescent="0.25">
      <c r="A92" s="113">
        <f t="shared" si="17"/>
        <v>38</v>
      </c>
      <c r="B92" s="163"/>
      <c r="C92" s="172" t="str">
        <f t="shared" si="12"/>
        <v>RTH at 38 °C</v>
      </c>
      <c r="D92" s="196">
        <f t="shared" si="18"/>
        <v>1.3823529411764706</v>
      </c>
      <c r="E92" s="197">
        <v>6.1529999999999996</v>
      </c>
      <c r="F92" s="198">
        <v>6.2450000000000001</v>
      </c>
      <c r="G92" s="199">
        <v>6.3369999999999997</v>
      </c>
      <c r="H92" s="128" t="s">
        <v>18</v>
      </c>
      <c r="I92" s="29"/>
      <c r="J92" s="29">
        <v>6.3369999999999997</v>
      </c>
      <c r="K92" s="29">
        <v>6.2450000000000001</v>
      </c>
      <c r="L92" s="29">
        <v>6.1529999999999996</v>
      </c>
      <c r="M92" s="29"/>
      <c r="N92" s="29"/>
      <c r="O92" s="29"/>
      <c r="P92" s="29"/>
      <c r="Q92" s="29"/>
      <c r="R92" s="29"/>
      <c r="S92" s="29"/>
      <c r="T92" s="29"/>
      <c r="U92" s="29"/>
      <c r="V92" s="29"/>
      <c r="W92" s="29"/>
      <c r="X92" s="29"/>
      <c r="Y92" s="30"/>
      <c r="Z92" s="18"/>
      <c r="AA92" s="19"/>
      <c r="AB92" s="19"/>
      <c r="AC92" s="20">
        <f t="shared" si="13"/>
        <v>38</v>
      </c>
      <c r="AD92" s="20">
        <f t="shared" si="14"/>
        <v>6.1529999999999996</v>
      </c>
      <c r="AE92" s="20">
        <f t="shared" si="15"/>
        <v>6.2450000000000001</v>
      </c>
      <c r="AF92" s="20">
        <f t="shared" si="16"/>
        <v>6.3369999999999997</v>
      </c>
      <c r="AG92" s="20">
        <f>Table9[[#This Row],[RTH(min) (kΩ)]]*RT2_TH_MIN/(RT2_TH_MIN+Table9[[#This Row],[RTH(min) (kΩ)]])</f>
        <v>5.1193742768292845</v>
      </c>
      <c r="AH92" s="20">
        <f>Table9[[#This Row],[RTH(nom) (kΩ)]]*RT2_TH_S/(RT2_TH_S+Table9[[#This Row],[RTH(nom) (kΩ)]])</f>
        <v>5.1837828837085027</v>
      </c>
      <c r="AI92" s="20">
        <f>Table9[[#This Row],[RTH(max) (kΩ)]]*RT2_TH_S_MAX/(RT2_TH_S_MAX+Table9[[#This Row],[RTH(max) (kΩ)]])</f>
        <v>5.2479157365971654</v>
      </c>
      <c r="AJ92" s="20">
        <f>Table9[[#This Row],[RLower(min) (kΩ)]]/(Table9[[#This Row],[RLower(min) (kΩ)]]+RT1_TH_S_MAX)*100</f>
        <v>49.426267285267812</v>
      </c>
      <c r="AK92" s="20">
        <f>Table9[[#This Row],[RLower(nom) (kΩ)]]/(Table9[[#This Row],[RLower(nom) (kΩ)]]+RT1_TH_S)*100</f>
        <v>49.763802771557422</v>
      </c>
      <c r="AL92" s="20">
        <f>Table9[[#This Row],[RLower(max) (kΩ)]]/(Table9[[#This Row],[RLower(max) (kΩ)]]+RT1_TH_S_MIN)*100</f>
        <v>50.096211380462677</v>
      </c>
      <c r="AM92" s="20">
        <f>IF(Table9[[#This Row],[Vmin (%)]]&lt;$BA$14, 0, IF(Table9[[#This Row],[Vmin (%)]]&lt;$BA$12, 4, IF(Table9[[#This Row],[Vmin (%)]]&lt;$BA$9, 3, IF(Table9[[#This Row],[Vmin (%)]]&lt;$BA$7, 2, 0))))</f>
        <v>3</v>
      </c>
      <c r="AN92" s="20">
        <f>IF(Table9[[#This Row],[Vmin (%)]]&lt;$BA$13, 0, IF(Table9[[#This Row],[Vmin (%)]]&lt;$BA$11, 4, IF(Table9[[#This Row],[Vmin (%)]]&lt;$BA$10, 3, IF(Table9[[#This Row],[Vmin (%)]]&lt;$BA$8, 2, 0))))</f>
        <v>3</v>
      </c>
      <c r="AO92" s="76" t="str">
        <f>IF(Table9[[#This Row],[Vmin (%)]]&lt;$BA$14, "Hot", IF(Table9[[#This Row],[Vmin (%)]]&lt;$BA$12, "Warm", IF(Table9[[#This Row],[Vmin (%)]]&lt;$BA$9, "Normal", IF(Table9[[#This Row],[Vmin (%)]]&lt;$BA$7, "Cool", "Cold"))))</f>
        <v>Normal</v>
      </c>
      <c r="AP92" s="19"/>
      <c r="AQ92" s="19"/>
      <c r="AR92" s="19"/>
      <c r="AS92" s="19"/>
      <c r="AT92" s="19"/>
      <c r="AU92" s="19"/>
      <c r="AV92" s="19"/>
      <c r="AW92" s="19"/>
      <c r="AX92" s="19"/>
      <c r="AY92" s="19"/>
      <c r="AZ92" s="19"/>
      <c r="BA92" s="19"/>
      <c r="BB92" s="19"/>
      <c r="BC92" s="19"/>
      <c r="BD92" s="19"/>
      <c r="BE92" s="19"/>
      <c r="BF92" s="19"/>
      <c r="BG92" s="19"/>
      <c r="BH92" s="19"/>
      <c r="BI92" s="19"/>
      <c r="BJ92" s="19"/>
      <c r="BK92" s="19"/>
      <c r="BL92" s="19"/>
      <c r="BM92" s="19"/>
      <c r="BN92" s="19"/>
      <c r="BO92" s="19"/>
      <c r="BP92" s="19"/>
      <c r="BQ92" s="19"/>
      <c r="BR92" s="19"/>
      <c r="BS92" s="19"/>
      <c r="BT92" s="19"/>
      <c r="BU92" s="19"/>
      <c r="BV92" s="19"/>
      <c r="BW92" s="19"/>
      <c r="BX92" s="19"/>
      <c r="BY92" s="19"/>
      <c r="BZ92" s="19"/>
      <c r="CA92" s="19"/>
      <c r="CB92" s="19"/>
      <c r="CC92" s="19"/>
      <c r="CD92" s="19"/>
      <c r="CE92" s="19"/>
      <c r="CF92" s="19"/>
      <c r="CG92" s="19"/>
      <c r="CH92" s="19"/>
      <c r="CI92" s="19"/>
      <c r="CJ92" s="19"/>
      <c r="CK92" s="19"/>
      <c r="CL92" s="19"/>
      <c r="CM92" s="19"/>
      <c r="CN92" s="19"/>
      <c r="CO92" s="19"/>
      <c r="CP92" s="19"/>
      <c r="CQ92" s="19"/>
      <c r="CR92" s="19"/>
      <c r="CS92" s="19"/>
      <c r="CT92" s="19"/>
      <c r="CU92" s="19"/>
      <c r="CV92" s="19"/>
      <c r="CW92" s="19"/>
      <c r="CX92" s="19"/>
      <c r="CY92" s="19"/>
      <c r="CZ92" s="19"/>
      <c r="DA92" s="19"/>
      <c r="DB92" s="19"/>
      <c r="DC92" s="19"/>
      <c r="DD92" s="19"/>
      <c r="DE92" s="19"/>
      <c r="DF92" s="19"/>
      <c r="DG92" s="19"/>
      <c r="DH92" s="19"/>
      <c r="DI92" s="19"/>
      <c r="DJ92" s="19"/>
      <c r="DK92" s="19"/>
      <c r="DL92" s="19"/>
      <c r="DM92" s="19"/>
      <c r="DN92" s="19"/>
      <c r="DO92" s="19"/>
      <c r="DP92" s="19"/>
      <c r="DQ92" s="19"/>
      <c r="DR92" s="19"/>
      <c r="DS92" s="19"/>
      <c r="DT92" s="19"/>
      <c r="DU92" s="19"/>
      <c r="DV92" s="19"/>
      <c r="DW92" s="19"/>
      <c r="DX92" s="19"/>
      <c r="DY92" s="19"/>
      <c r="DZ92" s="19"/>
      <c r="EA92" s="19"/>
      <c r="EB92" s="19"/>
      <c r="EC92" s="19"/>
      <c r="ED92" s="19"/>
      <c r="EE92" s="19"/>
      <c r="EF92" s="19"/>
      <c r="EG92" s="19"/>
      <c r="EH92" s="19"/>
      <c r="EI92" s="19"/>
      <c r="EJ92" s="19"/>
      <c r="EK92" s="19"/>
      <c r="EL92" s="19"/>
      <c r="EM92" s="19"/>
      <c r="EN92" s="19"/>
      <c r="EO92" s="19"/>
      <c r="EP92" s="19"/>
      <c r="EQ92" s="19"/>
      <c r="ER92" s="19"/>
      <c r="ES92" s="19"/>
      <c r="ET92" s="19"/>
      <c r="EU92" s="19"/>
      <c r="EV92" s="19"/>
      <c r="EW92" s="19"/>
      <c r="EX92" s="19"/>
      <c r="EY92" s="19"/>
      <c r="EZ92" s="19"/>
      <c r="FA92" s="19"/>
      <c r="FB92" s="19"/>
      <c r="FC92" s="19"/>
      <c r="FD92" s="19"/>
      <c r="FE92" s="19"/>
      <c r="FF92" s="19"/>
      <c r="FG92" s="19"/>
      <c r="FH92" s="19"/>
      <c r="FI92" s="19"/>
      <c r="FJ92" s="19"/>
      <c r="FK92" s="19"/>
      <c r="FL92" s="19"/>
      <c r="FM92" s="19"/>
      <c r="FN92" s="19"/>
      <c r="FO92" s="19"/>
      <c r="FP92" s="19"/>
      <c r="FQ92" s="19"/>
      <c r="FR92" s="19"/>
      <c r="FS92" s="19"/>
      <c r="FT92" s="19"/>
      <c r="FU92" s="19"/>
      <c r="FV92" s="19"/>
      <c r="FW92" s="19"/>
      <c r="FX92" s="19"/>
      <c r="FY92" s="19"/>
      <c r="FZ92" s="19"/>
      <c r="GA92" s="19"/>
      <c r="GB92" s="19"/>
      <c r="GC92" s="19"/>
      <c r="GD92" s="19"/>
      <c r="GE92" s="19"/>
      <c r="GF92" s="19"/>
      <c r="GG92" s="19"/>
      <c r="GH92" s="19"/>
      <c r="GI92" s="19"/>
      <c r="GJ92" s="19"/>
      <c r="GK92" s="19"/>
      <c r="GL92" s="19"/>
      <c r="GM92" s="19"/>
      <c r="GN92" s="19"/>
      <c r="GO92" s="19"/>
      <c r="GP92" s="19"/>
      <c r="GQ92" s="19"/>
      <c r="GR92" s="19"/>
      <c r="GS92" s="19"/>
      <c r="GT92" s="19"/>
      <c r="GU92" s="19"/>
      <c r="GV92" s="19"/>
      <c r="GW92" s="19"/>
      <c r="GX92" s="19"/>
      <c r="GY92" s="19"/>
      <c r="GZ92" s="19"/>
      <c r="HA92" s="19"/>
      <c r="HB92" s="19"/>
    </row>
    <row r="93" spans="1:210" x14ac:dyDescent="0.25">
      <c r="A93" s="113">
        <f t="shared" si="17"/>
        <v>37</v>
      </c>
      <c r="B93" s="163"/>
      <c r="C93" s="172" t="str">
        <f t="shared" si="12"/>
        <v>RTH at 37 °C</v>
      </c>
      <c r="D93" s="196">
        <f t="shared" si="18"/>
        <v>1.3529411764705883</v>
      </c>
      <c r="E93" s="197">
        <v>6.3739999999999997</v>
      </c>
      <c r="F93" s="198">
        <v>6.4669999999999996</v>
      </c>
      <c r="G93" s="199">
        <v>6.56</v>
      </c>
      <c r="H93" s="128" t="s">
        <v>18</v>
      </c>
      <c r="I93" s="29"/>
      <c r="J93" s="29">
        <v>6.56</v>
      </c>
      <c r="K93" s="29">
        <v>6.4669999999999996</v>
      </c>
      <c r="L93" s="29">
        <v>6.3739999999999997</v>
      </c>
      <c r="M93" s="29"/>
      <c r="N93" s="29"/>
      <c r="O93" s="29"/>
      <c r="P93" s="29"/>
      <c r="Q93" s="29"/>
      <c r="R93" s="29"/>
      <c r="S93" s="29"/>
      <c r="T93" s="29"/>
      <c r="U93" s="29"/>
      <c r="V93" s="29"/>
      <c r="W93" s="29"/>
      <c r="X93" s="29"/>
      <c r="Y93" s="30"/>
      <c r="Z93" s="18"/>
      <c r="AA93" s="19"/>
      <c r="AB93" s="19"/>
      <c r="AC93" s="20">
        <f t="shared" si="13"/>
        <v>37</v>
      </c>
      <c r="AD93" s="20">
        <f t="shared" si="14"/>
        <v>6.3739999999999997</v>
      </c>
      <c r="AE93" s="20">
        <f t="shared" si="15"/>
        <v>6.4669999999999996</v>
      </c>
      <c r="AF93" s="20">
        <f t="shared" si="16"/>
        <v>6.56</v>
      </c>
      <c r="AG93" s="20">
        <f>Table9[[#This Row],[RTH(min) (kΩ)]]*RT2_TH_MIN/(RT2_TH_MIN+Table9[[#This Row],[RTH(min) (kΩ)]])</f>
        <v>5.2714429267356975</v>
      </c>
      <c r="AH93" s="20">
        <f>Table9[[#This Row],[RTH(nom) (kΩ)]]*RT2_TH_S/(RT2_TH_S+Table9[[#This Row],[RTH(nom) (kΩ)]])</f>
        <v>5.3358257732206091</v>
      </c>
      <c r="AI93" s="20">
        <f>Table9[[#This Row],[RTH(max) (kΩ)]]*RT2_TH_S_MAX/(RT2_TH_S_MAX+Table9[[#This Row],[RTH(max) (kΩ)]])</f>
        <v>5.3999328670513274</v>
      </c>
      <c r="AJ93" s="20">
        <f>Table9[[#This Row],[RLower(min) (kΩ)]]/(Table9[[#This Row],[RLower(min) (kΩ)]]+RT1_TH_S_MAX)*100</f>
        <v>50.158039206044492</v>
      </c>
      <c r="AK93" s="20">
        <f>Table9[[#This Row],[RLower(nom) (kΩ)]]/(Table9[[#This Row],[RLower(nom) (kΩ)]]+RT1_TH_S)*100</f>
        <v>50.486500178703608</v>
      </c>
      <c r="AL93" s="20">
        <f>Table9[[#This Row],[RLower(max) (kΩ)]]/(Table9[[#This Row],[RLower(max) (kΩ)]]+RT1_TH_S_MIN)*100</f>
        <v>50.810028777723801</v>
      </c>
      <c r="AM93" s="20">
        <f>IF(Table9[[#This Row],[Vmin (%)]]&lt;$BA$14, 0, IF(Table9[[#This Row],[Vmin (%)]]&lt;$BA$12, 4, IF(Table9[[#This Row],[Vmin (%)]]&lt;$BA$9, 3, IF(Table9[[#This Row],[Vmin (%)]]&lt;$BA$7, 2, 0))))</f>
        <v>3</v>
      </c>
      <c r="AN93" s="20">
        <f>IF(Table9[[#This Row],[Vmin (%)]]&lt;$BA$13, 0, IF(Table9[[#This Row],[Vmin (%)]]&lt;$BA$11, 4, IF(Table9[[#This Row],[Vmin (%)]]&lt;$BA$10, 3, IF(Table9[[#This Row],[Vmin (%)]]&lt;$BA$8, 2, 0))))</f>
        <v>3</v>
      </c>
      <c r="AO93" s="76" t="str">
        <f>IF(Table9[[#This Row],[Vmin (%)]]&lt;$BA$14, "Hot", IF(Table9[[#This Row],[Vmin (%)]]&lt;$BA$12, "Warm", IF(Table9[[#This Row],[Vmin (%)]]&lt;$BA$9, "Normal", IF(Table9[[#This Row],[Vmin (%)]]&lt;$BA$7, "Cool", "Cold"))))</f>
        <v>Normal</v>
      </c>
      <c r="AP93" s="19"/>
      <c r="AQ93" s="19"/>
      <c r="AR93" s="19"/>
      <c r="AS93" s="19"/>
      <c r="AT93" s="19"/>
      <c r="AU93" s="19"/>
      <c r="AV93" s="19"/>
      <c r="AW93" s="19"/>
      <c r="AX93" s="19"/>
      <c r="AY93" s="19"/>
      <c r="AZ93" s="19"/>
      <c r="BA93" s="19"/>
      <c r="BB93" s="19"/>
      <c r="BC93" s="19"/>
      <c r="BD93" s="19"/>
      <c r="BE93" s="19"/>
      <c r="BF93" s="19"/>
      <c r="BG93" s="19"/>
      <c r="BH93" s="19"/>
      <c r="BI93" s="19"/>
      <c r="BJ93" s="19"/>
      <c r="BK93" s="19"/>
      <c r="BL93" s="19"/>
      <c r="BM93" s="19"/>
      <c r="BN93" s="19"/>
      <c r="BO93" s="19"/>
      <c r="BP93" s="19"/>
      <c r="BQ93" s="19"/>
      <c r="BR93" s="19"/>
      <c r="BS93" s="19"/>
      <c r="BT93" s="19"/>
      <c r="BU93" s="19"/>
      <c r="BV93" s="19"/>
      <c r="BW93" s="19"/>
      <c r="BX93" s="19"/>
      <c r="BY93" s="19"/>
      <c r="BZ93" s="19"/>
      <c r="CA93" s="19"/>
      <c r="CB93" s="19"/>
      <c r="CC93" s="19"/>
      <c r="CD93" s="19"/>
      <c r="CE93" s="19"/>
      <c r="CF93" s="19"/>
      <c r="CG93" s="19"/>
      <c r="CH93" s="19"/>
      <c r="CI93" s="19"/>
      <c r="CJ93" s="19"/>
      <c r="CK93" s="19"/>
      <c r="CL93" s="19"/>
      <c r="CM93" s="19"/>
      <c r="CN93" s="19"/>
      <c r="CO93" s="19"/>
      <c r="CP93" s="19"/>
      <c r="CQ93" s="19"/>
      <c r="CR93" s="19"/>
      <c r="CS93" s="19"/>
      <c r="CT93" s="19"/>
      <c r="CU93" s="19"/>
      <c r="CV93" s="19"/>
      <c r="CW93" s="19"/>
      <c r="CX93" s="19"/>
      <c r="CY93" s="19"/>
      <c r="CZ93" s="19"/>
      <c r="DA93" s="19"/>
      <c r="DB93" s="19"/>
      <c r="DC93" s="19"/>
      <c r="DD93" s="19"/>
      <c r="DE93" s="19"/>
      <c r="DF93" s="19"/>
      <c r="DG93" s="19"/>
      <c r="DH93" s="19"/>
      <c r="DI93" s="19"/>
      <c r="DJ93" s="19"/>
      <c r="DK93" s="19"/>
      <c r="DL93" s="19"/>
      <c r="DM93" s="19"/>
      <c r="DN93" s="19"/>
      <c r="DO93" s="19"/>
      <c r="DP93" s="19"/>
      <c r="DQ93" s="19"/>
      <c r="DR93" s="19"/>
      <c r="DS93" s="19"/>
      <c r="DT93" s="19"/>
      <c r="DU93" s="19"/>
      <c r="DV93" s="19"/>
      <c r="DW93" s="19"/>
      <c r="DX93" s="19"/>
      <c r="DY93" s="19"/>
      <c r="DZ93" s="19"/>
      <c r="EA93" s="19"/>
      <c r="EB93" s="19"/>
      <c r="EC93" s="19"/>
      <c r="ED93" s="19"/>
      <c r="EE93" s="19"/>
      <c r="EF93" s="19"/>
      <c r="EG93" s="19"/>
      <c r="EH93" s="19"/>
      <c r="EI93" s="19"/>
      <c r="EJ93" s="19"/>
      <c r="EK93" s="19"/>
      <c r="EL93" s="19"/>
      <c r="EM93" s="19"/>
      <c r="EN93" s="19"/>
      <c r="EO93" s="19"/>
      <c r="EP93" s="19"/>
      <c r="EQ93" s="19"/>
      <c r="ER93" s="19"/>
      <c r="ES93" s="19"/>
      <c r="ET93" s="19"/>
      <c r="EU93" s="19"/>
      <c r="EV93" s="19"/>
      <c r="EW93" s="19"/>
      <c r="EX93" s="19"/>
      <c r="EY93" s="19"/>
      <c r="EZ93" s="19"/>
      <c r="FA93" s="19"/>
      <c r="FB93" s="19"/>
      <c r="FC93" s="19"/>
      <c r="FD93" s="19"/>
      <c r="FE93" s="19"/>
      <c r="FF93" s="19"/>
      <c r="FG93" s="19"/>
      <c r="FH93" s="19"/>
      <c r="FI93" s="19"/>
      <c r="FJ93" s="19"/>
      <c r="FK93" s="19"/>
      <c r="FL93" s="19"/>
      <c r="FM93" s="19"/>
      <c r="FN93" s="19"/>
      <c r="FO93" s="19"/>
      <c r="FP93" s="19"/>
      <c r="FQ93" s="19"/>
      <c r="FR93" s="19"/>
      <c r="FS93" s="19"/>
      <c r="FT93" s="19"/>
      <c r="FU93" s="19"/>
      <c r="FV93" s="19"/>
      <c r="FW93" s="19"/>
      <c r="FX93" s="19"/>
      <c r="FY93" s="19"/>
      <c r="FZ93" s="19"/>
      <c r="GA93" s="19"/>
      <c r="GB93" s="19"/>
      <c r="GC93" s="19"/>
      <c r="GD93" s="19"/>
      <c r="GE93" s="19"/>
      <c r="GF93" s="19"/>
      <c r="GG93" s="19"/>
      <c r="GH93" s="19"/>
      <c r="GI93" s="19"/>
      <c r="GJ93" s="19"/>
      <c r="GK93" s="19"/>
      <c r="GL93" s="19"/>
      <c r="GM93" s="19"/>
      <c r="GN93" s="19"/>
      <c r="GO93" s="19"/>
      <c r="GP93" s="19"/>
      <c r="GQ93" s="19"/>
      <c r="GR93" s="19"/>
      <c r="GS93" s="19"/>
      <c r="GT93" s="19"/>
      <c r="GU93" s="19"/>
      <c r="GV93" s="19"/>
      <c r="GW93" s="19"/>
      <c r="GX93" s="19"/>
      <c r="GY93" s="19"/>
      <c r="GZ93" s="19"/>
      <c r="HA93" s="19"/>
      <c r="HB93" s="19"/>
    </row>
    <row r="94" spans="1:210" x14ac:dyDescent="0.25">
      <c r="A94" s="113">
        <f t="shared" si="17"/>
        <v>36</v>
      </c>
      <c r="B94" s="163"/>
      <c r="C94" s="172" t="str">
        <f t="shared" si="12"/>
        <v>RTH at 36 °C</v>
      </c>
      <c r="D94" s="196">
        <f t="shared" si="18"/>
        <v>1.3235294117647061</v>
      </c>
      <c r="E94" s="197">
        <v>6.6050000000000004</v>
      </c>
      <c r="F94" s="198">
        <v>6.6989999999999998</v>
      </c>
      <c r="G94" s="199">
        <v>6.7930000000000001</v>
      </c>
      <c r="H94" s="128" t="s">
        <v>18</v>
      </c>
      <c r="I94" s="29"/>
      <c r="J94" s="29">
        <v>6.7930000000000001</v>
      </c>
      <c r="K94" s="29">
        <v>6.6989999999999998</v>
      </c>
      <c r="L94" s="29">
        <v>6.6050000000000004</v>
      </c>
      <c r="M94" s="29"/>
      <c r="N94" s="29"/>
      <c r="O94" s="29"/>
      <c r="P94" s="29"/>
      <c r="Q94" s="29"/>
      <c r="R94" s="29"/>
      <c r="S94" s="29"/>
      <c r="T94" s="29"/>
      <c r="U94" s="29"/>
      <c r="V94" s="29"/>
      <c r="W94" s="29"/>
      <c r="X94" s="29"/>
      <c r="Y94" s="30"/>
      <c r="Z94" s="18"/>
      <c r="AA94" s="19"/>
      <c r="AB94" s="19"/>
      <c r="AC94" s="20">
        <f t="shared" si="13"/>
        <v>36</v>
      </c>
      <c r="AD94" s="20">
        <f t="shared" si="14"/>
        <v>6.6050000000000004</v>
      </c>
      <c r="AE94" s="20">
        <f t="shared" si="15"/>
        <v>6.6989999999999998</v>
      </c>
      <c r="AF94" s="20">
        <f t="shared" si="16"/>
        <v>6.7930000000000001</v>
      </c>
      <c r="AG94" s="20">
        <f>Table9[[#This Row],[RTH(min) (kΩ)]]*RT2_TH_MIN/(RT2_TH_MIN+Table9[[#This Row],[RTH(min) (kΩ)]])</f>
        <v>5.4284549260560659</v>
      </c>
      <c r="AH94" s="20">
        <f>Table9[[#This Row],[RTH(nom) (kΩ)]]*RT2_TH_S/(RT2_TH_S+Table9[[#This Row],[RTH(nom) (kΩ)]])</f>
        <v>5.4927785028060558</v>
      </c>
      <c r="AI94" s="20">
        <f>Table9[[#This Row],[RTH(max) (kΩ)]]*RT2_TH_S_MAX/(RT2_TH_S_MAX+Table9[[#This Row],[RTH(max) (kΩ)]])</f>
        <v>5.5568266283856351</v>
      </c>
      <c r="AJ94" s="20">
        <f>Table9[[#This Row],[RLower(min) (kΩ)]]/(Table9[[#This Row],[RLower(min) (kΩ)]]+RT1_TH_S_MAX)*100</f>
        <v>50.891705782805516</v>
      </c>
      <c r="AK94" s="20">
        <f>Table9[[#This Row],[RLower(nom) (kΩ)]]/(Table9[[#This Row],[RLower(nom) (kΩ)]]+RT1_TH_S)*100</f>
        <v>51.211042957650541</v>
      </c>
      <c r="AL94" s="20">
        <f>Table9[[#This Row],[RLower(max) (kΩ)]]/(Table9[[#This Row],[RLower(max) (kΩ)]]+RT1_TH_S_MIN)*100</f>
        <v>51.525642754480764</v>
      </c>
      <c r="AM94" s="20">
        <f>IF(Table9[[#This Row],[Vmin (%)]]&lt;$BA$14, 0, IF(Table9[[#This Row],[Vmin (%)]]&lt;$BA$12, 4, IF(Table9[[#This Row],[Vmin (%)]]&lt;$BA$9, 3, IF(Table9[[#This Row],[Vmin (%)]]&lt;$BA$7, 2, 0))))</f>
        <v>3</v>
      </c>
      <c r="AN94" s="20">
        <f>IF(Table9[[#This Row],[Vmin (%)]]&lt;$BA$13, 0, IF(Table9[[#This Row],[Vmin (%)]]&lt;$BA$11, 4, IF(Table9[[#This Row],[Vmin (%)]]&lt;$BA$10, 3, IF(Table9[[#This Row],[Vmin (%)]]&lt;$BA$8, 2, 0))))</f>
        <v>3</v>
      </c>
      <c r="AO94" s="76" t="str">
        <f>IF(Table9[[#This Row],[Vmin (%)]]&lt;$BA$14, "Hot", IF(Table9[[#This Row],[Vmin (%)]]&lt;$BA$12, "Warm", IF(Table9[[#This Row],[Vmin (%)]]&lt;$BA$9, "Normal", IF(Table9[[#This Row],[Vmin (%)]]&lt;$BA$7, "Cool", "Cold"))))</f>
        <v>Normal</v>
      </c>
      <c r="AP94" s="19"/>
      <c r="AQ94" s="19"/>
      <c r="AR94" s="19"/>
      <c r="AS94" s="19"/>
      <c r="AT94" s="19"/>
      <c r="AU94" s="19"/>
      <c r="AV94" s="19"/>
      <c r="AW94" s="19"/>
      <c r="AX94" s="19"/>
      <c r="AY94" s="19"/>
      <c r="AZ94" s="19"/>
      <c r="BA94" s="19"/>
      <c r="BB94" s="19"/>
      <c r="BC94" s="19"/>
      <c r="BD94" s="19"/>
      <c r="BE94" s="19"/>
      <c r="BF94" s="19"/>
      <c r="BG94" s="19"/>
      <c r="BH94" s="19"/>
      <c r="BI94" s="19"/>
      <c r="BJ94" s="19"/>
      <c r="BK94" s="19"/>
      <c r="BL94" s="19"/>
      <c r="BM94" s="19"/>
      <c r="BN94" s="19"/>
      <c r="BO94" s="19"/>
      <c r="BP94" s="19"/>
      <c r="BQ94" s="19"/>
      <c r="BR94" s="19"/>
      <c r="BS94" s="19"/>
      <c r="BT94" s="19"/>
      <c r="BU94" s="19"/>
      <c r="BV94" s="19"/>
      <c r="BW94" s="19"/>
      <c r="BX94" s="19"/>
      <c r="BY94" s="19"/>
      <c r="BZ94" s="19"/>
      <c r="CA94" s="19"/>
      <c r="CB94" s="19"/>
      <c r="CC94" s="19"/>
      <c r="CD94" s="19"/>
      <c r="CE94" s="19"/>
      <c r="CF94" s="19"/>
      <c r="CG94" s="19"/>
      <c r="CH94" s="19"/>
      <c r="CI94" s="19"/>
      <c r="CJ94" s="19"/>
      <c r="CK94" s="19"/>
      <c r="CL94" s="19"/>
      <c r="CM94" s="19"/>
      <c r="CN94" s="19"/>
      <c r="CO94" s="19"/>
      <c r="CP94" s="19"/>
      <c r="CQ94" s="19"/>
      <c r="CR94" s="19"/>
      <c r="CS94" s="19"/>
      <c r="CT94" s="19"/>
      <c r="CU94" s="19"/>
      <c r="CV94" s="19"/>
      <c r="CW94" s="19"/>
      <c r="CX94" s="19"/>
      <c r="CY94" s="19"/>
      <c r="CZ94" s="19"/>
      <c r="DA94" s="19"/>
      <c r="DB94" s="19"/>
      <c r="DC94" s="19"/>
      <c r="DD94" s="19"/>
      <c r="DE94" s="19"/>
      <c r="DF94" s="19"/>
      <c r="DG94" s="19"/>
      <c r="DH94" s="19"/>
      <c r="DI94" s="19"/>
      <c r="DJ94" s="19"/>
      <c r="DK94" s="19"/>
      <c r="DL94" s="19"/>
      <c r="DM94" s="19"/>
      <c r="DN94" s="19"/>
      <c r="DO94" s="19"/>
      <c r="DP94" s="19"/>
      <c r="DQ94" s="19"/>
      <c r="DR94" s="19"/>
      <c r="DS94" s="19"/>
      <c r="DT94" s="19"/>
      <c r="DU94" s="19"/>
      <c r="DV94" s="19"/>
      <c r="DW94" s="19"/>
      <c r="DX94" s="19"/>
      <c r="DY94" s="19"/>
      <c r="DZ94" s="19"/>
      <c r="EA94" s="19"/>
      <c r="EB94" s="19"/>
      <c r="EC94" s="19"/>
      <c r="ED94" s="19"/>
      <c r="EE94" s="19"/>
      <c r="EF94" s="19"/>
      <c r="EG94" s="19"/>
      <c r="EH94" s="19"/>
      <c r="EI94" s="19"/>
      <c r="EJ94" s="19"/>
      <c r="EK94" s="19"/>
      <c r="EL94" s="19"/>
      <c r="EM94" s="19"/>
      <c r="EN94" s="19"/>
      <c r="EO94" s="19"/>
      <c r="EP94" s="19"/>
      <c r="EQ94" s="19"/>
      <c r="ER94" s="19"/>
      <c r="ES94" s="19"/>
      <c r="ET94" s="19"/>
      <c r="EU94" s="19"/>
      <c r="EV94" s="19"/>
      <c r="EW94" s="19"/>
      <c r="EX94" s="19"/>
      <c r="EY94" s="19"/>
      <c r="EZ94" s="19"/>
      <c r="FA94" s="19"/>
      <c r="FB94" s="19"/>
      <c r="FC94" s="19"/>
      <c r="FD94" s="19"/>
      <c r="FE94" s="19"/>
      <c r="FF94" s="19"/>
      <c r="FG94" s="19"/>
      <c r="FH94" s="19"/>
      <c r="FI94" s="19"/>
      <c r="FJ94" s="19"/>
      <c r="FK94" s="19"/>
      <c r="FL94" s="19"/>
      <c r="FM94" s="19"/>
      <c r="FN94" s="19"/>
      <c r="FO94" s="19"/>
      <c r="FP94" s="19"/>
      <c r="FQ94" s="19"/>
      <c r="FR94" s="19"/>
      <c r="FS94" s="19"/>
      <c r="FT94" s="19"/>
      <c r="FU94" s="19"/>
      <c r="FV94" s="19"/>
      <c r="FW94" s="19"/>
      <c r="FX94" s="19"/>
      <c r="FY94" s="19"/>
      <c r="FZ94" s="19"/>
      <c r="GA94" s="19"/>
      <c r="GB94" s="19"/>
      <c r="GC94" s="19"/>
      <c r="GD94" s="19"/>
      <c r="GE94" s="19"/>
      <c r="GF94" s="19"/>
      <c r="GG94" s="19"/>
      <c r="GH94" s="19"/>
      <c r="GI94" s="19"/>
      <c r="GJ94" s="19"/>
      <c r="GK94" s="19"/>
      <c r="GL94" s="19"/>
      <c r="GM94" s="19"/>
      <c r="GN94" s="19"/>
      <c r="GO94" s="19"/>
      <c r="GP94" s="19"/>
      <c r="GQ94" s="19"/>
      <c r="GR94" s="19"/>
      <c r="GS94" s="19"/>
      <c r="GT94" s="19"/>
      <c r="GU94" s="19"/>
      <c r="GV94" s="19"/>
      <c r="GW94" s="19"/>
      <c r="GX94" s="19"/>
      <c r="GY94" s="19"/>
      <c r="GZ94" s="19"/>
      <c r="HA94" s="19"/>
      <c r="HB94" s="19"/>
    </row>
    <row r="95" spans="1:210" x14ac:dyDescent="0.25">
      <c r="A95" s="113">
        <f t="shared" si="17"/>
        <v>35</v>
      </c>
      <c r="B95" s="163"/>
      <c r="C95" s="172" t="str">
        <f t="shared" si="12"/>
        <v>RTH at 35 °C</v>
      </c>
      <c r="D95" s="196">
        <f t="shared" si="18"/>
        <v>1.2941176470588234</v>
      </c>
      <c r="E95" s="197">
        <v>6.8449999999999998</v>
      </c>
      <c r="F95" s="198">
        <v>6.94</v>
      </c>
      <c r="G95" s="199">
        <v>7.0350000000000001</v>
      </c>
      <c r="H95" s="128" t="s">
        <v>18</v>
      </c>
      <c r="I95" s="29"/>
      <c r="J95" s="29">
        <v>7.0350000000000001</v>
      </c>
      <c r="K95" s="29">
        <v>6.94</v>
      </c>
      <c r="L95" s="29">
        <v>6.8449999999999998</v>
      </c>
      <c r="M95" s="29"/>
      <c r="N95" s="29"/>
      <c r="O95" s="29"/>
      <c r="P95" s="29"/>
      <c r="Q95" s="29"/>
      <c r="R95" s="29"/>
      <c r="S95" s="29"/>
      <c r="T95" s="29"/>
      <c r="U95" s="29"/>
      <c r="V95" s="29"/>
      <c r="W95" s="29"/>
      <c r="X95" s="29"/>
      <c r="Y95" s="30"/>
      <c r="Z95" s="18"/>
      <c r="AA95" s="19"/>
      <c r="AB95" s="19"/>
      <c r="AC95" s="20">
        <f t="shared" si="13"/>
        <v>35</v>
      </c>
      <c r="AD95" s="20">
        <f t="shared" si="14"/>
        <v>6.8449999999999998</v>
      </c>
      <c r="AE95" s="20">
        <f t="shared" si="15"/>
        <v>6.94</v>
      </c>
      <c r="AF95" s="20">
        <f t="shared" si="16"/>
        <v>7.0350000000000001</v>
      </c>
      <c r="AG95" s="20">
        <f>Table9[[#This Row],[RTH(min) (kΩ)]]*RT2_TH_MIN/(RT2_TH_MIN+Table9[[#This Row],[RTH(min) (kΩ)]])</f>
        <v>5.5895254766990226</v>
      </c>
      <c r="AH95" s="20">
        <f>Table9[[#This Row],[RTH(nom) (kΩ)]]*RT2_TH_S/(RT2_TH_S+Table9[[#This Row],[RTH(nom) (kΩ)]])</f>
        <v>5.6537604148926404</v>
      </c>
      <c r="AI95" s="20">
        <f>Table9[[#This Row],[RTH(max) (kΩ)]]*RT2_TH_S_MAX/(RT2_TH_S_MAX+Table9[[#This Row],[RTH(max) (kΩ)]])</f>
        <v>5.7177204680951643</v>
      </c>
      <c r="AJ95" s="20">
        <f>Table9[[#This Row],[RLower(min) (kΩ)]]/(Table9[[#This Row],[RLower(min) (kΩ)]]+RT1_TH_S_MAX)*100</f>
        <v>51.622226922672823</v>
      </c>
      <c r="AK95" s="20">
        <f>Table9[[#This Row],[RLower(nom) (kΩ)]]/(Table9[[#This Row],[RLower(nom) (kΩ)]]+RT1_TH_S)*100</f>
        <v>51.932483099723157</v>
      </c>
      <c r="AL95" s="20">
        <f>Table9[[#This Row],[RLower(max) (kΩ)]]/(Table9[[#This Row],[RLower(max) (kΩ)]]+RT1_TH_S_MIN)*100</f>
        <v>52.238195008500099</v>
      </c>
      <c r="AM95" s="20">
        <f>IF(Table9[[#This Row],[Vmin (%)]]&lt;$BA$14, 0, IF(Table9[[#This Row],[Vmin (%)]]&lt;$BA$12, 4, IF(Table9[[#This Row],[Vmin (%)]]&lt;$BA$9, 3, IF(Table9[[#This Row],[Vmin (%)]]&lt;$BA$7, 2, 0))))</f>
        <v>3</v>
      </c>
      <c r="AN95" s="20">
        <f>IF(Table9[[#This Row],[Vmin (%)]]&lt;$BA$13, 0, IF(Table9[[#This Row],[Vmin (%)]]&lt;$BA$11, 4, IF(Table9[[#This Row],[Vmin (%)]]&lt;$BA$10, 3, IF(Table9[[#This Row],[Vmin (%)]]&lt;$BA$8, 2, 0))))</f>
        <v>3</v>
      </c>
      <c r="AO95" s="76" t="str">
        <f>IF(Table9[[#This Row],[Vmin (%)]]&lt;$BA$14, "Hot", IF(Table9[[#This Row],[Vmin (%)]]&lt;$BA$12, "Warm", IF(Table9[[#This Row],[Vmin (%)]]&lt;$BA$9, "Normal", IF(Table9[[#This Row],[Vmin (%)]]&lt;$BA$7, "Cool", "Cold"))))</f>
        <v>Normal</v>
      </c>
      <c r="AP95" s="19"/>
      <c r="AQ95" s="19"/>
      <c r="AR95" s="19"/>
      <c r="AS95" s="19"/>
      <c r="AT95" s="19"/>
      <c r="AU95" s="19"/>
      <c r="AV95" s="19"/>
      <c r="AW95" s="19"/>
      <c r="AX95" s="19"/>
      <c r="AY95" s="19"/>
      <c r="AZ95" s="19"/>
      <c r="BA95" s="19"/>
      <c r="BB95" s="19"/>
      <c r="BC95" s="19"/>
      <c r="BD95" s="19"/>
      <c r="BE95" s="19"/>
      <c r="BF95" s="19"/>
      <c r="BG95" s="19"/>
      <c r="BH95" s="19"/>
      <c r="BI95" s="19"/>
      <c r="BJ95" s="19"/>
      <c r="BK95" s="19"/>
      <c r="BL95" s="19"/>
      <c r="BM95" s="19"/>
      <c r="BN95" s="19"/>
      <c r="BO95" s="19"/>
      <c r="BP95" s="19"/>
      <c r="BQ95" s="19"/>
      <c r="BR95" s="19"/>
      <c r="BS95" s="19"/>
      <c r="BT95" s="19"/>
      <c r="BU95" s="19"/>
      <c r="BV95" s="19"/>
      <c r="BW95" s="19"/>
      <c r="BX95" s="19"/>
      <c r="BY95" s="19"/>
      <c r="BZ95" s="19"/>
      <c r="CA95" s="19"/>
      <c r="CB95" s="19"/>
      <c r="CC95" s="19"/>
      <c r="CD95" s="19"/>
      <c r="CE95" s="19"/>
      <c r="CF95" s="19"/>
      <c r="CG95" s="19"/>
      <c r="CH95" s="19"/>
      <c r="CI95" s="19"/>
      <c r="CJ95" s="19"/>
      <c r="CK95" s="19"/>
      <c r="CL95" s="19"/>
      <c r="CM95" s="19"/>
      <c r="CN95" s="19"/>
      <c r="CO95" s="19"/>
      <c r="CP95" s="19"/>
      <c r="CQ95" s="19"/>
      <c r="CR95" s="19"/>
      <c r="CS95" s="19"/>
      <c r="CT95" s="19"/>
      <c r="CU95" s="19"/>
      <c r="CV95" s="19"/>
      <c r="CW95" s="19"/>
      <c r="CX95" s="19"/>
      <c r="CY95" s="19"/>
      <c r="CZ95" s="19"/>
      <c r="DA95" s="19"/>
      <c r="DB95" s="19"/>
      <c r="DC95" s="19"/>
      <c r="DD95" s="19"/>
      <c r="DE95" s="19"/>
      <c r="DF95" s="19"/>
      <c r="DG95" s="19"/>
      <c r="DH95" s="19"/>
      <c r="DI95" s="19"/>
      <c r="DJ95" s="19"/>
      <c r="DK95" s="19"/>
      <c r="DL95" s="19"/>
      <c r="DM95" s="19"/>
      <c r="DN95" s="19"/>
      <c r="DO95" s="19"/>
      <c r="DP95" s="19"/>
      <c r="DQ95" s="19"/>
      <c r="DR95" s="19"/>
      <c r="DS95" s="19"/>
      <c r="DT95" s="19"/>
      <c r="DU95" s="19"/>
      <c r="DV95" s="19"/>
      <c r="DW95" s="19"/>
      <c r="DX95" s="19"/>
      <c r="DY95" s="19"/>
      <c r="DZ95" s="19"/>
      <c r="EA95" s="19"/>
      <c r="EB95" s="19"/>
      <c r="EC95" s="19"/>
      <c r="ED95" s="19"/>
      <c r="EE95" s="19"/>
      <c r="EF95" s="19"/>
      <c r="EG95" s="19"/>
      <c r="EH95" s="19"/>
      <c r="EI95" s="19"/>
      <c r="EJ95" s="19"/>
      <c r="EK95" s="19"/>
      <c r="EL95" s="19"/>
      <c r="EM95" s="19"/>
      <c r="EN95" s="19"/>
      <c r="EO95" s="19"/>
      <c r="EP95" s="19"/>
      <c r="EQ95" s="19"/>
      <c r="ER95" s="19"/>
      <c r="ES95" s="19"/>
      <c r="ET95" s="19"/>
      <c r="EU95" s="19"/>
      <c r="EV95" s="19"/>
      <c r="EW95" s="19"/>
      <c r="EX95" s="19"/>
      <c r="EY95" s="19"/>
      <c r="EZ95" s="19"/>
      <c r="FA95" s="19"/>
      <c r="FB95" s="19"/>
      <c r="FC95" s="19"/>
      <c r="FD95" s="19"/>
      <c r="FE95" s="19"/>
      <c r="FF95" s="19"/>
      <c r="FG95" s="19"/>
      <c r="FH95" s="19"/>
      <c r="FI95" s="19"/>
      <c r="FJ95" s="19"/>
      <c r="FK95" s="19"/>
      <c r="FL95" s="19"/>
      <c r="FM95" s="19"/>
      <c r="FN95" s="19"/>
      <c r="FO95" s="19"/>
      <c r="FP95" s="19"/>
      <c r="FQ95" s="19"/>
      <c r="FR95" s="19"/>
      <c r="FS95" s="19"/>
      <c r="FT95" s="19"/>
      <c r="FU95" s="19"/>
      <c r="FV95" s="19"/>
      <c r="FW95" s="19"/>
      <c r="FX95" s="19"/>
      <c r="FY95" s="19"/>
      <c r="FZ95" s="19"/>
      <c r="GA95" s="19"/>
      <c r="GB95" s="19"/>
      <c r="GC95" s="19"/>
      <c r="GD95" s="19"/>
      <c r="GE95" s="19"/>
      <c r="GF95" s="19"/>
      <c r="GG95" s="19"/>
      <c r="GH95" s="19"/>
      <c r="GI95" s="19"/>
      <c r="GJ95" s="19"/>
      <c r="GK95" s="19"/>
      <c r="GL95" s="19"/>
      <c r="GM95" s="19"/>
      <c r="GN95" s="19"/>
      <c r="GO95" s="19"/>
      <c r="GP95" s="19"/>
      <c r="GQ95" s="19"/>
      <c r="GR95" s="19"/>
      <c r="GS95" s="19"/>
      <c r="GT95" s="19"/>
      <c r="GU95" s="19"/>
      <c r="GV95" s="19"/>
      <c r="GW95" s="19"/>
      <c r="GX95" s="19"/>
      <c r="GY95" s="19"/>
      <c r="GZ95" s="19"/>
      <c r="HA95" s="19"/>
      <c r="HB95" s="19"/>
    </row>
    <row r="96" spans="1:210" x14ac:dyDescent="0.25">
      <c r="A96" s="113">
        <f t="shared" si="17"/>
        <v>34</v>
      </c>
      <c r="B96" s="163"/>
      <c r="C96" s="172" t="str">
        <f t="shared" si="12"/>
        <v>RTH at 34 °C</v>
      </c>
      <c r="D96" s="196">
        <f t="shared" si="18"/>
        <v>1.2647058823529411</v>
      </c>
      <c r="E96" s="197">
        <v>7.0960000000000001</v>
      </c>
      <c r="F96" s="198">
        <v>7.1920000000000002</v>
      </c>
      <c r="G96" s="199">
        <v>7.2880000000000003</v>
      </c>
      <c r="H96" s="128" t="s">
        <v>18</v>
      </c>
      <c r="I96" s="29"/>
      <c r="J96" s="29">
        <v>7.2880000000000003</v>
      </c>
      <c r="K96" s="29">
        <v>7.1920000000000002</v>
      </c>
      <c r="L96" s="29">
        <v>7.0960000000000001</v>
      </c>
      <c r="M96" s="29"/>
      <c r="N96" s="29"/>
      <c r="O96" s="29"/>
      <c r="P96" s="29"/>
      <c r="Q96" s="29"/>
      <c r="R96" s="29"/>
      <c r="S96" s="29"/>
      <c r="T96" s="29"/>
      <c r="U96" s="29"/>
      <c r="V96" s="29"/>
      <c r="W96" s="29"/>
      <c r="X96" s="29"/>
      <c r="Y96" s="30"/>
      <c r="Z96" s="18"/>
      <c r="AA96" s="19"/>
      <c r="AB96" s="19"/>
      <c r="AC96" s="20">
        <f t="shared" si="13"/>
        <v>34</v>
      </c>
      <c r="AD96" s="20">
        <f t="shared" si="14"/>
        <v>7.0960000000000001</v>
      </c>
      <c r="AE96" s="20">
        <f t="shared" si="15"/>
        <v>7.1920000000000002</v>
      </c>
      <c r="AF96" s="20">
        <f t="shared" si="16"/>
        <v>7.2880000000000003</v>
      </c>
      <c r="AG96" s="20">
        <f>Table9[[#This Row],[RTH(min) (kΩ)]]*RT2_TH_MIN/(RT2_TH_MIN+Table9[[#This Row],[RTH(min) (kΩ)]])</f>
        <v>5.7557769717431064</v>
      </c>
      <c r="AH96" s="20">
        <f>Table9[[#This Row],[RTH(nom) (kΩ)]]*RT2_TH_S/(RT2_TH_S+Table9[[#This Row],[RTH(nom) (kΩ)]])</f>
        <v>5.8198886565381214</v>
      </c>
      <c r="AI96" s="20">
        <f>Table9[[#This Row],[RTH(max) (kΩ)]]*RT2_TH_S_MAX/(RT2_TH_S_MAX+Table9[[#This Row],[RTH(max) (kΩ)]])</f>
        <v>5.8837263359736323</v>
      </c>
      <c r="AJ96" s="20">
        <f>Table9[[#This Row],[RLower(min) (kΩ)]]/(Table9[[#This Row],[RLower(min) (kΩ)]]+RT1_TH_S_MAX)*100</f>
        <v>52.353796532385644</v>
      </c>
      <c r="AK96" s="20">
        <f>Table9[[#This Row],[RLower(nom) (kΩ)]]/(Table9[[#This Row],[RLower(nom) (kΩ)]]+RT1_TH_S)*100</f>
        <v>52.654952917994869</v>
      </c>
      <c r="AL96" s="20">
        <f>Table9[[#This Row],[RLower(max) (kΩ)]]/(Table9[[#This Row],[RLower(max) (kΩ)]]+RT1_TH_S_MIN)*100</f>
        <v>52.951757619780373</v>
      </c>
      <c r="AM96" s="20">
        <f>IF(Table9[[#This Row],[Vmin (%)]]&lt;$BA$14, 0, IF(Table9[[#This Row],[Vmin (%)]]&lt;$BA$12, 4, IF(Table9[[#This Row],[Vmin (%)]]&lt;$BA$9, 3, IF(Table9[[#This Row],[Vmin (%)]]&lt;$BA$7, 2, 0))))</f>
        <v>3</v>
      </c>
      <c r="AN96" s="20">
        <f>IF(Table9[[#This Row],[Vmin (%)]]&lt;$BA$13, 0, IF(Table9[[#This Row],[Vmin (%)]]&lt;$BA$11, 4, IF(Table9[[#This Row],[Vmin (%)]]&lt;$BA$10, 3, IF(Table9[[#This Row],[Vmin (%)]]&lt;$BA$8, 2, 0))))</f>
        <v>3</v>
      </c>
      <c r="AO96" s="76" t="str">
        <f>IF(Table9[[#This Row],[Vmin (%)]]&lt;$BA$14, "Hot", IF(Table9[[#This Row],[Vmin (%)]]&lt;$BA$12, "Warm", IF(Table9[[#This Row],[Vmin (%)]]&lt;$BA$9, "Normal", IF(Table9[[#This Row],[Vmin (%)]]&lt;$BA$7, "Cool", "Cold"))))</f>
        <v>Normal</v>
      </c>
      <c r="AP96" s="19"/>
      <c r="AQ96" s="19"/>
      <c r="AR96" s="19"/>
      <c r="AS96" s="19"/>
      <c r="AT96" s="19"/>
      <c r="AU96" s="19"/>
      <c r="AV96" s="19"/>
      <c r="AW96" s="19"/>
      <c r="AX96" s="19"/>
      <c r="AY96" s="19"/>
      <c r="AZ96" s="19"/>
      <c r="BA96" s="19"/>
      <c r="BB96" s="19"/>
      <c r="BC96" s="19"/>
      <c r="BD96" s="19"/>
      <c r="BE96" s="19"/>
      <c r="BF96" s="19"/>
      <c r="BG96" s="19"/>
      <c r="BH96" s="19"/>
      <c r="BI96" s="19"/>
      <c r="BJ96" s="19"/>
      <c r="BK96" s="19"/>
      <c r="BL96" s="19"/>
      <c r="BM96" s="19"/>
      <c r="BN96" s="19"/>
      <c r="BO96" s="19"/>
      <c r="BP96" s="19"/>
      <c r="BQ96" s="19"/>
      <c r="BR96" s="19"/>
      <c r="BS96" s="19"/>
      <c r="BT96" s="19"/>
      <c r="BU96" s="19"/>
      <c r="BV96" s="19"/>
      <c r="BW96" s="19"/>
      <c r="BX96" s="19"/>
      <c r="BY96" s="19"/>
      <c r="BZ96" s="19"/>
      <c r="CA96" s="19"/>
      <c r="CB96" s="19"/>
      <c r="CC96" s="19"/>
      <c r="CD96" s="19"/>
      <c r="CE96" s="19"/>
      <c r="CF96" s="19"/>
      <c r="CG96" s="19"/>
      <c r="CH96" s="19"/>
      <c r="CI96" s="19"/>
      <c r="CJ96" s="19"/>
      <c r="CK96" s="19"/>
      <c r="CL96" s="19"/>
      <c r="CM96" s="19"/>
      <c r="CN96" s="19"/>
      <c r="CO96" s="19"/>
      <c r="CP96" s="19"/>
      <c r="CQ96" s="19"/>
      <c r="CR96" s="19"/>
      <c r="CS96" s="19"/>
      <c r="CT96" s="19"/>
      <c r="CU96" s="19"/>
      <c r="CV96" s="19"/>
      <c r="CW96" s="19"/>
      <c r="CX96" s="19"/>
      <c r="CY96" s="19"/>
      <c r="CZ96" s="19"/>
      <c r="DA96" s="19"/>
      <c r="DB96" s="19"/>
      <c r="DC96" s="19"/>
      <c r="DD96" s="19"/>
      <c r="DE96" s="19"/>
      <c r="DF96" s="19"/>
      <c r="DG96" s="19"/>
      <c r="DH96" s="19"/>
      <c r="DI96" s="19"/>
      <c r="DJ96" s="19"/>
      <c r="DK96" s="19"/>
      <c r="DL96" s="19"/>
      <c r="DM96" s="19"/>
      <c r="DN96" s="19"/>
      <c r="DO96" s="19"/>
      <c r="DP96" s="19"/>
      <c r="DQ96" s="19"/>
      <c r="DR96" s="19"/>
      <c r="DS96" s="19"/>
      <c r="DT96" s="19"/>
      <c r="DU96" s="19"/>
      <c r="DV96" s="19"/>
      <c r="DW96" s="19"/>
      <c r="DX96" s="19"/>
      <c r="DY96" s="19"/>
      <c r="DZ96" s="19"/>
      <c r="EA96" s="19"/>
      <c r="EB96" s="19"/>
      <c r="EC96" s="19"/>
      <c r="ED96" s="19"/>
      <c r="EE96" s="19"/>
      <c r="EF96" s="19"/>
      <c r="EG96" s="19"/>
      <c r="EH96" s="19"/>
      <c r="EI96" s="19"/>
      <c r="EJ96" s="19"/>
      <c r="EK96" s="19"/>
      <c r="EL96" s="19"/>
      <c r="EM96" s="19"/>
      <c r="EN96" s="19"/>
      <c r="EO96" s="19"/>
      <c r="EP96" s="19"/>
      <c r="EQ96" s="19"/>
      <c r="ER96" s="19"/>
      <c r="ES96" s="19"/>
      <c r="ET96" s="19"/>
      <c r="EU96" s="19"/>
      <c r="EV96" s="19"/>
      <c r="EW96" s="19"/>
      <c r="EX96" s="19"/>
      <c r="EY96" s="19"/>
      <c r="EZ96" s="19"/>
      <c r="FA96" s="19"/>
      <c r="FB96" s="19"/>
      <c r="FC96" s="19"/>
      <c r="FD96" s="19"/>
      <c r="FE96" s="19"/>
      <c r="FF96" s="19"/>
      <c r="FG96" s="19"/>
      <c r="FH96" s="19"/>
      <c r="FI96" s="19"/>
      <c r="FJ96" s="19"/>
      <c r="FK96" s="19"/>
      <c r="FL96" s="19"/>
      <c r="FM96" s="19"/>
      <c r="FN96" s="19"/>
      <c r="FO96" s="19"/>
      <c r="FP96" s="19"/>
      <c r="FQ96" s="19"/>
      <c r="FR96" s="19"/>
      <c r="FS96" s="19"/>
      <c r="FT96" s="19"/>
      <c r="FU96" s="19"/>
      <c r="FV96" s="19"/>
      <c r="FW96" s="19"/>
      <c r="FX96" s="19"/>
      <c r="FY96" s="19"/>
      <c r="FZ96" s="19"/>
      <c r="GA96" s="19"/>
      <c r="GB96" s="19"/>
      <c r="GC96" s="19"/>
      <c r="GD96" s="19"/>
      <c r="GE96" s="19"/>
      <c r="GF96" s="19"/>
      <c r="GG96" s="19"/>
      <c r="GH96" s="19"/>
      <c r="GI96" s="19"/>
      <c r="GJ96" s="19"/>
      <c r="GK96" s="19"/>
      <c r="GL96" s="19"/>
      <c r="GM96" s="19"/>
      <c r="GN96" s="19"/>
      <c r="GO96" s="19"/>
      <c r="GP96" s="19"/>
      <c r="GQ96" s="19"/>
      <c r="GR96" s="19"/>
      <c r="GS96" s="19"/>
      <c r="GT96" s="19"/>
      <c r="GU96" s="19"/>
      <c r="GV96" s="19"/>
      <c r="GW96" s="19"/>
      <c r="GX96" s="19"/>
      <c r="GY96" s="19"/>
      <c r="GZ96" s="19"/>
      <c r="HA96" s="19"/>
      <c r="HB96" s="19"/>
    </row>
    <row r="97" spans="1:210" x14ac:dyDescent="0.25">
      <c r="A97" s="113">
        <f t="shared" si="17"/>
        <v>33</v>
      </c>
      <c r="B97" s="163"/>
      <c r="C97" s="172" t="str">
        <f t="shared" si="12"/>
        <v>RTH at 33 °C</v>
      </c>
      <c r="D97" s="196">
        <f t="shared" si="18"/>
        <v>1.2352941176470589</v>
      </c>
      <c r="E97" s="197">
        <v>7.3579999999999997</v>
      </c>
      <c r="F97" s="198">
        <v>7.4539999999999997</v>
      </c>
      <c r="G97" s="199">
        <v>7.5510000000000002</v>
      </c>
      <c r="H97" s="128" t="s">
        <v>18</v>
      </c>
      <c r="I97" s="29"/>
      <c r="J97" s="29">
        <v>7.5510000000000002</v>
      </c>
      <c r="K97" s="29">
        <v>7.4539999999999997</v>
      </c>
      <c r="L97" s="29">
        <v>7.3579999999999997</v>
      </c>
      <c r="M97" s="29"/>
      <c r="N97" s="29"/>
      <c r="O97" s="29"/>
      <c r="P97" s="29"/>
      <c r="Q97" s="29"/>
      <c r="R97" s="29"/>
      <c r="S97" s="29"/>
      <c r="T97" s="29"/>
      <c r="U97" s="29"/>
      <c r="V97" s="29"/>
      <c r="W97" s="29"/>
      <c r="X97" s="29"/>
      <c r="Y97" s="30"/>
      <c r="Z97" s="18"/>
      <c r="AA97" s="19"/>
      <c r="AB97" s="19"/>
      <c r="AC97" s="20">
        <f t="shared" si="13"/>
        <v>33</v>
      </c>
      <c r="AD97" s="20">
        <f t="shared" si="14"/>
        <v>7.3579999999999997</v>
      </c>
      <c r="AE97" s="20">
        <f t="shared" si="15"/>
        <v>7.4539999999999997</v>
      </c>
      <c r="AF97" s="20">
        <f t="shared" si="16"/>
        <v>7.5510000000000002</v>
      </c>
      <c r="AG97" s="20">
        <f>Table9[[#This Row],[RTH(min) (kΩ)]]*RT2_TH_MIN/(RT2_TH_MIN+Table9[[#This Row],[RTH(min) (kΩ)]])</f>
        <v>5.9269612784300945</v>
      </c>
      <c r="AH97" s="20">
        <f>Table9[[#This Row],[RTH(nom) (kΩ)]]*RT2_TH_S/(RT2_TH_S+Table9[[#This Row],[RTH(nom) (kΩ)]])</f>
        <v>5.9902705086557511</v>
      </c>
      <c r="AI97" s="20">
        <f>Table9[[#This Row],[RTH(max) (kΩ)]]*RT2_TH_S_MAX/(RT2_TH_S_MAX+Table9[[#This Row],[RTH(max) (kΩ)]])</f>
        <v>6.0539557568269009</v>
      </c>
      <c r="AJ97" s="20">
        <f>Table9[[#This Row],[RLower(min) (kΩ)]]/(Table9[[#This Row],[RLower(min) (kΩ)]]+RT1_TH_S_MAX)*100</f>
        <v>53.084306774955934</v>
      </c>
      <c r="AK97" s="20">
        <f>Table9[[#This Row],[RLower(nom) (kΩ)]]/(Table9[[#This Row],[RLower(nom) (kΩ)]]+RT1_TH_S)*100</f>
        <v>53.373704476860659</v>
      </c>
      <c r="AL97" s="20">
        <f>Table9[[#This Row],[RLower(max) (kΩ)]]/(Table9[[#This Row],[RLower(max) (kΩ)]]+RT1_TH_S_MIN)*100</f>
        <v>53.661667046191077</v>
      </c>
      <c r="AM97" s="20">
        <f>IF(Table9[[#This Row],[Vmin (%)]]&lt;$BA$14, 0, IF(Table9[[#This Row],[Vmin (%)]]&lt;$BA$12, 4, IF(Table9[[#This Row],[Vmin (%)]]&lt;$BA$9, 3, IF(Table9[[#This Row],[Vmin (%)]]&lt;$BA$7, 2, 0))))</f>
        <v>3</v>
      </c>
      <c r="AN97" s="20">
        <f>IF(Table9[[#This Row],[Vmin (%)]]&lt;$BA$13, 0, IF(Table9[[#This Row],[Vmin (%)]]&lt;$BA$11, 4, IF(Table9[[#This Row],[Vmin (%)]]&lt;$BA$10, 3, IF(Table9[[#This Row],[Vmin (%)]]&lt;$BA$8, 2, 0))))</f>
        <v>3</v>
      </c>
      <c r="AO97" s="76" t="str">
        <f>IF(Table9[[#This Row],[Vmin (%)]]&lt;$BA$14, "Hot", IF(Table9[[#This Row],[Vmin (%)]]&lt;$BA$12, "Warm", IF(Table9[[#This Row],[Vmin (%)]]&lt;$BA$9, "Normal", IF(Table9[[#This Row],[Vmin (%)]]&lt;$BA$7, "Cool", "Cold"))))</f>
        <v>Normal</v>
      </c>
      <c r="AP97" s="19"/>
      <c r="AQ97" s="19"/>
      <c r="AR97" s="19"/>
      <c r="AS97" s="19"/>
      <c r="AT97" s="19"/>
      <c r="AU97" s="19"/>
      <c r="AV97" s="19"/>
      <c r="AW97" s="19"/>
      <c r="AX97" s="19"/>
      <c r="AY97" s="19"/>
      <c r="AZ97" s="19"/>
      <c r="BA97" s="19"/>
      <c r="BB97" s="19"/>
      <c r="BC97" s="19"/>
      <c r="BD97" s="19"/>
      <c r="BE97" s="19"/>
      <c r="BF97" s="19"/>
      <c r="BG97" s="19"/>
      <c r="BH97" s="19"/>
      <c r="BI97" s="19"/>
      <c r="BJ97" s="19"/>
      <c r="BK97" s="19"/>
      <c r="BL97" s="19"/>
      <c r="BM97" s="19"/>
      <c r="BN97" s="19"/>
      <c r="BO97" s="19"/>
      <c r="BP97" s="19"/>
      <c r="BQ97" s="19"/>
      <c r="BR97" s="19"/>
      <c r="BS97" s="19"/>
      <c r="BT97" s="19"/>
      <c r="BU97" s="19"/>
      <c r="BV97" s="19"/>
      <c r="BW97" s="19"/>
      <c r="BX97" s="19"/>
      <c r="BY97" s="19"/>
      <c r="BZ97" s="19"/>
      <c r="CA97" s="19"/>
      <c r="CB97" s="19"/>
      <c r="CC97" s="19"/>
      <c r="CD97" s="19"/>
      <c r="CE97" s="19"/>
      <c r="CF97" s="19"/>
      <c r="CG97" s="19"/>
      <c r="CH97" s="19"/>
      <c r="CI97" s="19"/>
      <c r="CJ97" s="19"/>
      <c r="CK97" s="19"/>
      <c r="CL97" s="19"/>
      <c r="CM97" s="19"/>
      <c r="CN97" s="19"/>
      <c r="CO97" s="19"/>
      <c r="CP97" s="19"/>
      <c r="CQ97" s="19"/>
      <c r="CR97" s="19"/>
      <c r="CS97" s="19"/>
      <c r="CT97" s="19"/>
      <c r="CU97" s="19"/>
      <c r="CV97" s="19"/>
      <c r="CW97" s="19"/>
      <c r="CX97" s="19"/>
      <c r="CY97" s="19"/>
      <c r="CZ97" s="19"/>
      <c r="DA97" s="19"/>
      <c r="DB97" s="19"/>
      <c r="DC97" s="19"/>
      <c r="DD97" s="19"/>
      <c r="DE97" s="19"/>
      <c r="DF97" s="19"/>
      <c r="DG97" s="19"/>
      <c r="DH97" s="19"/>
      <c r="DI97" s="19"/>
      <c r="DJ97" s="19"/>
      <c r="DK97" s="19"/>
      <c r="DL97" s="19"/>
      <c r="DM97" s="19"/>
      <c r="DN97" s="19"/>
      <c r="DO97" s="19"/>
      <c r="DP97" s="19"/>
      <c r="DQ97" s="19"/>
      <c r="DR97" s="19"/>
      <c r="DS97" s="19"/>
      <c r="DT97" s="19"/>
      <c r="DU97" s="19"/>
      <c r="DV97" s="19"/>
      <c r="DW97" s="19"/>
      <c r="DX97" s="19"/>
      <c r="DY97" s="19"/>
      <c r="DZ97" s="19"/>
      <c r="EA97" s="19"/>
      <c r="EB97" s="19"/>
      <c r="EC97" s="19"/>
      <c r="ED97" s="19"/>
      <c r="EE97" s="19"/>
      <c r="EF97" s="19"/>
      <c r="EG97" s="19"/>
      <c r="EH97" s="19"/>
      <c r="EI97" s="19"/>
      <c r="EJ97" s="19"/>
      <c r="EK97" s="19"/>
      <c r="EL97" s="19"/>
      <c r="EM97" s="19"/>
      <c r="EN97" s="19"/>
      <c r="EO97" s="19"/>
      <c r="EP97" s="19"/>
      <c r="EQ97" s="19"/>
      <c r="ER97" s="19"/>
      <c r="ES97" s="19"/>
      <c r="ET97" s="19"/>
      <c r="EU97" s="19"/>
      <c r="EV97" s="19"/>
      <c r="EW97" s="19"/>
      <c r="EX97" s="19"/>
      <c r="EY97" s="19"/>
      <c r="EZ97" s="19"/>
      <c r="FA97" s="19"/>
      <c r="FB97" s="19"/>
      <c r="FC97" s="19"/>
      <c r="FD97" s="19"/>
      <c r="FE97" s="19"/>
      <c r="FF97" s="19"/>
      <c r="FG97" s="19"/>
      <c r="FH97" s="19"/>
      <c r="FI97" s="19"/>
      <c r="FJ97" s="19"/>
      <c r="FK97" s="19"/>
      <c r="FL97" s="19"/>
      <c r="FM97" s="19"/>
      <c r="FN97" s="19"/>
      <c r="FO97" s="19"/>
      <c r="FP97" s="19"/>
      <c r="FQ97" s="19"/>
      <c r="FR97" s="19"/>
      <c r="FS97" s="19"/>
      <c r="FT97" s="19"/>
      <c r="FU97" s="19"/>
      <c r="FV97" s="19"/>
      <c r="FW97" s="19"/>
      <c r="FX97" s="19"/>
      <c r="FY97" s="19"/>
      <c r="FZ97" s="19"/>
      <c r="GA97" s="19"/>
      <c r="GB97" s="19"/>
      <c r="GC97" s="19"/>
      <c r="GD97" s="19"/>
      <c r="GE97" s="19"/>
      <c r="GF97" s="19"/>
      <c r="GG97" s="19"/>
      <c r="GH97" s="19"/>
      <c r="GI97" s="19"/>
      <c r="GJ97" s="19"/>
      <c r="GK97" s="19"/>
      <c r="GL97" s="19"/>
      <c r="GM97" s="19"/>
      <c r="GN97" s="19"/>
      <c r="GO97" s="19"/>
      <c r="GP97" s="19"/>
      <c r="GQ97" s="19"/>
      <c r="GR97" s="19"/>
      <c r="GS97" s="19"/>
      <c r="GT97" s="19"/>
      <c r="GU97" s="19"/>
      <c r="GV97" s="19"/>
      <c r="GW97" s="19"/>
      <c r="GX97" s="19"/>
      <c r="GY97" s="19"/>
      <c r="GZ97" s="19"/>
      <c r="HA97" s="19"/>
      <c r="HB97" s="19"/>
    </row>
    <row r="98" spans="1:210" x14ac:dyDescent="0.25">
      <c r="A98" s="113">
        <f t="shared" si="17"/>
        <v>32</v>
      </c>
      <c r="B98" s="163"/>
      <c r="C98" s="172" t="str">
        <f t="shared" si="12"/>
        <v>RTH at 32 °C</v>
      </c>
      <c r="D98" s="196">
        <f t="shared" si="18"/>
        <v>1.2058823529411766</v>
      </c>
      <c r="E98" s="197">
        <v>7.6310000000000002</v>
      </c>
      <c r="F98" s="198">
        <v>7.7279999999999998</v>
      </c>
      <c r="G98" s="199">
        <v>7.8259999999999996</v>
      </c>
      <c r="H98" s="128" t="s">
        <v>18</v>
      </c>
      <c r="I98" s="29"/>
      <c r="J98" s="29">
        <v>7.8259999999999996</v>
      </c>
      <c r="K98" s="29">
        <v>7.7279999999999998</v>
      </c>
      <c r="L98" s="29">
        <v>7.6310000000000002</v>
      </c>
      <c r="M98" s="29"/>
      <c r="N98" s="29"/>
      <c r="O98" s="29"/>
      <c r="P98" s="29"/>
      <c r="Q98" s="29"/>
      <c r="R98" s="29"/>
      <c r="S98" s="29"/>
      <c r="T98" s="29"/>
      <c r="U98" s="29"/>
      <c r="V98" s="29"/>
      <c r="W98" s="29"/>
      <c r="X98" s="29"/>
      <c r="Y98" s="30"/>
      <c r="Z98" s="18"/>
      <c r="AA98" s="19"/>
      <c r="AB98" s="19"/>
      <c r="AC98" s="20">
        <f t="shared" si="13"/>
        <v>32</v>
      </c>
      <c r="AD98" s="20">
        <f t="shared" si="14"/>
        <v>7.6310000000000002</v>
      </c>
      <c r="AE98" s="20">
        <f t="shared" si="15"/>
        <v>7.7279999999999998</v>
      </c>
      <c r="AF98" s="20">
        <f t="shared" si="16"/>
        <v>7.8259999999999996</v>
      </c>
      <c r="AG98" s="20">
        <f>Table9[[#This Row],[RTH(min) (kΩ)]]*RT2_TH_MIN/(RT2_TH_MIN+Table9[[#This Row],[RTH(min) (kΩ)]])</f>
        <v>6.1028284012562581</v>
      </c>
      <c r="AH98" s="20">
        <f>Table9[[#This Row],[RTH(nom) (kΩ)]]*RT2_TH_S/(RT2_TH_S+Table9[[#This Row],[RTH(nom) (kΩ)]])</f>
        <v>6.165958090070351</v>
      </c>
      <c r="AI98" s="20">
        <f>Table9[[#This Row],[RTH(max) (kΩ)]]*RT2_TH_S_MAX/(RT2_TH_S_MAX+Table9[[#This Row],[RTH(max) (kΩ)]])</f>
        <v>6.2294560094986497</v>
      </c>
      <c r="AJ98" s="20">
        <f>Table9[[#This Row],[RLower(min) (kΩ)]]/(Table9[[#This Row],[RLower(min) (kΩ)]]+RT1_TH_S_MAX)*100</f>
        <v>53.811834308608674</v>
      </c>
      <c r="AK98" s="20">
        <f>Table9[[#This Row],[RLower(nom) (kΩ)]]/(Table9[[#This Row],[RLower(nom) (kΩ)]]+RT1_TH_S)*100</f>
        <v>54.09233747719685</v>
      </c>
      <c r="AL98" s="20">
        <f>Table9[[#This Row],[RLower(max) (kΩ)]]/(Table9[[#This Row],[RLower(max) (kΩ)]]+RT1_TH_S_MIN)*100</f>
        <v>54.371472154531098</v>
      </c>
      <c r="AM98" s="20">
        <f>IF(Table9[[#This Row],[Vmin (%)]]&lt;$BA$14, 0, IF(Table9[[#This Row],[Vmin (%)]]&lt;$BA$12, 4, IF(Table9[[#This Row],[Vmin (%)]]&lt;$BA$9, 3, IF(Table9[[#This Row],[Vmin (%)]]&lt;$BA$7, 2, 0))))</f>
        <v>3</v>
      </c>
      <c r="AN98" s="20">
        <f>IF(Table9[[#This Row],[Vmin (%)]]&lt;$BA$13, 0, IF(Table9[[#This Row],[Vmin (%)]]&lt;$BA$11, 4, IF(Table9[[#This Row],[Vmin (%)]]&lt;$BA$10, 3, IF(Table9[[#This Row],[Vmin (%)]]&lt;$BA$8, 2, 0))))</f>
        <v>3</v>
      </c>
      <c r="AO98" s="76" t="str">
        <f>IF(Table9[[#This Row],[Vmin (%)]]&lt;$BA$14, "Hot", IF(Table9[[#This Row],[Vmin (%)]]&lt;$BA$12, "Warm", IF(Table9[[#This Row],[Vmin (%)]]&lt;$BA$9, "Normal", IF(Table9[[#This Row],[Vmin (%)]]&lt;$BA$7, "Cool", "Cold"))))</f>
        <v>Normal</v>
      </c>
      <c r="AP98" s="19"/>
      <c r="AQ98" s="19"/>
      <c r="AR98" s="19"/>
      <c r="AS98" s="19"/>
      <c r="AT98" s="19"/>
      <c r="AU98" s="19"/>
      <c r="AV98" s="19"/>
      <c r="AW98" s="19"/>
      <c r="AX98" s="19"/>
      <c r="AY98" s="19"/>
      <c r="AZ98" s="19"/>
      <c r="BA98" s="19"/>
      <c r="BB98" s="19"/>
      <c r="BC98" s="19"/>
      <c r="BD98" s="19"/>
      <c r="BE98" s="19"/>
      <c r="BF98" s="19"/>
      <c r="BG98" s="19"/>
      <c r="BH98" s="19"/>
      <c r="BI98" s="19"/>
      <c r="BJ98" s="19"/>
      <c r="BK98" s="19"/>
      <c r="BL98" s="19"/>
      <c r="BM98" s="19"/>
      <c r="BN98" s="19"/>
      <c r="BO98" s="19"/>
      <c r="BP98" s="19"/>
      <c r="BQ98" s="19"/>
      <c r="BR98" s="19"/>
      <c r="BS98" s="19"/>
      <c r="BT98" s="19"/>
      <c r="BU98" s="19"/>
      <c r="BV98" s="19"/>
      <c r="BW98" s="19"/>
      <c r="BX98" s="19"/>
      <c r="BY98" s="19"/>
      <c r="BZ98" s="19"/>
      <c r="CA98" s="19"/>
      <c r="CB98" s="19"/>
      <c r="CC98" s="19"/>
      <c r="CD98" s="19"/>
      <c r="CE98" s="19"/>
      <c r="CF98" s="19"/>
      <c r="CG98" s="19"/>
      <c r="CH98" s="19"/>
      <c r="CI98" s="19"/>
      <c r="CJ98" s="19"/>
      <c r="CK98" s="19"/>
      <c r="CL98" s="19"/>
      <c r="CM98" s="19"/>
      <c r="CN98" s="19"/>
      <c r="CO98" s="19"/>
      <c r="CP98" s="19"/>
      <c r="CQ98" s="19"/>
      <c r="CR98" s="19"/>
      <c r="CS98" s="19"/>
      <c r="CT98" s="19"/>
      <c r="CU98" s="19"/>
      <c r="CV98" s="19"/>
      <c r="CW98" s="19"/>
      <c r="CX98" s="19"/>
      <c r="CY98" s="19"/>
      <c r="CZ98" s="19"/>
      <c r="DA98" s="19"/>
      <c r="DB98" s="19"/>
      <c r="DC98" s="19"/>
      <c r="DD98" s="19"/>
      <c r="DE98" s="19"/>
      <c r="DF98" s="19"/>
      <c r="DG98" s="19"/>
      <c r="DH98" s="19"/>
      <c r="DI98" s="19"/>
      <c r="DJ98" s="19"/>
      <c r="DK98" s="19"/>
      <c r="DL98" s="19"/>
      <c r="DM98" s="19"/>
      <c r="DN98" s="19"/>
      <c r="DO98" s="19"/>
      <c r="DP98" s="19"/>
      <c r="DQ98" s="19"/>
      <c r="DR98" s="19"/>
      <c r="DS98" s="19"/>
      <c r="DT98" s="19"/>
      <c r="DU98" s="19"/>
      <c r="DV98" s="19"/>
      <c r="DW98" s="19"/>
      <c r="DX98" s="19"/>
      <c r="DY98" s="19"/>
      <c r="DZ98" s="19"/>
      <c r="EA98" s="19"/>
      <c r="EB98" s="19"/>
      <c r="EC98" s="19"/>
      <c r="ED98" s="19"/>
      <c r="EE98" s="19"/>
      <c r="EF98" s="19"/>
      <c r="EG98" s="19"/>
      <c r="EH98" s="19"/>
      <c r="EI98" s="19"/>
      <c r="EJ98" s="19"/>
      <c r="EK98" s="19"/>
      <c r="EL98" s="19"/>
      <c r="EM98" s="19"/>
      <c r="EN98" s="19"/>
      <c r="EO98" s="19"/>
      <c r="EP98" s="19"/>
      <c r="EQ98" s="19"/>
      <c r="ER98" s="19"/>
      <c r="ES98" s="19"/>
      <c r="ET98" s="19"/>
      <c r="EU98" s="19"/>
      <c r="EV98" s="19"/>
      <c r="EW98" s="19"/>
      <c r="EX98" s="19"/>
      <c r="EY98" s="19"/>
      <c r="EZ98" s="19"/>
      <c r="FA98" s="19"/>
      <c r="FB98" s="19"/>
      <c r="FC98" s="19"/>
      <c r="FD98" s="19"/>
      <c r="FE98" s="19"/>
      <c r="FF98" s="19"/>
      <c r="FG98" s="19"/>
      <c r="FH98" s="19"/>
      <c r="FI98" s="19"/>
      <c r="FJ98" s="19"/>
      <c r="FK98" s="19"/>
      <c r="FL98" s="19"/>
      <c r="FM98" s="19"/>
      <c r="FN98" s="19"/>
      <c r="FO98" s="19"/>
      <c r="FP98" s="19"/>
      <c r="FQ98" s="19"/>
      <c r="FR98" s="19"/>
      <c r="FS98" s="19"/>
      <c r="FT98" s="19"/>
      <c r="FU98" s="19"/>
      <c r="FV98" s="19"/>
      <c r="FW98" s="19"/>
      <c r="FX98" s="19"/>
      <c r="FY98" s="19"/>
      <c r="FZ98" s="19"/>
      <c r="GA98" s="19"/>
      <c r="GB98" s="19"/>
      <c r="GC98" s="19"/>
      <c r="GD98" s="19"/>
      <c r="GE98" s="19"/>
      <c r="GF98" s="19"/>
      <c r="GG98" s="19"/>
      <c r="GH98" s="19"/>
      <c r="GI98" s="19"/>
      <c r="GJ98" s="19"/>
      <c r="GK98" s="19"/>
      <c r="GL98" s="19"/>
      <c r="GM98" s="19"/>
      <c r="GN98" s="19"/>
      <c r="GO98" s="19"/>
      <c r="GP98" s="19"/>
      <c r="GQ98" s="19"/>
      <c r="GR98" s="19"/>
      <c r="GS98" s="19"/>
      <c r="GT98" s="19"/>
      <c r="GU98" s="19"/>
      <c r="GV98" s="19"/>
      <c r="GW98" s="19"/>
      <c r="GX98" s="19"/>
      <c r="GY98" s="19"/>
      <c r="GZ98" s="19"/>
      <c r="HA98" s="19"/>
      <c r="HB98" s="19"/>
    </row>
    <row r="99" spans="1:210" x14ac:dyDescent="0.25">
      <c r="A99" s="113">
        <f t="shared" si="17"/>
        <v>31</v>
      </c>
      <c r="B99" s="163"/>
      <c r="C99" s="172" t="str">
        <f t="shared" si="12"/>
        <v>RTH at 31 °C</v>
      </c>
      <c r="D99" s="196">
        <f t="shared" si="18"/>
        <v>1.1764705882352939</v>
      </c>
      <c r="E99" s="197">
        <v>7.9160000000000004</v>
      </c>
      <c r="F99" s="198">
        <v>8.0139999999999993</v>
      </c>
      <c r="G99" s="199">
        <v>8.1120000000000001</v>
      </c>
      <c r="H99" s="128" t="s">
        <v>18</v>
      </c>
      <c r="I99" s="29"/>
      <c r="J99" s="29">
        <v>8.1120000000000001</v>
      </c>
      <c r="K99" s="29">
        <v>8.0139999999999993</v>
      </c>
      <c r="L99" s="29">
        <v>7.9160000000000004</v>
      </c>
      <c r="M99" s="29"/>
      <c r="N99" s="29"/>
      <c r="O99" s="29"/>
      <c r="P99" s="29"/>
      <c r="Q99" s="29"/>
      <c r="R99" s="29"/>
      <c r="S99" s="29"/>
      <c r="T99" s="29"/>
      <c r="U99" s="29"/>
      <c r="V99" s="29"/>
      <c r="W99" s="29"/>
      <c r="X99" s="29"/>
      <c r="Y99" s="30"/>
      <c r="Z99" s="18"/>
      <c r="AA99" s="19"/>
      <c r="AB99" s="19"/>
      <c r="AC99" s="20">
        <f t="shared" si="13"/>
        <v>31</v>
      </c>
      <c r="AD99" s="20">
        <f t="shared" si="14"/>
        <v>7.9160000000000004</v>
      </c>
      <c r="AE99" s="20">
        <f t="shared" si="15"/>
        <v>8.0139999999999993</v>
      </c>
      <c r="AF99" s="20">
        <f t="shared" si="16"/>
        <v>8.1120000000000001</v>
      </c>
      <c r="AG99" s="20">
        <f>Table9[[#This Row],[RTH(min) (kΩ)]]*RT2_TH_MIN/(RT2_TH_MIN+Table9[[#This Row],[RTH(min) (kΩ)]])</f>
        <v>6.2837574040548763</v>
      </c>
      <c r="AH99" s="20">
        <f>Table9[[#This Row],[RTH(nom) (kΩ)]]*RT2_TH_S/(RT2_TH_S+Table9[[#This Row],[RTH(nom) (kΩ)]])</f>
        <v>6.3466739796380818</v>
      </c>
      <c r="AI99" s="20">
        <f>Table9[[#This Row],[RTH(max) (kΩ)]]*RT2_TH_S_MAX/(RT2_TH_S_MAX+Table9[[#This Row],[RTH(max) (kΩ)]])</f>
        <v>6.4093268612026844</v>
      </c>
      <c r="AJ99" s="20">
        <f>Table9[[#This Row],[RLower(min) (kΩ)]]/(Table9[[#This Row],[RLower(min) (kΩ)]]+RT1_TH_S_MAX)*100</f>
        <v>54.537124375179815</v>
      </c>
      <c r="AK99" s="20">
        <f>Table9[[#This Row],[RLower(nom) (kΩ)]]/(Table9[[#This Row],[RLower(nom) (kΩ)]]+RT1_TH_S)*100</f>
        <v>54.808786871906143</v>
      </c>
      <c r="AL99" s="20">
        <f>Table9[[#This Row],[RLower(max) (kΩ)]]/(Table9[[#This Row],[RLower(max) (kΩ)]]+RT1_TH_S_MIN)*100</f>
        <v>55.076738306120376</v>
      </c>
      <c r="AM99" s="20">
        <f>IF(Table9[[#This Row],[Vmin (%)]]&lt;$BA$14, 0, IF(Table9[[#This Row],[Vmin (%)]]&lt;$BA$12, 4, IF(Table9[[#This Row],[Vmin (%)]]&lt;$BA$9, 3, IF(Table9[[#This Row],[Vmin (%)]]&lt;$BA$7, 2, 0))))</f>
        <v>3</v>
      </c>
      <c r="AN99" s="20">
        <f>IF(Table9[[#This Row],[Vmin (%)]]&lt;$BA$13, 0, IF(Table9[[#This Row],[Vmin (%)]]&lt;$BA$11, 4, IF(Table9[[#This Row],[Vmin (%)]]&lt;$BA$10, 3, IF(Table9[[#This Row],[Vmin (%)]]&lt;$BA$8, 2, 0))))</f>
        <v>3</v>
      </c>
      <c r="AO99" s="76" t="str">
        <f>IF(Table9[[#This Row],[Vmin (%)]]&lt;$BA$14, "Hot", IF(Table9[[#This Row],[Vmin (%)]]&lt;$BA$12, "Warm", IF(Table9[[#This Row],[Vmin (%)]]&lt;$BA$9, "Normal", IF(Table9[[#This Row],[Vmin (%)]]&lt;$BA$7, "Cool", "Cold"))))</f>
        <v>Normal</v>
      </c>
      <c r="AP99" s="19"/>
      <c r="AQ99" s="19"/>
      <c r="AR99" s="19"/>
      <c r="AS99" s="19"/>
      <c r="AT99" s="19"/>
      <c r="AU99" s="19"/>
      <c r="AV99" s="19"/>
      <c r="AW99" s="19"/>
      <c r="AX99" s="19"/>
      <c r="AY99" s="19"/>
      <c r="AZ99" s="19"/>
      <c r="BA99" s="19"/>
      <c r="BB99" s="19"/>
      <c r="BC99" s="19"/>
      <c r="BD99" s="19"/>
      <c r="BE99" s="19"/>
      <c r="BF99" s="19"/>
      <c r="BG99" s="19"/>
      <c r="BH99" s="19"/>
      <c r="BI99" s="19"/>
      <c r="BJ99" s="19"/>
      <c r="BK99" s="19"/>
      <c r="BL99" s="19"/>
      <c r="BM99" s="19"/>
      <c r="BN99" s="19"/>
      <c r="BO99" s="19"/>
      <c r="BP99" s="19"/>
      <c r="BQ99" s="19"/>
      <c r="BR99" s="19"/>
      <c r="BS99" s="19"/>
      <c r="BT99" s="19"/>
      <c r="BU99" s="19"/>
      <c r="BV99" s="19"/>
      <c r="BW99" s="19"/>
      <c r="BX99" s="19"/>
      <c r="BY99" s="19"/>
      <c r="BZ99" s="19"/>
      <c r="CA99" s="19"/>
      <c r="CB99" s="19"/>
      <c r="CC99" s="19"/>
      <c r="CD99" s="19"/>
      <c r="CE99" s="19"/>
      <c r="CF99" s="19"/>
      <c r="CG99" s="19"/>
      <c r="CH99" s="19"/>
      <c r="CI99" s="19"/>
      <c r="CJ99" s="19"/>
      <c r="CK99" s="19"/>
      <c r="CL99" s="19"/>
      <c r="CM99" s="19"/>
      <c r="CN99" s="19"/>
      <c r="CO99" s="19"/>
      <c r="CP99" s="19"/>
      <c r="CQ99" s="19"/>
      <c r="CR99" s="19"/>
      <c r="CS99" s="19"/>
      <c r="CT99" s="19"/>
      <c r="CU99" s="19"/>
      <c r="CV99" s="19"/>
      <c r="CW99" s="19"/>
      <c r="CX99" s="19"/>
      <c r="CY99" s="19"/>
      <c r="CZ99" s="19"/>
      <c r="DA99" s="19"/>
      <c r="DB99" s="19"/>
      <c r="DC99" s="19"/>
      <c r="DD99" s="19"/>
      <c r="DE99" s="19"/>
      <c r="DF99" s="19"/>
      <c r="DG99" s="19"/>
      <c r="DH99" s="19"/>
      <c r="DI99" s="19"/>
      <c r="DJ99" s="19"/>
      <c r="DK99" s="19"/>
      <c r="DL99" s="19"/>
      <c r="DM99" s="19"/>
      <c r="DN99" s="19"/>
      <c r="DO99" s="19"/>
      <c r="DP99" s="19"/>
      <c r="DQ99" s="19"/>
      <c r="DR99" s="19"/>
      <c r="DS99" s="19"/>
      <c r="DT99" s="19"/>
      <c r="DU99" s="19"/>
      <c r="DV99" s="19"/>
      <c r="DW99" s="19"/>
      <c r="DX99" s="19"/>
      <c r="DY99" s="19"/>
      <c r="DZ99" s="19"/>
      <c r="EA99" s="19"/>
      <c r="EB99" s="19"/>
      <c r="EC99" s="19"/>
      <c r="ED99" s="19"/>
      <c r="EE99" s="19"/>
      <c r="EF99" s="19"/>
      <c r="EG99" s="19"/>
      <c r="EH99" s="19"/>
      <c r="EI99" s="19"/>
      <c r="EJ99" s="19"/>
      <c r="EK99" s="19"/>
      <c r="EL99" s="19"/>
      <c r="EM99" s="19"/>
      <c r="EN99" s="19"/>
      <c r="EO99" s="19"/>
      <c r="EP99" s="19"/>
      <c r="EQ99" s="19"/>
      <c r="ER99" s="19"/>
      <c r="ES99" s="19"/>
      <c r="ET99" s="19"/>
      <c r="EU99" s="19"/>
      <c r="EV99" s="19"/>
      <c r="EW99" s="19"/>
      <c r="EX99" s="19"/>
      <c r="EY99" s="19"/>
      <c r="EZ99" s="19"/>
      <c r="FA99" s="19"/>
      <c r="FB99" s="19"/>
      <c r="FC99" s="19"/>
      <c r="FD99" s="19"/>
      <c r="FE99" s="19"/>
      <c r="FF99" s="19"/>
      <c r="FG99" s="19"/>
      <c r="FH99" s="19"/>
      <c r="FI99" s="19"/>
      <c r="FJ99" s="19"/>
      <c r="FK99" s="19"/>
      <c r="FL99" s="19"/>
      <c r="FM99" s="19"/>
      <c r="FN99" s="19"/>
      <c r="FO99" s="19"/>
      <c r="FP99" s="19"/>
      <c r="FQ99" s="19"/>
      <c r="FR99" s="19"/>
      <c r="FS99" s="19"/>
      <c r="FT99" s="19"/>
      <c r="FU99" s="19"/>
      <c r="FV99" s="19"/>
      <c r="FW99" s="19"/>
      <c r="FX99" s="19"/>
      <c r="FY99" s="19"/>
      <c r="FZ99" s="19"/>
      <c r="GA99" s="19"/>
      <c r="GB99" s="19"/>
      <c r="GC99" s="19"/>
      <c r="GD99" s="19"/>
      <c r="GE99" s="19"/>
      <c r="GF99" s="19"/>
      <c r="GG99" s="19"/>
      <c r="GH99" s="19"/>
      <c r="GI99" s="19"/>
      <c r="GJ99" s="19"/>
      <c r="GK99" s="19"/>
      <c r="GL99" s="19"/>
      <c r="GM99" s="19"/>
      <c r="GN99" s="19"/>
      <c r="GO99" s="19"/>
      <c r="GP99" s="19"/>
      <c r="GQ99" s="19"/>
      <c r="GR99" s="19"/>
      <c r="GS99" s="19"/>
      <c r="GT99" s="19"/>
      <c r="GU99" s="19"/>
      <c r="GV99" s="19"/>
      <c r="GW99" s="19"/>
      <c r="GX99" s="19"/>
      <c r="GY99" s="19"/>
      <c r="GZ99" s="19"/>
      <c r="HA99" s="19"/>
      <c r="HB99" s="19"/>
    </row>
    <row r="100" spans="1:210" x14ac:dyDescent="0.25">
      <c r="A100" s="113">
        <f t="shared" si="17"/>
        <v>30</v>
      </c>
      <c r="B100" s="163"/>
      <c r="C100" s="172" t="str">
        <f t="shared" si="12"/>
        <v>RTH at 30 °C</v>
      </c>
      <c r="D100" s="196">
        <f t="shared" si="18"/>
        <v>1.1470588235294117</v>
      </c>
      <c r="E100" s="197">
        <v>8.2140000000000004</v>
      </c>
      <c r="F100" s="198">
        <v>8.3130000000000006</v>
      </c>
      <c r="G100" s="199">
        <v>8.4109999999999996</v>
      </c>
      <c r="H100" s="128" t="s">
        <v>18</v>
      </c>
      <c r="I100" s="29"/>
      <c r="J100" s="29">
        <v>8.4109999999999996</v>
      </c>
      <c r="K100" s="29">
        <v>8.3130000000000006</v>
      </c>
      <c r="L100" s="29">
        <v>8.2140000000000004</v>
      </c>
      <c r="M100" s="29"/>
      <c r="N100" s="29"/>
      <c r="O100" s="29"/>
      <c r="P100" s="29"/>
      <c r="Q100" s="29"/>
      <c r="R100" s="29"/>
      <c r="S100" s="29"/>
      <c r="T100" s="29"/>
      <c r="U100" s="29"/>
      <c r="V100" s="29"/>
      <c r="W100" s="29"/>
      <c r="X100" s="29"/>
      <c r="Y100" s="30"/>
      <c r="Z100" s="18"/>
      <c r="AA100" s="19"/>
      <c r="AB100" s="19"/>
      <c r="AC100" s="20">
        <f t="shared" si="13"/>
        <v>30</v>
      </c>
      <c r="AD100" s="20">
        <f t="shared" si="14"/>
        <v>8.2140000000000004</v>
      </c>
      <c r="AE100" s="20">
        <f t="shared" si="15"/>
        <v>8.3130000000000006</v>
      </c>
      <c r="AF100" s="20">
        <f t="shared" si="16"/>
        <v>8.4109999999999996</v>
      </c>
      <c r="AG100" s="20">
        <f>Table9[[#This Row],[RTH(min) (kΩ)]]*RT2_TH_MIN/(RT2_TH_MIN+Table9[[#This Row],[RTH(min) (kΩ)]])</f>
        <v>6.4700885321381332</v>
      </c>
      <c r="AH100" s="20">
        <f>Table9[[#This Row],[RTH(nom) (kΩ)]]*RT2_TH_S/(RT2_TH_S+Table9[[#This Row],[RTH(nom) (kΩ)]])</f>
        <v>6.5327570074327461</v>
      </c>
      <c r="AI100" s="20">
        <f>Table9[[#This Row],[RTH(max) (kΩ)]]*RT2_TH_S_MAX/(RT2_TH_S_MAX+Table9[[#This Row],[RTH(max) (kΩ)]])</f>
        <v>6.5945491045889248</v>
      </c>
      <c r="AJ100" s="20">
        <f>Table9[[#This Row],[RLower(min) (kΩ)]]/(Table9[[#This Row],[RLower(min) (kΩ)]]+RT1_TH_S_MAX)*100</f>
        <v>55.260640148952646</v>
      </c>
      <c r="AK100" s="20">
        <f>Table9[[#This Row],[RLower(nom) (kΩ)]]/(Table9[[#This Row],[RLower(nom) (kΩ)]]+RT1_TH_S)*100</f>
        <v>55.523515562198035</v>
      </c>
      <c r="AL100" s="20">
        <f>Table9[[#This Row],[RLower(max) (kΩ)]]/(Table9[[#This Row],[RLower(max) (kΩ)]]+RT1_TH_S_MIN)*100</f>
        <v>55.78055923785503</v>
      </c>
      <c r="AM100" s="20">
        <f>IF(Table9[[#This Row],[Vmin (%)]]&lt;$BA$14, 0, IF(Table9[[#This Row],[Vmin (%)]]&lt;$BA$12, 4, IF(Table9[[#This Row],[Vmin (%)]]&lt;$BA$9, 3, IF(Table9[[#This Row],[Vmin (%)]]&lt;$BA$7, 2, 0))))</f>
        <v>3</v>
      </c>
      <c r="AN100" s="20">
        <f>IF(Table9[[#This Row],[Vmin (%)]]&lt;$BA$13, 0, IF(Table9[[#This Row],[Vmin (%)]]&lt;$BA$11, 4, IF(Table9[[#This Row],[Vmin (%)]]&lt;$BA$10, 3, IF(Table9[[#This Row],[Vmin (%)]]&lt;$BA$8, 2, 0))))</f>
        <v>3</v>
      </c>
      <c r="AO100" s="76" t="str">
        <f>IF(Table9[[#This Row],[Vmin (%)]]&lt;$BA$14, "Hot", IF(Table9[[#This Row],[Vmin (%)]]&lt;$BA$12, "Warm", IF(Table9[[#This Row],[Vmin (%)]]&lt;$BA$9, "Normal", IF(Table9[[#This Row],[Vmin (%)]]&lt;$BA$7, "Cool", "Cold"))))</f>
        <v>Normal</v>
      </c>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19"/>
      <c r="BM100" s="19"/>
      <c r="BN100" s="19"/>
      <c r="BO100" s="19"/>
      <c r="BP100" s="19"/>
      <c r="BQ100" s="19"/>
      <c r="BR100" s="19"/>
      <c r="BS100" s="19"/>
      <c r="BT100" s="19"/>
      <c r="BU100" s="19"/>
      <c r="BV100" s="19"/>
      <c r="BW100" s="19"/>
      <c r="BX100" s="19"/>
      <c r="BY100" s="19"/>
      <c r="BZ100" s="19"/>
      <c r="CA100" s="19"/>
      <c r="CB100" s="19"/>
      <c r="CC100" s="19"/>
      <c r="CD100" s="19"/>
      <c r="CE100" s="19"/>
      <c r="CF100" s="19"/>
      <c r="CG100" s="19"/>
      <c r="CH100" s="19"/>
      <c r="CI100" s="19"/>
      <c r="CJ100" s="19"/>
      <c r="CK100" s="19"/>
      <c r="CL100" s="19"/>
      <c r="CM100" s="19"/>
      <c r="CN100" s="19"/>
      <c r="CO100" s="19"/>
      <c r="CP100" s="19"/>
      <c r="CQ100" s="19"/>
      <c r="CR100" s="19"/>
      <c r="CS100" s="19"/>
      <c r="CT100" s="19"/>
      <c r="CU100" s="19"/>
      <c r="CV100" s="19"/>
      <c r="CW100" s="19"/>
      <c r="CX100" s="19"/>
      <c r="CY100" s="19"/>
      <c r="CZ100" s="19"/>
      <c r="DA100" s="19"/>
      <c r="DB100" s="19"/>
      <c r="DC100" s="19"/>
      <c r="DD100" s="19"/>
      <c r="DE100" s="19"/>
      <c r="DF100" s="19"/>
      <c r="DG100" s="19"/>
      <c r="DH100" s="19"/>
      <c r="DI100" s="19"/>
      <c r="DJ100" s="19"/>
      <c r="DK100" s="19"/>
      <c r="DL100" s="19"/>
      <c r="DM100" s="19"/>
      <c r="DN100" s="19"/>
      <c r="DO100" s="19"/>
      <c r="DP100" s="19"/>
      <c r="DQ100" s="19"/>
      <c r="DR100" s="19"/>
      <c r="DS100" s="19"/>
      <c r="DT100" s="19"/>
      <c r="DU100" s="19"/>
      <c r="DV100" s="19"/>
      <c r="DW100" s="19"/>
      <c r="DX100" s="19"/>
      <c r="DY100" s="19"/>
      <c r="DZ100" s="19"/>
      <c r="EA100" s="19"/>
      <c r="EB100" s="19"/>
      <c r="EC100" s="19"/>
      <c r="ED100" s="19"/>
      <c r="EE100" s="19"/>
      <c r="EF100" s="19"/>
      <c r="EG100" s="19"/>
      <c r="EH100" s="19"/>
      <c r="EI100" s="19"/>
      <c r="EJ100" s="19"/>
      <c r="EK100" s="19"/>
      <c r="EL100" s="19"/>
      <c r="EM100" s="19"/>
      <c r="EN100" s="19"/>
      <c r="EO100" s="19"/>
      <c r="EP100" s="19"/>
      <c r="EQ100" s="19"/>
      <c r="ER100" s="19"/>
      <c r="ES100" s="19"/>
      <c r="ET100" s="19"/>
      <c r="EU100" s="19"/>
      <c r="EV100" s="19"/>
      <c r="EW100" s="19"/>
      <c r="EX100" s="19"/>
      <c r="EY100" s="19"/>
      <c r="EZ100" s="19"/>
      <c r="FA100" s="19"/>
      <c r="FB100" s="19"/>
      <c r="FC100" s="19"/>
      <c r="FD100" s="19"/>
      <c r="FE100" s="19"/>
      <c r="FF100" s="19"/>
      <c r="FG100" s="19"/>
      <c r="FH100" s="19"/>
      <c r="FI100" s="19"/>
      <c r="FJ100" s="19"/>
      <c r="FK100" s="19"/>
      <c r="FL100" s="19"/>
      <c r="FM100" s="19"/>
      <c r="FN100" s="19"/>
      <c r="FO100" s="19"/>
      <c r="FP100" s="19"/>
      <c r="FQ100" s="19"/>
      <c r="FR100" s="19"/>
      <c r="FS100" s="19"/>
      <c r="FT100" s="19"/>
      <c r="FU100" s="19"/>
      <c r="FV100" s="19"/>
      <c r="FW100" s="19"/>
      <c r="FX100" s="19"/>
      <c r="FY100" s="19"/>
      <c r="FZ100" s="19"/>
      <c r="GA100" s="19"/>
      <c r="GB100" s="19"/>
      <c r="GC100" s="19"/>
      <c r="GD100" s="19"/>
      <c r="GE100" s="19"/>
      <c r="GF100" s="19"/>
      <c r="GG100" s="19"/>
      <c r="GH100" s="19"/>
      <c r="GI100" s="19"/>
      <c r="GJ100" s="19"/>
      <c r="GK100" s="19"/>
      <c r="GL100" s="19"/>
      <c r="GM100" s="19"/>
      <c r="GN100" s="19"/>
      <c r="GO100" s="19"/>
      <c r="GP100" s="19"/>
      <c r="GQ100" s="19"/>
      <c r="GR100" s="19"/>
      <c r="GS100" s="19"/>
      <c r="GT100" s="19"/>
      <c r="GU100" s="19"/>
      <c r="GV100" s="19"/>
      <c r="GW100" s="19"/>
      <c r="GX100" s="19"/>
      <c r="GY100" s="19"/>
      <c r="GZ100" s="19"/>
      <c r="HA100" s="19"/>
      <c r="HB100" s="19"/>
    </row>
    <row r="101" spans="1:210" x14ac:dyDescent="0.25">
      <c r="A101" s="113">
        <f t="shared" si="17"/>
        <v>29</v>
      </c>
      <c r="B101" s="163"/>
      <c r="C101" s="172" t="str">
        <f t="shared" si="12"/>
        <v>RTH at 29 °C</v>
      </c>
      <c r="D101" s="196">
        <f t="shared" si="18"/>
        <v>1.1176470588235294</v>
      </c>
      <c r="E101" s="197">
        <v>8.5220000000000002</v>
      </c>
      <c r="F101" s="198">
        <v>8.6219999999999999</v>
      </c>
      <c r="G101" s="199">
        <v>8.7210000000000001</v>
      </c>
      <c r="H101" s="128" t="s">
        <v>18</v>
      </c>
      <c r="I101" s="29"/>
      <c r="J101" s="29">
        <v>8.7210000000000001</v>
      </c>
      <c r="K101" s="29">
        <v>8.6219999999999999</v>
      </c>
      <c r="L101" s="29">
        <v>8.5220000000000002</v>
      </c>
      <c r="M101" s="29"/>
      <c r="N101" s="29"/>
      <c r="O101" s="29"/>
      <c r="P101" s="29"/>
      <c r="Q101" s="29"/>
      <c r="R101" s="29"/>
      <c r="S101" s="29"/>
      <c r="T101" s="29"/>
      <c r="U101" s="29"/>
      <c r="V101" s="29"/>
      <c r="W101" s="29"/>
      <c r="X101" s="29"/>
      <c r="Y101" s="30"/>
      <c r="Z101" s="18"/>
      <c r="AA101" s="19"/>
      <c r="AB101" s="19"/>
      <c r="AC101" s="20">
        <f t="shared" si="13"/>
        <v>29</v>
      </c>
      <c r="AD101" s="20">
        <f t="shared" si="14"/>
        <v>8.5220000000000002</v>
      </c>
      <c r="AE101" s="20">
        <f t="shared" si="15"/>
        <v>8.6219999999999999</v>
      </c>
      <c r="AF101" s="20">
        <f t="shared" si="16"/>
        <v>8.7210000000000001</v>
      </c>
      <c r="AG101" s="20">
        <f>Table9[[#This Row],[RTH(min) (kΩ)]]*RT2_TH_MIN/(RT2_TH_MIN+Table9[[#This Row],[RTH(min) (kΩ)]])</f>
        <v>6.6596796783071008</v>
      </c>
      <c r="AH101" s="20">
        <f>Table9[[#This Row],[RTH(nom) (kΩ)]]*RT2_TH_S/(RT2_TH_S+Table9[[#This Row],[RTH(nom) (kΩ)]])</f>
        <v>6.7220752905685268</v>
      </c>
      <c r="AI101" s="20">
        <f>Table9[[#This Row],[RTH(max) (kΩ)]]*RT2_TH_S_MAX/(RT2_TH_S_MAX+Table9[[#This Row],[RTH(max) (kΩ)]])</f>
        <v>6.7836064364258215</v>
      </c>
      <c r="AJ101" s="20">
        <f>Table9[[#This Row],[RLower(min) (kΩ)]]/(Table9[[#This Row],[RLower(min) (kΩ)]]+RT1_TH_S_MAX)*100</f>
        <v>55.973554511348802</v>
      </c>
      <c r="AK101" s="20">
        <f>Table9[[#This Row],[RLower(nom) (kΩ)]]/(Table9[[#This Row],[RLower(nom) (kΩ)]]+RT1_TH_S)*100</f>
        <v>56.227837174945407</v>
      </c>
      <c r="AL101" s="20">
        <f>Table9[[#This Row],[RLower(max) (kΩ)]]/(Table9[[#This Row],[RLower(max) (kΩ)]]+RT1_TH_S_MIN)*100</f>
        <v>56.476567540801192</v>
      </c>
      <c r="AM101" s="20">
        <f>IF(Table9[[#This Row],[Vmin (%)]]&lt;$BA$14, 0, IF(Table9[[#This Row],[Vmin (%)]]&lt;$BA$12, 4, IF(Table9[[#This Row],[Vmin (%)]]&lt;$BA$9, 3, IF(Table9[[#This Row],[Vmin (%)]]&lt;$BA$7, 2, 0))))</f>
        <v>3</v>
      </c>
      <c r="AN101" s="20">
        <f>IF(Table9[[#This Row],[Vmin (%)]]&lt;$BA$13, 0, IF(Table9[[#This Row],[Vmin (%)]]&lt;$BA$11, 4, IF(Table9[[#This Row],[Vmin (%)]]&lt;$BA$10, 3, IF(Table9[[#This Row],[Vmin (%)]]&lt;$BA$8, 2, 0))))</f>
        <v>3</v>
      </c>
      <c r="AO101" s="76" t="str">
        <f>IF(Table9[[#This Row],[Vmin (%)]]&lt;$BA$14, "Hot", IF(Table9[[#This Row],[Vmin (%)]]&lt;$BA$12, "Warm", IF(Table9[[#This Row],[Vmin (%)]]&lt;$BA$9, "Normal", IF(Table9[[#This Row],[Vmin (%)]]&lt;$BA$7, "Cool", "Cold"))))</f>
        <v>Normal</v>
      </c>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19"/>
      <c r="BM101" s="19"/>
      <c r="BN101" s="19"/>
      <c r="BO101" s="19"/>
      <c r="BP101" s="19"/>
      <c r="BQ101" s="19"/>
      <c r="BR101" s="19"/>
      <c r="BS101" s="19"/>
      <c r="BT101" s="19"/>
      <c r="BU101" s="19"/>
      <c r="BV101" s="19"/>
      <c r="BW101" s="19"/>
      <c r="BX101" s="19"/>
      <c r="BY101" s="19"/>
      <c r="BZ101" s="19"/>
      <c r="CA101" s="19"/>
      <c r="CB101" s="19"/>
      <c r="CC101" s="19"/>
      <c r="CD101" s="19"/>
      <c r="CE101" s="19"/>
      <c r="CF101" s="19"/>
      <c r="CG101" s="19"/>
      <c r="CH101" s="19"/>
      <c r="CI101" s="19"/>
      <c r="CJ101" s="19"/>
      <c r="CK101" s="19"/>
      <c r="CL101" s="19"/>
      <c r="CM101" s="19"/>
      <c r="CN101" s="19"/>
      <c r="CO101" s="19"/>
      <c r="CP101" s="19"/>
      <c r="CQ101" s="19"/>
      <c r="CR101" s="19"/>
      <c r="CS101" s="19"/>
      <c r="CT101" s="19"/>
      <c r="CU101" s="19"/>
      <c r="CV101" s="19"/>
      <c r="CW101" s="19"/>
      <c r="CX101" s="19"/>
      <c r="CY101" s="19"/>
      <c r="CZ101" s="19"/>
      <c r="DA101" s="19"/>
      <c r="DB101" s="19"/>
      <c r="DC101" s="19"/>
      <c r="DD101" s="19"/>
      <c r="DE101" s="19"/>
      <c r="DF101" s="19"/>
      <c r="DG101" s="19"/>
      <c r="DH101" s="19"/>
      <c r="DI101" s="19"/>
      <c r="DJ101" s="19"/>
      <c r="DK101" s="19"/>
      <c r="DL101" s="19"/>
      <c r="DM101" s="19"/>
      <c r="DN101" s="19"/>
      <c r="DO101" s="19"/>
      <c r="DP101" s="19"/>
      <c r="DQ101" s="19"/>
      <c r="DR101" s="19"/>
      <c r="DS101" s="19"/>
      <c r="DT101" s="19"/>
      <c r="DU101" s="19"/>
      <c r="DV101" s="19"/>
      <c r="DW101" s="19"/>
      <c r="DX101" s="19"/>
      <c r="DY101" s="19"/>
      <c r="DZ101" s="19"/>
      <c r="EA101" s="19"/>
      <c r="EB101" s="19"/>
      <c r="EC101" s="19"/>
      <c r="ED101" s="19"/>
      <c r="EE101" s="19"/>
      <c r="EF101" s="19"/>
      <c r="EG101" s="19"/>
      <c r="EH101" s="19"/>
      <c r="EI101" s="19"/>
      <c r="EJ101" s="19"/>
      <c r="EK101" s="19"/>
      <c r="EL101" s="19"/>
      <c r="EM101" s="19"/>
      <c r="EN101" s="19"/>
      <c r="EO101" s="19"/>
      <c r="EP101" s="19"/>
      <c r="EQ101" s="19"/>
      <c r="ER101" s="19"/>
      <c r="ES101" s="19"/>
      <c r="ET101" s="19"/>
      <c r="EU101" s="19"/>
      <c r="EV101" s="19"/>
      <c r="EW101" s="19"/>
      <c r="EX101" s="19"/>
      <c r="EY101" s="19"/>
      <c r="EZ101" s="19"/>
      <c r="FA101" s="19"/>
      <c r="FB101" s="19"/>
      <c r="FC101" s="19"/>
      <c r="FD101" s="19"/>
      <c r="FE101" s="19"/>
      <c r="FF101" s="19"/>
      <c r="FG101" s="19"/>
      <c r="FH101" s="19"/>
      <c r="FI101" s="19"/>
      <c r="FJ101" s="19"/>
      <c r="FK101" s="19"/>
      <c r="FL101" s="19"/>
      <c r="FM101" s="19"/>
      <c r="FN101" s="19"/>
      <c r="FO101" s="19"/>
      <c r="FP101" s="19"/>
      <c r="FQ101" s="19"/>
      <c r="FR101" s="19"/>
      <c r="FS101" s="19"/>
      <c r="FT101" s="19"/>
      <c r="FU101" s="19"/>
      <c r="FV101" s="19"/>
      <c r="FW101" s="19"/>
      <c r="FX101" s="19"/>
      <c r="FY101" s="19"/>
      <c r="FZ101" s="19"/>
      <c r="GA101" s="19"/>
      <c r="GB101" s="19"/>
      <c r="GC101" s="19"/>
      <c r="GD101" s="19"/>
      <c r="GE101" s="19"/>
      <c r="GF101" s="19"/>
      <c r="GG101" s="19"/>
      <c r="GH101" s="19"/>
      <c r="GI101" s="19"/>
      <c r="GJ101" s="19"/>
      <c r="GK101" s="19"/>
      <c r="GL101" s="19"/>
      <c r="GM101" s="19"/>
      <c r="GN101" s="19"/>
      <c r="GO101" s="19"/>
      <c r="GP101" s="19"/>
      <c r="GQ101" s="19"/>
      <c r="GR101" s="19"/>
      <c r="GS101" s="19"/>
      <c r="GT101" s="19"/>
      <c r="GU101" s="19"/>
      <c r="GV101" s="19"/>
      <c r="GW101" s="19"/>
      <c r="GX101" s="19"/>
      <c r="GY101" s="19"/>
      <c r="GZ101" s="19"/>
      <c r="HA101" s="19"/>
      <c r="HB101" s="19"/>
    </row>
    <row r="102" spans="1:210" x14ac:dyDescent="0.25">
      <c r="A102" s="113">
        <f t="shared" si="17"/>
        <v>28</v>
      </c>
      <c r="B102" s="163"/>
      <c r="C102" s="172" t="str">
        <f t="shared" si="12"/>
        <v>RTH at 28 °C</v>
      </c>
      <c r="D102" s="196">
        <f t="shared" si="18"/>
        <v>1.0882352941176472</v>
      </c>
      <c r="E102" s="197">
        <v>8.8439999999999994</v>
      </c>
      <c r="F102" s="198">
        <v>8.9440000000000008</v>
      </c>
      <c r="G102" s="199">
        <v>9.0429999999999993</v>
      </c>
      <c r="H102" s="128" t="s">
        <v>18</v>
      </c>
      <c r="I102" s="29"/>
      <c r="J102" s="29">
        <v>9.0429999999999993</v>
      </c>
      <c r="K102" s="29">
        <v>8.9440000000000008</v>
      </c>
      <c r="L102" s="29">
        <v>8.8439999999999994</v>
      </c>
      <c r="M102" s="29"/>
      <c r="N102" s="29"/>
      <c r="O102" s="29"/>
      <c r="P102" s="29"/>
      <c r="Q102" s="29"/>
      <c r="R102" s="29"/>
      <c r="S102" s="29"/>
      <c r="T102" s="29"/>
      <c r="U102" s="29"/>
      <c r="V102" s="29"/>
      <c r="W102" s="29"/>
      <c r="X102" s="29"/>
      <c r="Y102" s="30"/>
      <c r="Z102" s="18"/>
      <c r="AA102" s="19"/>
      <c r="AB102" s="19"/>
      <c r="AC102" s="20">
        <f t="shared" si="13"/>
        <v>28</v>
      </c>
      <c r="AD102" s="20">
        <f t="shared" si="14"/>
        <v>8.8439999999999994</v>
      </c>
      <c r="AE102" s="20">
        <f t="shared" si="15"/>
        <v>8.9440000000000008</v>
      </c>
      <c r="AF102" s="20">
        <f t="shared" si="16"/>
        <v>9.0429999999999993</v>
      </c>
      <c r="AG102" s="20">
        <f>Table9[[#This Row],[RTH(min) (kΩ)]]*RT2_TH_MIN/(RT2_TH_MIN+Table9[[#This Row],[RTH(min) (kΩ)]])</f>
        <v>6.8547127259757801</v>
      </c>
      <c r="AH102" s="20">
        <f>Table9[[#This Row],[RTH(nom) (kΩ)]]*RT2_TH_S/(RT2_TH_S+Table9[[#This Row],[RTH(nom) (kΩ)]])</f>
        <v>6.9162028329753511</v>
      </c>
      <c r="AI102" s="20">
        <f>Table9[[#This Row],[RTH(max) (kΩ)]]*RT2_TH_S_MAX/(RT2_TH_S_MAX+Table9[[#This Row],[RTH(max) (kΩ)]])</f>
        <v>6.9768463600892217</v>
      </c>
      <c r="AJ102" s="20">
        <f>Table9[[#This Row],[RLower(min) (kΩ)]]/(Table9[[#This Row],[RLower(min) (kΩ)]]+RT1_TH_S_MAX)*100</f>
        <v>56.683606332364825</v>
      </c>
      <c r="AK102" s="20">
        <f>Table9[[#This Row],[RLower(nom) (kΩ)]]/(Table9[[#This Row],[RLower(nom) (kΩ)]]+RT1_TH_S)*100</f>
        <v>56.92725661043999</v>
      </c>
      <c r="AL102" s="20">
        <f>Table9[[#This Row],[RLower(max) (kΩ)]]/(Table9[[#This Row],[RLower(max) (kΩ)]]+RT1_TH_S_MIN)*100</f>
        <v>57.165689810607311</v>
      </c>
      <c r="AM102" s="20">
        <f>IF(Table9[[#This Row],[Vmin (%)]]&lt;$BA$14, 0, IF(Table9[[#This Row],[Vmin (%)]]&lt;$BA$12, 4, IF(Table9[[#This Row],[Vmin (%)]]&lt;$BA$9, 3, IF(Table9[[#This Row],[Vmin (%)]]&lt;$BA$7, 2, 0))))</f>
        <v>3</v>
      </c>
      <c r="AN102" s="20">
        <f>IF(Table9[[#This Row],[Vmin (%)]]&lt;$BA$13, 0, IF(Table9[[#This Row],[Vmin (%)]]&lt;$BA$11, 4, IF(Table9[[#This Row],[Vmin (%)]]&lt;$BA$10, 3, IF(Table9[[#This Row],[Vmin (%)]]&lt;$BA$8, 2, 0))))</f>
        <v>3</v>
      </c>
      <c r="AO102" s="76" t="str">
        <f>IF(Table9[[#This Row],[Vmin (%)]]&lt;$BA$14, "Hot", IF(Table9[[#This Row],[Vmin (%)]]&lt;$BA$12, "Warm", IF(Table9[[#This Row],[Vmin (%)]]&lt;$BA$9, "Normal", IF(Table9[[#This Row],[Vmin (%)]]&lt;$BA$7, "Cool", "Cold"))))</f>
        <v>Normal</v>
      </c>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19"/>
      <c r="BM102" s="19"/>
      <c r="BN102" s="19"/>
      <c r="BO102" s="19"/>
      <c r="BP102" s="19"/>
      <c r="BQ102" s="19"/>
      <c r="BR102" s="19"/>
      <c r="BS102" s="19"/>
      <c r="BT102" s="19"/>
      <c r="BU102" s="19"/>
      <c r="BV102" s="19"/>
      <c r="BW102" s="19"/>
      <c r="BX102" s="19"/>
      <c r="BY102" s="19"/>
      <c r="BZ102" s="19"/>
      <c r="CA102" s="19"/>
      <c r="CB102" s="19"/>
      <c r="CC102" s="19"/>
      <c r="CD102" s="19"/>
      <c r="CE102" s="19"/>
      <c r="CF102" s="19"/>
      <c r="CG102" s="19"/>
      <c r="CH102" s="19"/>
      <c r="CI102" s="19"/>
      <c r="CJ102" s="19"/>
      <c r="CK102" s="19"/>
      <c r="CL102" s="19"/>
      <c r="CM102" s="19"/>
      <c r="CN102" s="19"/>
      <c r="CO102" s="19"/>
      <c r="CP102" s="19"/>
      <c r="CQ102" s="19"/>
      <c r="CR102" s="19"/>
      <c r="CS102" s="19"/>
      <c r="CT102" s="19"/>
      <c r="CU102" s="19"/>
      <c r="CV102" s="19"/>
      <c r="CW102" s="19"/>
      <c r="CX102" s="19"/>
      <c r="CY102" s="19"/>
      <c r="CZ102" s="19"/>
      <c r="DA102" s="19"/>
      <c r="DB102" s="19"/>
      <c r="DC102" s="19"/>
      <c r="DD102" s="19"/>
      <c r="DE102" s="19"/>
      <c r="DF102" s="19"/>
      <c r="DG102" s="19"/>
      <c r="DH102" s="19"/>
      <c r="DI102" s="19"/>
      <c r="DJ102" s="19"/>
      <c r="DK102" s="19"/>
      <c r="DL102" s="19"/>
      <c r="DM102" s="19"/>
      <c r="DN102" s="19"/>
      <c r="DO102" s="19"/>
      <c r="DP102" s="19"/>
      <c r="DQ102" s="19"/>
      <c r="DR102" s="19"/>
      <c r="DS102" s="19"/>
      <c r="DT102" s="19"/>
      <c r="DU102" s="19"/>
      <c r="DV102" s="19"/>
      <c r="DW102" s="19"/>
      <c r="DX102" s="19"/>
      <c r="DY102" s="19"/>
      <c r="DZ102" s="19"/>
      <c r="EA102" s="19"/>
      <c r="EB102" s="19"/>
      <c r="EC102" s="19"/>
      <c r="ED102" s="19"/>
      <c r="EE102" s="19"/>
      <c r="EF102" s="19"/>
      <c r="EG102" s="19"/>
      <c r="EH102" s="19"/>
      <c r="EI102" s="19"/>
      <c r="EJ102" s="19"/>
      <c r="EK102" s="19"/>
      <c r="EL102" s="19"/>
      <c r="EM102" s="19"/>
      <c r="EN102" s="19"/>
      <c r="EO102" s="19"/>
      <c r="EP102" s="19"/>
      <c r="EQ102" s="19"/>
      <c r="ER102" s="19"/>
      <c r="ES102" s="19"/>
      <c r="ET102" s="19"/>
      <c r="EU102" s="19"/>
      <c r="EV102" s="19"/>
      <c r="EW102" s="19"/>
      <c r="EX102" s="19"/>
      <c r="EY102" s="19"/>
      <c r="EZ102" s="19"/>
      <c r="FA102" s="19"/>
      <c r="FB102" s="19"/>
      <c r="FC102" s="19"/>
      <c r="FD102" s="19"/>
      <c r="FE102" s="19"/>
      <c r="FF102" s="19"/>
      <c r="FG102" s="19"/>
      <c r="FH102" s="19"/>
      <c r="FI102" s="19"/>
      <c r="FJ102" s="19"/>
      <c r="FK102" s="19"/>
      <c r="FL102" s="19"/>
      <c r="FM102" s="19"/>
      <c r="FN102" s="19"/>
      <c r="FO102" s="19"/>
      <c r="FP102" s="19"/>
      <c r="FQ102" s="19"/>
      <c r="FR102" s="19"/>
      <c r="FS102" s="19"/>
      <c r="FT102" s="19"/>
      <c r="FU102" s="19"/>
      <c r="FV102" s="19"/>
      <c r="FW102" s="19"/>
      <c r="FX102" s="19"/>
      <c r="FY102" s="19"/>
      <c r="FZ102" s="19"/>
      <c r="GA102" s="19"/>
      <c r="GB102" s="19"/>
      <c r="GC102" s="19"/>
      <c r="GD102" s="19"/>
      <c r="GE102" s="19"/>
      <c r="GF102" s="19"/>
      <c r="GG102" s="19"/>
      <c r="GH102" s="19"/>
      <c r="GI102" s="19"/>
      <c r="GJ102" s="19"/>
      <c r="GK102" s="19"/>
      <c r="GL102" s="19"/>
      <c r="GM102" s="19"/>
      <c r="GN102" s="19"/>
      <c r="GO102" s="19"/>
      <c r="GP102" s="19"/>
      <c r="GQ102" s="19"/>
      <c r="GR102" s="19"/>
      <c r="GS102" s="19"/>
      <c r="GT102" s="19"/>
      <c r="GU102" s="19"/>
      <c r="GV102" s="19"/>
      <c r="GW102" s="19"/>
      <c r="GX102" s="19"/>
      <c r="GY102" s="19"/>
      <c r="GZ102" s="19"/>
      <c r="HA102" s="19"/>
      <c r="HB102" s="19"/>
    </row>
    <row r="103" spans="1:210" x14ac:dyDescent="0.25">
      <c r="A103" s="113">
        <f t="shared" si="17"/>
        <v>27</v>
      </c>
      <c r="B103" s="163"/>
      <c r="C103" s="172" t="str">
        <f t="shared" si="12"/>
        <v>RTH at 27 °C</v>
      </c>
      <c r="D103" s="196">
        <f t="shared" si="18"/>
        <v>1.0588235294117645</v>
      </c>
      <c r="E103" s="197">
        <v>9.18</v>
      </c>
      <c r="F103" s="198">
        <v>9.2810000000000006</v>
      </c>
      <c r="G103" s="199">
        <v>9.3800000000000008</v>
      </c>
      <c r="H103" s="128" t="s">
        <v>18</v>
      </c>
      <c r="I103" s="29"/>
      <c r="J103" s="29">
        <v>9.3800000000000008</v>
      </c>
      <c r="K103" s="29">
        <v>9.2810000000000006</v>
      </c>
      <c r="L103" s="29">
        <v>9.18</v>
      </c>
      <c r="M103" s="29"/>
      <c r="N103" s="29"/>
      <c r="O103" s="29"/>
      <c r="P103" s="29"/>
      <c r="Q103" s="29"/>
      <c r="R103" s="29"/>
      <c r="S103" s="29"/>
      <c r="T103" s="29"/>
      <c r="U103" s="29"/>
      <c r="V103" s="29"/>
      <c r="W103" s="29"/>
      <c r="X103" s="29"/>
      <c r="Y103" s="30"/>
      <c r="Z103" s="18"/>
      <c r="AA103" s="19"/>
      <c r="AB103" s="19"/>
      <c r="AC103" s="20">
        <f t="shared" si="13"/>
        <v>27</v>
      </c>
      <c r="AD103" s="20">
        <f t="shared" si="14"/>
        <v>9.18</v>
      </c>
      <c r="AE103" s="20">
        <f t="shared" si="15"/>
        <v>9.2810000000000006</v>
      </c>
      <c r="AF103" s="20">
        <f t="shared" si="16"/>
        <v>9.3800000000000008</v>
      </c>
      <c r="AG103" s="20">
        <f>Table9[[#This Row],[RTH(min) (kΩ)]]*RT2_TH_MIN/(RT2_TH_MIN+Table9[[#This Row],[RTH(min) (kΩ)]])</f>
        <v>7.0548485415765869</v>
      </c>
      <c r="AH103" s="20">
        <f>Table9[[#This Row],[RTH(nom) (kΩ)]]*RT2_TH_S/(RT2_TH_S+Table9[[#This Row],[RTH(nom) (kΩ)]])</f>
        <v>7.1160083653030721</v>
      </c>
      <c r="AI103" s="20">
        <f>Table9[[#This Row],[RTH(max) (kΩ)]]*RT2_TH_S_MAX/(RT2_TH_S_MAX+Table9[[#This Row],[RTH(max) (kΩ)]])</f>
        <v>7.1757491803300741</v>
      </c>
      <c r="AJ103" s="20">
        <f>Table9[[#This Row],[RLower(min) (kΩ)]]/(Table9[[#This Row],[RLower(min) (kΩ)]]+RT1_TH_S_MAX)*100</f>
        <v>57.388813403172058</v>
      </c>
      <c r="AK103" s="20">
        <f>Table9[[#This Row],[RLower(nom) (kΩ)]]/(Table9[[#This Row],[RLower(nom) (kΩ)]]+RT1_TH_S)*100</f>
        <v>57.62416913467495</v>
      </c>
      <c r="AL103" s="20">
        <f>Table9[[#This Row],[RLower(max) (kΩ)]]/(Table9[[#This Row],[RLower(max) (kΩ)]]+RT1_TH_S_MIN)*100</f>
        <v>57.852581418678106</v>
      </c>
      <c r="AM103" s="20">
        <f>IF(Table9[[#This Row],[Vmin (%)]]&lt;$BA$14, 0, IF(Table9[[#This Row],[Vmin (%)]]&lt;$BA$12, 4, IF(Table9[[#This Row],[Vmin (%)]]&lt;$BA$9, 3, IF(Table9[[#This Row],[Vmin (%)]]&lt;$BA$7, 2, 0))))</f>
        <v>3</v>
      </c>
      <c r="AN103" s="20">
        <f>IF(Table9[[#This Row],[Vmin (%)]]&lt;$BA$13, 0, IF(Table9[[#This Row],[Vmin (%)]]&lt;$BA$11, 4, IF(Table9[[#This Row],[Vmin (%)]]&lt;$BA$10, 3, IF(Table9[[#This Row],[Vmin (%)]]&lt;$BA$8, 2, 0))))</f>
        <v>3</v>
      </c>
      <c r="AO103" s="76" t="str">
        <f>IF(Table9[[#This Row],[Vmin (%)]]&lt;$BA$14, "Hot", IF(Table9[[#This Row],[Vmin (%)]]&lt;$BA$12, "Warm", IF(Table9[[#This Row],[Vmin (%)]]&lt;$BA$9, "Normal", IF(Table9[[#This Row],[Vmin (%)]]&lt;$BA$7, "Cool", "Cold"))))</f>
        <v>Normal</v>
      </c>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19"/>
      <c r="BM103" s="19"/>
      <c r="BN103" s="19"/>
      <c r="BO103" s="19"/>
      <c r="BP103" s="19"/>
      <c r="BQ103" s="19"/>
      <c r="BR103" s="19"/>
      <c r="BS103" s="19"/>
      <c r="BT103" s="19"/>
      <c r="BU103" s="19"/>
      <c r="BV103" s="19"/>
      <c r="BW103" s="19"/>
      <c r="BX103" s="19"/>
      <c r="BY103" s="19"/>
      <c r="BZ103" s="19"/>
      <c r="CA103" s="19"/>
      <c r="CB103" s="19"/>
      <c r="CC103" s="19"/>
      <c r="CD103" s="19"/>
      <c r="CE103" s="19"/>
      <c r="CF103" s="19"/>
      <c r="CG103" s="19"/>
      <c r="CH103" s="19"/>
      <c r="CI103" s="19"/>
      <c r="CJ103" s="19"/>
      <c r="CK103" s="19"/>
      <c r="CL103" s="19"/>
      <c r="CM103" s="19"/>
      <c r="CN103" s="19"/>
      <c r="CO103" s="19"/>
      <c r="CP103" s="19"/>
      <c r="CQ103" s="19"/>
      <c r="CR103" s="19"/>
      <c r="CS103" s="19"/>
      <c r="CT103" s="19"/>
      <c r="CU103" s="19"/>
      <c r="CV103" s="19"/>
      <c r="CW103" s="19"/>
      <c r="CX103" s="19"/>
      <c r="CY103" s="19"/>
      <c r="CZ103" s="19"/>
      <c r="DA103" s="19"/>
      <c r="DB103" s="19"/>
      <c r="DC103" s="19"/>
      <c r="DD103" s="19"/>
      <c r="DE103" s="19"/>
      <c r="DF103" s="19"/>
      <c r="DG103" s="19"/>
      <c r="DH103" s="19"/>
      <c r="DI103" s="19"/>
      <c r="DJ103" s="19"/>
      <c r="DK103" s="19"/>
      <c r="DL103" s="19"/>
      <c r="DM103" s="19"/>
      <c r="DN103" s="19"/>
      <c r="DO103" s="19"/>
      <c r="DP103" s="19"/>
      <c r="DQ103" s="19"/>
      <c r="DR103" s="19"/>
      <c r="DS103" s="19"/>
      <c r="DT103" s="19"/>
      <c r="DU103" s="19"/>
      <c r="DV103" s="19"/>
      <c r="DW103" s="19"/>
      <c r="DX103" s="19"/>
      <c r="DY103" s="19"/>
      <c r="DZ103" s="19"/>
      <c r="EA103" s="19"/>
      <c r="EB103" s="19"/>
      <c r="EC103" s="19"/>
      <c r="ED103" s="19"/>
      <c r="EE103" s="19"/>
      <c r="EF103" s="19"/>
      <c r="EG103" s="19"/>
      <c r="EH103" s="19"/>
      <c r="EI103" s="19"/>
      <c r="EJ103" s="19"/>
      <c r="EK103" s="19"/>
      <c r="EL103" s="19"/>
      <c r="EM103" s="19"/>
      <c r="EN103" s="19"/>
      <c r="EO103" s="19"/>
      <c r="EP103" s="19"/>
      <c r="EQ103" s="19"/>
      <c r="ER103" s="19"/>
      <c r="ES103" s="19"/>
      <c r="ET103" s="19"/>
      <c r="EU103" s="19"/>
      <c r="EV103" s="19"/>
      <c r="EW103" s="19"/>
      <c r="EX103" s="19"/>
      <c r="EY103" s="19"/>
      <c r="EZ103" s="19"/>
      <c r="FA103" s="19"/>
      <c r="FB103" s="19"/>
      <c r="FC103" s="19"/>
      <c r="FD103" s="19"/>
      <c r="FE103" s="19"/>
      <c r="FF103" s="19"/>
      <c r="FG103" s="19"/>
      <c r="FH103" s="19"/>
      <c r="FI103" s="19"/>
      <c r="FJ103" s="19"/>
      <c r="FK103" s="19"/>
      <c r="FL103" s="19"/>
      <c r="FM103" s="19"/>
      <c r="FN103" s="19"/>
      <c r="FO103" s="19"/>
      <c r="FP103" s="19"/>
      <c r="FQ103" s="19"/>
      <c r="FR103" s="19"/>
      <c r="FS103" s="19"/>
      <c r="FT103" s="19"/>
      <c r="FU103" s="19"/>
      <c r="FV103" s="19"/>
      <c r="FW103" s="19"/>
      <c r="FX103" s="19"/>
      <c r="FY103" s="19"/>
      <c r="FZ103" s="19"/>
      <c r="GA103" s="19"/>
      <c r="GB103" s="19"/>
      <c r="GC103" s="19"/>
      <c r="GD103" s="19"/>
      <c r="GE103" s="19"/>
      <c r="GF103" s="19"/>
      <c r="GG103" s="19"/>
      <c r="GH103" s="19"/>
      <c r="GI103" s="19"/>
      <c r="GJ103" s="19"/>
      <c r="GK103" s="19"/>
      <c r="GL103" s="19"/>
      <c r="GM103" s="19"/>
      <c r="GN103" s="19"/>
      <c r="GO103" s="19"/>
      <c r="GP103" s="19"/>
      <c r="GQ103" s="19"/>
      <c r="GR103" s="19"/>
      <c r="GS103" s="19"/>
      <c r="GT103" s="19"/>
      <c r="GU103" s="19"/>
      <c r="GV103" s="19"/>
      <c r="GW103" s="19"/>
      <c r="GX103" s="19"/>
      <c r="GY103" s="19"/>
      <c r="GZ103" s="19"/>
      <c r="HA103" s="19"/>
      <c r="HB103" s="19"/>
    </row>
    <row r="104" spans="1:210" x14ac:dyDescent="0.25">
      <c r="A104" s="113">
        <f t="shared" si="17"/>
        <v>26</v>
      </c>
      <c r="B104" s="163"/>
      <c r="C104" s="172" t="str">
        <f t="shared" si="12"/>
        <v>RTH at 26 °C</v>
      </c>
      <c r="D104" s="196">
        <f t="shared" si="18"/>
        <v>1.0294117647058822</v>
      </c>
      <c r="E104" s="197">
        <v>9.532</v>
      </c>
      <c r="F104" s="198">
        <v>9.6319999999999997</v>
      </c>
      <c r="G104" s="199">
        <v>9.7319999999999993</v>
      </c>
      <c r="H104" s="128" t="s">
        <v>18</v>
      </c>
      <c r="I104" s="29"/>
      <c r="J104" s="29">
        <v>9.7319999999999993</v>
      </c>
      <c r="K104" s="29">
        <v>9.6319999999999997</v>
      </c>
      <c r="L104" s="29">
        <v>9.532</v>
      </c>
      <c r="M104" s="29"/>
      <c r="N104" s="29"/>
      <c r="O104" s="29"/>
      <c r="P104" s="29"/>
      <c r="Q104" s="29"/>
      <c r="R104" s="29"/>
      <c r="S104" s="29"/>
      <c r="T104" s="29"/>
      <c r="U104" s="29"/>
      <c r="V104" s="29"/>
      <c r="W104" s="29"/>
      <c r="X104" s="29"/>
      <c r="Y104" s="30"/>
      <c r="Z104" s="18"/>
      <c r="AA104" s="19"/>
      <c r="AB104" s="19"/>
      <c r="AC104" s="20">
        <f t="shared" si="13"/>
        <v>26</v>
      </c>
      <c r="AD104" s="20">
        <f t="shared" si="14"/>
        <v>9.532</v>
      </c>
      <c r="AE104" s="20">
        <f t="shared" si="15"/>
        <v>9.6319999999999997</v>
      </c>
      <c r="AF104" s="20">
        <f t="shared" si="16"/>
        <v>9.7319999999999993</v>
      </c>
      <c r="AG104" s="20">
        <f>Table9[[#This Row],[RTH(min) (kΩ)]]*RT2_TH_MIN/(RT2_TH_MIN+Table9[[#This Row],[RTH(min) (kΩ)]])</f>
        <v>7.2609089879014475</v>
      </c>
      <c r="AH104" s="20">
        <f>Table9[[#This Row],[RTH(nom) (kΩ)]]*RT2_TH_S/(RT2_TH_S+Table9[[#This Row],[RTH(nom) (kΩ)]])</f>
        <v>7.3205472424532543</v>
      </c>
      <c r="AI104" s="20">
        <f>Table9[[#This Row],[RTH(max) (kΩ)]]*RT2_TH_S_MAX/(RT2_TH_S_MAX+Table9[[#This Row],[RTH(max) (kΩ)]])</f>
        <v>7.3799504416500428</v>
      </c>
      <c r="AJ104" s="20">
        <f>Table9[[#This Row],[RLower(min) (kΩ)]]/(Table9[[#This Row],[RLower(min) (kΩ)]]+RT1_TH_S_MAX)*100</f>
        <v>58.0913005308918</v>
      </c>
      <c r="AK104" s="20">
        <f>Table9[[#This Row],[RLower(nom) (kΩ)]]/(Table9[[#This Row],[RLower(nom) (kΩ)]]+RT1_TH_S)*100</f>
        <v>58.314612306530734</v>
      </c>
      <c r="AL104" s="20">
        <f>Table9[[#This Row],[RLower(max) (kΩ)]]/(Table9[[#This Row],[RLower(max) (kΩ)]]+RT1_TH_S_MIN)*100</f>
        <v>58.53522378538996</v>
      </c>
      <c r="AM104" s="20">
        <f>IF(Table9[[#This Row],[Vmin (%)]]&lt;$BA$14, 0, IF(Table9[[#This Row],[Vmin (%)]]&lt;$BA$12, 4, IF(Table9[[#This Row],[Vmin (%)]]&lt;$BA$9, 3, IF(Table9[[#This Row],[Vmin (%)]]&lt;$BA$7, 2, 0))))</f>
        <v>3</v>
      </c>
      <c r="AN104" s="20">
        <f>IF(Table9[[#This Row],[Vmin (%)]]&lt;$BA$13, 0, IF(Table9[[#This Row],[Vmin (%)]]&lt;$BA$11, 4, IF(Table9[[#This Row],[Vmin (%)]]&lt;$BA$10, 3, IF(Table9[[#This Row],[Vmin (%)]]&lt;$BA$8, 2, 0))))</f>
        <v>3</v>
      </c>
      <c r="AO104" s="76" t="str">
        <f>IF(Table9[[#This Row],[Vmin (%)]]&lt;$BA$14, "Hot", IF(Table9[[#This Row],[Vmin (%)]]&lt;$BA$12, "Warm", IF(Table9[[#This Row],[Vmin (%)]]&lt;$BA$9, "Normal", IF(Table9[[#This Row],[Vmin (%)]]&lt;$BA$7, "Cool", "Cold"))))</f>
        <v>Normal</v>
      </c>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19"/>
      <c r="BM104" s="19"/>
      <c r="BN104" s="19"/>
      <c r="BO104" s="19"/>
      <c r="BP104" s="19"/>
      <c r="BQ104" s="19"/>
      <c r="BR104" s="19"/>
      <c r="BS104" s="19"/>
      <c r="BT104" s="19"/>
      <c r="BU104" s="19"/>
      <c r="BV104" s="19"/>
      <c r="BW104" s="19"/>
      <c r="BX104" s="19"/>
      <c r="BY104" s="19"/>
      <c r="BZ104" s="19"/>
      <c r="CA104" s="19"/>
      <c r="CB104" s="19"/>
      <c r="CC104" s="19"/>
      <c r="CD104" s="19"/>
      <c r="CE104" s="19"/>
      <c r="CF104" s="19"/>
      <c r="CG104" s="19"/>
      <c r="CH104" s="19"/>
      <c r="CI104" s="19"/>
      <c r="CJ104" s="19"/>
      <c r="CK104" s="19"/>
      <c r="CL104" s="19"/>
      <c r="CM104" s="19"/>
      <c r="CN104" s="19"/>
      <c r="CO104" s="19"/>
      <c r="CP104" s="19"/>
      <c r="CQ104" s="19"/>
      <c r="CR104" s="19"/>
      <c r="CS104" s="19"/>
      <c r="CT104" s="19"/>
      <c r="CU104" s="19"/>
      <c r="CV104" s="19"/>
      <c r="CW104" s="19"/>
      <c r="CX104" s="19"/>
      <c r="CY104" s="19"/>
      <c r="CZ104" s="19"/>
      <c r="DA104" s="19"/>
      <c r="DB104" s="19"/>
      <c r="DC104" s="19"/>
      <c r="DD104" s="19"/>
      <c r="DE104" s="19"/>
      <c r="DF104" s="19"/>
      <c r="DG104" s="19"/>
      <c r="DH104" s="19"/>
      <c r="DI104" s="19"/>
      <c r="DJ104" s="19"/>
      <c r="DK104" s="19"/>
      <c r="DL104" s="19"/>
      <c r="DM104" s="19"/>
      <c r="DN104" s="19"/>
      <c r="DO104" s="19"/>
      <c r="DP104" s="19"/>
      <c r="DQ104" s="19"/>
      <c r="DR104" s="19"/>
      <c r="DS104" s="19"/>
      <c r="DT104" s="19"/>
      <c r="DU104" s="19"/>
      <c r="DV104" s="19"/>
      <c r="DW104" s="19"/>
      <c r="DX104" s="19"/>
      <c r="DY104" s="19"/>
      <c r="DZ104" s="19"/>
      <c r="EA104" s="19"/>
      <c r="EB104" s="19"/>
      <c r="EC104" s="19"/>
      <c r="ED104" s="19"/>
      <c r="EE104" s="19"/>
      <c r="EF104" s="19"/>
      <c r="EG104" s="19"/>
      <c r="EH104" s="19"/>
      <c r="EI104" s="19"/>
      <c r="EJ104" s="19"/>
      <c r="EK104" s="19"/>
      <c r="EL104" s="19"/>
      <c r="EM104" s="19"/>
      <c r="EN104" s="19"/>
      <c r="EO104" s="19"/>
      <c r="EP104" s="19"/>
      <c r="EQ104" s="19"/>
      <c r="ER104" s="19"/>
      <c r="ES104" s="19"/>
      <c r="ET104" s="19"/>
      <c r="EU104" s="19"/>
      <c r="EV104" s="19"/>
      <c r="EW104" s="19"/>
      <c r="EX104" s="19"/>
      <c r="EY104" s="19"/>
      <c r="EZ104" s="19"/>
      <c r="FA104" s="19"/>
      <c r="FB104" s="19"/>
      <c r="FC104" s="19"/>
      <c r="FD104" s="19"/>
      <c r="FE104" s="19"/>
      <c r="FF104" s="19"/>
      <c r="FG104" s="19"/>
      <c r="FH104" s="19"/>
      <c r="FI104" s="19"/>
      <c r="FJ104" s="19"/>
      <c r="FK104" s="19"/>
      <c r="FL104" s="19"/>
      <c r="FM104" s="19"/>
      <c r="FN104" s="19"/>
      <c r="FO104" s="19"/>
      <c r="FP104" s="19"/>
      <c r="FQ104" s="19"/>
      <c r="FR104" s="19"/>
      <c r="FS104" s="19"/>
      <c r="FT104" s="19"/>
      <c r="FU104" s="19"/>
      <c r="FV104" s="19"/>
      <c r="FW104" s="19"/>
      <c r="FX104" s="19"/>
      <c r="FY104" s="19"/>
      <c r="FZ104" s="19"/>
      <c r="GA104" s="19"/>
      <c r="GB104" s="19"/>
      <c r="GC104" s="19"/>
      <c r="GD104" s="19"/>
      <c r="GE104" s="19"/>
      <c r="GF104" s="19"/>
      <c r="GG104" s="19"/>
      <c r="GH104" s="19"/>
      <c r="GI104" s="19"/>
      <c r="GJ104" s="19"/>
      <c r="GK104" s="19"/>
      <c r="GL104" s="19"/>
      <c r="GM104" s="19"/>
      <c r="GN104" s="19"/>
      <c r="GO104" s="19"/>
      <c r="GP104" s="19"/>
      <c r="GQ104" s="19"/>
      <c r="GR104" s="19"/>
      <c r="GS104" s="19"/>
      <c r="GT104" s="19"/>
      <c r="GU104" s="19"/>
      <c r="GV104" s="19"/>
      <c r="GW104" s="19"/>
      <c r="GX104" s="19"/>
      <c r="GY104" s="19"/>
      <c r="GZ104" s="19"/>
      <c r="HA104" s="19"/>
      <c r="HB104" s="19"/>
    </row>
    <row r="105" spans="1:210" x14ac:dyDescent="0.25">
      <c r="A105" s="113">
        <f t="shared" si="17"/>
        <v>25</v>
      </c>
      <c r="B105" s="163"/>
      <c r="C105" s="172" t="str">
        <f t="shared" si="12"/>
        <v>RTH at 25 °C</v>
      </c>
      <c r="D105" s="196">
        <v>1</v>
      </c>
      <c r="E105" s="197">
        <v>9.9</v>
      </c>
      <c r="F105" s="198">
        <v>10</v>
      </c>
      <c r="G105" s="199">
        <v>10.1</v>
      </c>
      <c r="H105" s="128" t="s">
        <v>18</v>
      </c>
      <c r="I105" s="29"/>
      <c r="J105" s="29">
        <v>10.1</v>
      </c>
      <c r="K105" s="29">
        <v>10</v>
      </c>
      <c r="L105" s="29">
        <v>9.9</v>
      </c>
      <c r="M105" s="29"/>
      <c r="N105" s="29"/>
      <c r="O105" s="29"/>
      <c r="P105" s="29"/>
      <c r="Q105" s="29"/>
      <c r="R105" s="29"/>
      <c r="S105" s="29"/>
      <c r="T105" s="29"/>
      <c r="U105" s="29"/>
      <c r="V105" s="29"/>
      <c r="W105" s="29"/>
      <c r="X105" s="29"/>
      <c r="Y105" s="30"/>
      <c r="Z105" s="18"/>
      <c r="AA105" s="19"/>
      <c r="AB105" s="19"/>
      <c r="AC105" s="20">
        <f t="shared" si="13"/>
        <v>25</v>
      </c>
      <c r="AD105" s="20">
        <f t="shared" si="14"/>
        <v>9.9</v>
      </c>
      <c r="AE105" s="20">
        <f t="shared" si="15"/>
        <v>10</v>
      </c>
      <c r="AF105" s="20">
        <f t="shared" si="16"/>
        <v>10.1</v>
      </c>
      <c r="AG105" s="20">
        <f>Table9[[#This Row],[RTH(min) (kΩ)]]*RT2_TH_MIN/(RT2_TH_MIN+Table9[[#This Row],[RTH(min) (kΩ)]])</f>
        <v>7.4724941292970106</v>
      </c>
      <c r="AH105" s="20">
        <f>Table9[[#This Row],[RTH(nom) (kΩ)]]*RT2_TH_S/(RT2_TH_S+Table9[[#This Row],[RTH(nom) (kΩ)]])</f>
        <v>7.5311859908361809</v>
      </c>
      <c r="AI105" s="20">
        <f>Table9[[#This Row],[RTH(max) (kΩ)]]*RT2_TH_S_MAX/(RT2_TH_S_MAX+Table9[[#This Row],[RTH(max) (kΩ)]])</f>
        <v>7.5896510045385455</v>
      </c>
      <c r="AJ105" s="20">
        <f>Table9[[#This Row],[RLower(min) (kΩ)]]/(Table9[[#This Row],[RLower(min) (kΩ)]]+RT1_TH_S_MAX)*100</f>
        <v>58.78892106786148</v>
      </c>
      <c r="AK105" s="20">
        <f>Table9[[#This Row],[RLower(nom) (kΩ)]]/(Table9[[#This Row],[RLower(nom) (kΩ)]]+RT1_TH_S)*100</f>
        <v>59.002518608278066</v>
      </c>
      <c r="AL105" s="20">
        <f>Table9[[#This Row],[RLower(max) (kΩ)]]/(Table9[[#This Row],[RLower(max) (kΩ)]]+RT1_TH_S_MIN)*100</f>
        <v>59.213612592641638</v>
      </c>
      <c r="AM105" s="20">
        <f>IF(Table9[[#This Row],[Vmin (%)]]&lt;$BA$14, 0, IF(Table9[[#This Row],[Vmin (%)]]&lt;$BA$12, 4, IF(Table9[[#This Row],[Vmin (%)]]&lt;$BA$9, 3, IF(Table9[[#This Row],[Vmin (%)]]&lt;$BA$7, 2, 0))))</f>
        <v>3</v>
      </c>
      <c r="AN105" s="20">
        <f>IF(Table9[[#This Row],[Vmin (%)]]&lt;$BA$13, 0, IF(Table9[[#This Row],[Vmin (%)]]&lt;$BA$11, 4, IF(Table9[[#This Row],[Vmin (%)]]&lt;$BA$10, 3, IF(Table9[[#This Row],[Vmin (%)]]&lt;$BA$8, 2, 0))))</f>
        <v>3</v>
      </c>
      <c r="AO105" s="76" t="str">
        <f>IF(Table9[[#This Row],[Vmin (%)]]&lt;$BA$14, "Hot", IF(Table9[[#This Row],[Vmin (%)]]&lt;$BA$12, "Warm", IF(Table9[[#This Row],[Vmin (%)]]&lt;$BA$9, "Normal", IF(Table9[[#This Row],[Vmin (%)]]&lt;$BA$7, "Cool", "Cold"))))</f>
        <v>Normal</v>
      </c>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s="19"/>
      <c r="BN105" s="19"/>
      <c r="BO105" s="19"/>
      <c r="BP105" s="19"/>
      <c r="BQ105" s="19"/>
      <c r="BR105" s="19"/>
      <c r="BS105" s="19"/>
      <c r="BT105" s="19"/>
      <c r="BU105" s="19"/>
      <c r="BV105" s="19"/>
      <c r="BW105" s="19"/>
      <c r="BX105" s="19"/>
      <c r="BY105" s="19"/>
      <c r="BZ105" s="19"/>
      <c r="CA105" s="19"/>
      <c r="CB105" s="19"/>
      <c r="CC105" s="19"/>
      <c r="CD105" s="19"/>
      <c r="CE105" s="19"/>
      <c r="CF105" s="19"/>
      <c r="CG105" s="19"/>
      <c r="CH105" s="19"/>
      <c r="CI105" s="19"/>
      <c r="CJ105" s="19"/>
      <c r="CK105" s="19"/>
      <c r="CL105" s="19"/>
      <c r="CM105" s="19"/>
      <c r="CN105" s="19"/>
      <c r="CO105" s="19"/>
      <c r="CP105" s="19"/>
      <c r="CQ105" s="19"/>
      <c r="CR105" s="19"/>
      <c r="CS105" s="19"/>
      <c r="CT105" s="19"/>
      <c r="CU105" s="19"/>
      <c r="CV105" s="19"/>
      <c r="CW105" s="19"/>
      <c r="CX105" s="19"/>
      <c r="CY105" s="19"/>
      <c r="CZ105" s="19"/>
      <c r="DA105" s="19"/>
      <c r="DB105" s="19"/>
      <c r="DC105" s="19"/>
      <c r="DD105" s="19"/>
      <c r="DE105" s="19"/>
      <c r="DF105" s="19"/>
      <c r="DG105" s="19"/>
      <c r="DH105" s="19"/>
      <c r="DI105" s="19"/>
      <c r="DJ105" s="19"/>
      <c r="DK105" s="19"/>
      <c r="DL105" s="19"/>
      <c r="DM105" s="19"/>
      <c r="DN105" s="19"/>
      <c r="DO105" s="19"/>
      <c r="DP105" s="19"/>
      <c r="DQ105" s="19"/>
      <c r="DR105" s="19"/>
      <c r="DS105" s="19"/>
      <c r="DT105" s="19"/>
      <c r="DU105" s="19"/>
      <c r="DV105" s="19"/>
      <c r="DW105" s="19"/>
      <c r="DX105" s="19"/>
      <c r="DY105" s="19"/>
      <c r="DZ105" s="19"/>
      <c r="EA105" s="19"/>
      <c r="EB105" s="19"/>
      <c r="EC105" s="19"/>
      <c r="ED105" s="19"/>
      <c r="EE105" s="19"/>
      <c r="EF105" s="19"/>
      <c r="EG105" s="19"/>
      <c r="EH105" s="19"/>
      <c r="EI105" s="19"/>
      <c r="EJ105" s="19"/>
      <c r="EK105" s="19"/>
      <c r="EL105" s="19"/>
      <c r="EM105" s="19"/>
      <c r="EN105" s="19"/>
      <c r="EO105" s="19"/>
      <c r="EP105" s="19"/>
      <c r="EQ105" s="19"/>
      <c r="ER105" s="19"/>
      <c r="ES105" s="19"/>
      <c r="ET105" s="19"/>
      <c r="EU105" s="19"/>
      <c r="EV105" s="19"/>
      <c r="EW105" s="19"/>
      <c r="EX105" s="19"/>
      <c r="EY105" s="19"/>
      <c r="EZ105" s="19"/>
      <c r="FA105" s="19"/>
      <c r="FB105" s="19"/>
      <c r="FC105" s="19"/>
      <c r="FD105" s="19"/>
      <c r="FE105" s="19"/>
      <c r="FF105" s="19"/>
      <c r="FG105" s="19"/>
      <c r="FH105" s="19"/>
      <c r="FI105" s="19"/>
      <c r="FJ105" s="19"/>
      <c r="FK105" s="19"/>
      <c r="FL105" s="19"/>
      <c r="FM105" s="19"/>
      <c r="FN105" s="19"/>
      <c r="FO105" s="19"/>
      <c r="FP105" s="19"/>
      <c r="FQ105" s="19"/>
      <c r="FR105" s="19"/>
      <c r="FS105" s="19"/>
      <c r="FT105" s="19"/>
      <c r="FU105" s="19"/>
      <c r="FV105" s="19"/>
      <c r="FW105" s="19"/>
      <c r="FX105" s="19"/>
      <c r="FY105" s="19"/>
      <c r="FZ105" s="19"/>
      <c r="GA105" s="19"/>
      <c r="GB105" s="19"/>
      <c r="GC105" s="19"/>
      <c r="GD105" s="19"/>
      <c r="GE105" s="19"/>
      <c r="GF105" s="19"/>
      <c r="GG105" s="19"/>
      <c r="GH105" s="19"/>
      <c r="GI105" s="19"/>
      <c r="GJ105" s="19"/>
      <c r="GK105" s="19"/>
      <c r="GL105" s="19"/>
      <c r="GM105" s="19"/>
      <c r="GN105" s="19"/>
      <c r="GO105" s="19"/>
      <c r="GP105" s="19"/>
      <c r="GQ105" s="19"/>
      <c r="GR105" s="19"/>
      <c r="GS105" s="19"/>
      <c r="GT105" s="19"/>
      <c r="GU105" s="19"/>
      <c r="GV105" s="19"/>
      <c r="GW105" s="19"/>
      <c r="GX105" s="19"/>
      <c r="GY105" s="19"/>
      <c r="GZ105" s="19"/>
      <c r="HA105" s="19"/>
      <c r="HB105" s="19"/>
    </row>
    <row r="106" spans="1:210" x14ac:dyDescent="0.25">
      <c r="A106" s="113">
        <f t="shared" si="17"/>
        <v>24</v>
      </c>
      <c r="B106" s="163"/>
      <c r="C106" s="172" t="str">
        <f t="shared" si="12"/>
        <v>RTH at 24 °C</v>
      </c>
      <c r="D106" s="196">
        <f>$D$105+(ROW(D106)-ROW($D$105))*($D$180-$D$105)/(ROW($D$180)-ROW($D$105))</f>
        <v>1.0433333333333334</v>
      </c>
      <c r="E106" s="197">
        <v>10.27</v>
      </c>
      <c r="F106" s="198">
        <v>10.38</v>
      </c>
      <c r="G106" s="199">
        <v>10.49</v>
      </c>
      <c r="H106" s="128" t="s">
        <v>18</v>
      </c>
      <c r="I106" s="29"/>
      <c r="J106" s="29">
        <v>10.49</v>
      </c>
      <c r="K106" s="29">
        <v>10.38</v>
      </c>
      <c r="L106" s="29">
        <v>10.27</v>
      </c>
      <c r="M106" s="29"/>
      <c r="N106" s="29"/>
      <c r="O106" s="29"/>
      <c r="P106" s="29"/>
      <c r="Q106" s="29"/>
      <c r="R106" s="29"/>
      <c r="S106" s="29"/>
      <c r="T106" s="29"/>
      <c r="U106" s="29"/>
      <c r="V106" s="29"/>
      <c r="W106" s="29"/>
      <c r="X106" s="29"/>
      <c r="Y106" s="30"/>
      <c r="Z106" s="18"/>
      <c r="AA106" s="19"/>
      <c r="AB106" s="19"/>
      <c r="AC106" s="20">
        <f t="shared" si="13"/>
        <v>24</v>
      </c>
      <c r="AD106" s="20">
        <f t="shared" si="14"/>
        <v>10.27</v>
      </c>
      <c r="AE106" s="20">
        <f t="shared" si="15"/>
        <v>10.38</v>
      </c>
      <c r="AF106" s="20">
        <f t="shared" si="16"/>
        <v>10.49</v>
      </c>
      <c r="AG106" s="20">
        <f>Table9[[#This Row],[RTH(min) (kΩ)]]*RT2_TH_MIN/(RT2_TH_MIN+Table9[[#This Row],[RTH(min) (kΩ)]])</f>
        <v>7.6813759724394526</v>
      </c>
      <c r="AH106" s="20">
        <f>Table9[[#This Row],[RTH(nom) (kΩ)]]*RT2_TH_S/(RT2_TH_S+Table9[[#This Row],[RTH(nom) (kΩ)]])</f>
        <v>7.7447140757803874</v>
      </c>
      <c r="AI106" s="20">
        <f>Table9[[#This Row],[RTH(max) (kΩ)]]*RT2_TH_S_MAX/(RT2_TH_S_MAX+Table9[[#This Row],[RTH(max) (kΩ)]])</f>
        <v>7.8077819219010696</v>
      </c>
      <c r="AJ106" s="20">
        <f>Table9[[#This Row],[RLower(min) (kΩ)]]/(Table9[[#This Row],[RLower(min) (kΩ)]]+RT1_TH_S_MAX)*100</f>
        <v>59.455214610360784</v>
      </c>
      <c r="AK106" s="20">
        <f>Table9[[#This Row],[RLower(nom) (kΩ)]]/(Table9[[#This Row],[RLower(nom) (kΩ)]]+RT1_TH_S)*100</f>
        <v>59.677068811026416</v>
      </c>
      <c r="AL106" s="20">
        <f>Table9[[#This Row],[RLower(max) (kΩ)]]/(Table9[[#This Row],[RLower(max) (kΩ)]]+RT1_TH_S_MIN)*100</f>
        <v>59.896113819911811</v>
      </c>
      <c r="AM106" s="20">
        <f>IF(Table9[[#This Row],[Vmin (%)]]&lt;$BA$14, 0, IF(Table9[[#This Row],[Vmin (%)]]&lt;$BA$12, 4, IF(Table9[[#This Row],[Vmin (%)]]&lt;$BA$9, 3, IF(Table9[[#This Row],[Vmin (%)]]&lt;$BA$7, 2, 0))))</f>
        <v>3</v>
      </c>
      <c r="AN106" s="20">
        <f>IF(Table9[[#This Row],[Vmin (%)]]&lt;$BA$13, 0, IF(Table9[[#This Row],[Vmin (%)]]&lt;$BA$11, 4, IF(Table9[[#This Row],[Vmin (%)]]&lt;$BA$10, 3, IF(Table9[[#This Row],[Vmin (%)]]&lt;$BA$8, 2, 0))))</f>
        <v>3</v>
      </c>
      <c r="AO106" s="76" t="str">
        <f>IF(Table9[[#This Row],[Vmin (%)]]&lt;$BA$14, "Hot", IF(Table9[[#This Row],[Vmin (%)]]&lt;$BA$12, "Warm", IF(Table9[[#This Row],[Vmin (%)]]&lt;$BA$9, "Normal", IF(Table9[[#This Row],[Vmin (%)]]&lt;$BA$7, "Cool", "Cold"))))</f>
        <v>Normal</v>
      </c>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19"/>
      <c r="BM106" s="19"/>
      <c r="BN106" s="19"/>
      <c r="BO106" s="19"/>
      <c r="BP106" s="19"/>
      <c r="BQ106" s="19"/>
      <c r="BR106" s="19"/>
      <c r="BS106" s="19"/>
      <c r="BT106" s="19"/>
      <c r="BU106" s="19"/>
      <c r="BV106" s="19"/>
      <c r="BW106" s="19"/>
      <c r="BX106" s="19"/>
      <c r="BY106" s="19"/>
      <c r="BZ106" s="19"/>
      <c r="CA106" s="19"/>
      <c r="CB106" s="19"/>
      <c r="CC106" s="19"/>
      <c r="CD106" s="19"/>
      <c r="CE106" s="19"/>
      <c r="CF106" s="19"/>
      <c r="CG106" s="19"/>
      <c r="CH106" s="19"/>
      <c r="CI106" s="19"/>
      <c r="CJ106" s="19"/>
      <c r="CK106" s="19"/>
      <c r="CL106" s="19"/>
      <c r="CM106" s="19"/>
      <c r="CN106" s="19"/>
      <c r="CO106" s="19"/>
      <c r="CP106" s="19"/>
      <c r="CQ106" s="19"/>
      <c r="CR106" s="19"/>
      <c r="CS106" s="19"/>
      <c r="CT106" s="19"/>
      <c r="CU106" s="19"/>
      <c r="CV106" s="19"/>
      <c r="CW106" s="19"/>
      <c r="CX106" s="19"/>
      <c r="CY106" s="19"/>
      <c r="CZ106" s="19"/>
      <c r="DA106" s="19"/>
      <c r="DB106" s="19"/>
      <c r="DC106" s="19"/>
      <c r="DD106" s="19"/>
      <c r="DE106" s="19"/>
      <c r="DF106" s="19"/>
      <c r="DG106" s="19"/>
      <c r="DH106" s="19"/>
      <c r="DI106" s="19"/>
      <c r="DJ106" s="19"/>
      <c r="DK106" s="19"/>
      <c r="DL106" s="19"/>
      <c r="DM106" s="19"/>
      <c r="DN106" s="19"/>
      <c r="DO106" s="19"/>
      <c r="DP106" s="19"/>
      <c r="DQ106" s="19"/>
      <c r="DR106" s="19"/>
      <c r="DS106" s="19"/>
      <c r="DT106" s="19"/>
      <c r="DU106" s="19"/>
      <c r="DV106" s="19"/>
      <c r="DW106" s="19"/>
      <c r="DX106" s="19"/>
      <c r="DY106" s="19"/>
      <c r="DZ106" s="19"/>
      <c r="EA106" s="19"/>
      <c r="EB106" s="19"/>
      <c r="EC106" s="19"/>
      <c r="ED106" s="19"/>
      <c r="EE106" s="19"/>
      <c r="EF106" s="19"/>
      <c r="EG106" s="19"/>
      <c r="EH106" s="19"/>
      <c r="EI106" s="19"/>
      <c r="EJ106" s="19"/>
      <c r="EK106" s="19"/>
      <c r="EL106" s="19"/>
      <c r="EM106" s="19"/>
      <c r="EN106" s="19"/>
      <c r="EO106" s="19"/>
      <c r="EP106" s="19"/>
      <c r="EQ106" s="19"/>
      <c r="ER106" s="19"/>
      <c r="ES106" s="19"/>
      <c r="ET106" s="19"/>
      <c r="EU106" s="19"/>
      <c r="EV106" s="19"/>
      <c r="EW106" s="19"/>
      <c r="EX106" s="19"/>
      <c r="EY106" s="19"/>
      <c r="EZ106" s="19"/>
      <c r="FA106" s="19"/>
      <c r="FB106" s="19"/>
      <c r="FC106" s="19"/>
      <c r="FD106" s="19"/>
      <c r="FE106" s="19"/>
      <c r="FF106" s="19"/>
      <c r="FG106" s="19"/>
      <c r="FH106" s="19"/>
      <c r="FI106" s="19"/>
      <c r="FJ106" s="19"/>
      <c r="FK106" s="19"/>
      <c r="FL106" s="19"/>
      <c r="FM106" s="19"/>
      <c r="FN106" s="19"/>
      <c r="FO106" s="19"/>
      <c r="FP106" s="19"/>
      <c r="FQ106" s="19"/>
      <c r="FR106" s="19"/>
      <c r="FS106" s="19"/>
      <c r="FT106" s="19"/>
      <c r="FU106" s="19"/>
      <c r="FV106" s="19"/>
      <c r="FW106" s="19"/>
      <c r="FX106" s="19"/>
      <c r="FY106" s="19"/>
      <c r="FZ106" s="19"/>
      <c r="GA106" s="19"/>
      <c r="GB106" s="19"/>
      <c r="GC106" s="19"/>
      <c r="GD106" s="19"/>
      <c r="GE106" s="19"/>
      <c r="GF106" s="19"/>
      <c r="GG106" s="19"/>
      <c r="GH106" s="19"/>
      <c r="GI106" s="19"/>
      <c r="GJ106" s="19"/>
      <c r="GK106" s="19"/>
      <c r="GL106" s="19"/>
      <c r="GM106" s="19"/>
      <c r="GN106" s="19"/>
      <c r="GO106" s="19"/>
      <c r="GP106" s="19"/>
      <c r="GQ106" s="19"/>
      <c r="GR106" s="19"/>
      <c r="GS106" s="19"/>
      <c r="GT106" s="19"/>
      <c r="GU106" s="19"/>
      <c r="GV106" s="19"/>
      <c r="GW106" s="19"/>
      <c r="GX106" s="19"/>
      <c r="GY106" s="19"/>
      <c r="GZ106" s="19"/>
      <c r="HA106" s="19"/>
      <c r="HB106" s="19"/>
    </row>
    <row r="107" spans="1:210" x14ac:dyDescent="0.25">
      <c r="A107" s="113">
        <f t="shared" si="17"/>
        <v>23</v>
      </c>
      <c r="B107" s="163"/>
      <c r="C107" s="172" t="str">
        <f t="shared" si="12"/>
        <v>RTH at 23 °C</v>
      </c>
      <c r="D107" s="196">
        <f t="shared" ref="D107:D170" si="19">$D$105+(ROW(D107)-ROW($D$105))*($D$180-$D$105)/(ROW($D$180)-ROW($D$105))</f>
        <v>1.0866666666666667</v>
      </c>
      <c r="E107" s="197">
        <v>10.66</v>
      </c>
      <c r="F107" s="198">
        <v>10.78</v>
      </c>
      <c r="G107" s="199">
        <v>10.9</v>
      </c>
      <c r="H107" s="128" t="s">
        <v>18</v>
      </c>
      <c r="I107" s="29"/>
      <c r="J107" s="29">
        <v>10.9</v>
      </c>
      <c r="K107" s="29">
        <v>10.78</v>
      </c>
      <c r="L107" s="29">
        <v>10.66</v>
      </c>
      <c r="M107" s="29"/>
      <c r="N107" s="29"/>
      <c r="O107" s="29"/>
      <c r="P107" s="29"/>
      <c r="Q107" s="29"/>
      <c r="R107" s="29"/>
      <c r="S107" s="29"/>
      <c r="T107" s="29"/>
      <c r="U107" s="29"/>
      <c r="V107" s="29"/>
      <c r="W107" s="29"/>
      <c r="X107" s="29"/>
      <c r="Y107" s="30"/>
      <c r="Z107" s="18"/>
      <c r="AA107" s="19"/>
      <c r="AB107" s="19"/>
      <c r="AC107" s="20">
        <f t="shared" si="13"/>
        <v>23</v>
      </c>
      <c r="AD107" s="20">
        <f t="shared" si="14"/>
        <v>10.66</v>
      </c>
      <c r="AE107" s="20">
        <f t="shared" si="15"/>
        <v>10.78</v>
      </c>
      <c r="AF107" s="20">
        <f t="shared" si="16"/>
        <v>10.9</v>
      </c>
      <c r="AG107" s="20">
        <f>Table9[[#This Row],[RTH(min) (kΩ)]]*RT2_TH_MIN/(RT2_TH_MIN+Table9[[#This Row],[RTH(min) (kΩ)]])</f>
        <v>7.8974808467563422</v>
      </c>
      <c r="AH107" s="20">
        <f>Table9[[#This Row],[RTH(nom) (kΩ)]]*RT2_TH_S/(RT2_TH_S+Table9[[#This Row],[RTH(nom) (kΩ)]])</f>
        <v>7.9652339843952493</v>
      </c>
      <c r="AI107" s="20">
        <f>Table9[[#This Row],[RTH(max) (kΩ)]]*RT2_TH_S_MAX/(RT2_TH_S_MAX+Table9[[#This Row],[RTH(max) (kΩ)]])</f>
        <v>8.0326716183439224</v>
      </c>
      <c r="AJ107" s="20">
        <f>Table9[[#This Row],[RLower(min) (kΩ)]]/(Table9[[#This Row],[RLower(min) (kΩ)]]+RT1_TH_S_MAX)*100</f>
        <v>60.122245863043979</v>
      </c>
      <c r="AK107" s="20">
        <f>Table9[[#This Row],[RLower(nom) (kΩ)]]/(Table9[[#This Row],[RLower(nom) (kΩ)]]+RT1_TH_S)*100</f>
        <v>60.35079645337801</v>
      </c>
      <c r="AL107" s="20">
        <f>Table9[[#This Row],[RLower(max) (kΩ)]]/(Table9[[#This Row],[RLower(max) (kΩ)]]+RT1_TH_S_MIN)*100</f>
        <v>60.576253976974748</v>
      </c>
      <c r="AM107" s="20">
        <f>IF(Table9[[#This Row],[Vmin (%)]]&lt;$BA$14, 0, IF(Table9[[#This Row],[Vmin (%)]]&lt;$BA$12, 4, IF(Table9[[#This Row],[Vmin (%)]]&lt;$BA$9, 3, IF(Table9[[#This Row],[Vmin (%)]]&lt;$BA$7, 2, 0))))</f>
        <v>3</v>
      </c>
      <c r="AN107" s="20">
        <f>IF(Table9[[#This Row],[Vmin (%)]]&lt;$BA$13, 0, IF(Table9[[#This Row],[Vmin (%)]]&lt;$BA$11, 4, IF(Table9[[#This Row],[Vmin (%)]]&lt;$BA$10, 3, IF(Table9[[#This Row],[Vmin (%)]]&lt;$BA$8, 2, 0))))</f>
        <v>3</v>
      </c>
      <c r="AO107" s="76" t="str">
        <f>IF(Table9[[#This Row],[Vmin (%)]]&lt;$BA$14, "Hot", IF(Table9[[#This Row],[Vmin (%)]]&lt;$BA$12, "Warm", IF(Table9[[#This Row],[Vmin (%)]]&lt;$BA$9, "Normal", IF(Table9[[#This Row],[Vmin (%)]]&lt;$BA$7, "Cool", "Cold"))))</f>
        <v>Normal</v>
      </c>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19"/>
      <c r="BM107" s="19"/>
      <c r="BN107" s="19"/>
      <c r="BO107" s="19"/>
      <c r="BP107" s="19"/>
      <c r="BQ107" s="19"/>
      <c r="BR107" s="19"/>
      <c r="BS107" s="19"/>
      <c r="BT107" s="19"/>
      <c r="BU107" s="19"/>
      <c r="BV107" s="19"/>
      <c r="BW107" s="19"/>
      <c r="BX107" s="19"/>
      <c r="BY107" s="19"/>
      <c r="BZ107" s="19"/>
      <c r="CA107" s="19"/>
      <c r="CB107" s="19"/>
      <c r="CC107" s="19"/>
      <c r="CD107" s="19"/>
      <c r="CE107" s="19"/>
      <c r="CF107" s="19"/>
      <c r="CG107" s="19"/>
      <c r="CH107" s="19"/>
      <c r="CI107" s="19"/>
      <c r="CJ107" s="19"/>
      <c r="CK107" s="19"/>
      <c r="CL107" s="19"/>
      <c r="CM107" s="19"/>
      <c r="CN107" s="19"/>
      <c r="CO107" s="19"/>
      <c r="CP107" s="19"/>
      <c r="CQ107" s="19"/>
      <c r="CR107" s="19"/>
      <c r="CS107" s="19"/>
      <c r="CT107" s="19"/>
      <c r="CU107" s="19"/>
      <c r="CV107" s="19"/>
      <c r="CW107" s="19"/>
      <c r="CX107" s="19"/>
      <c r="CY107" s="19"/>
      <c r="CZ107" s="19"/>
      <c r="DA107" s="19"/>
      <c r="DB107" s="19"/>
      <c r="DC107" s="19"/>
      <c r="DD107" s="19"/>
      <c r="DE107" s="19"/>
      <c r="DF107" s="19"/>
      <c r="DG107" s="19"/>
      <c r="DH107" s="19"/>
      <c r="DI107" s="19"/>
      <c r="DJ107" s="19"/>
      <c r="DK107" s="19"/>
      <c r="DL107" s="19"/>
      <c r="DM107" s="19"/>
      <c r="DN107" s="19"/>
      <c r="DO107" s="19"/>
      <c r="DP107" s="19"/>
      <c r="DQ107" s="19"/>
      <c r="DR107" s="19"/>
      <c r="DS107" s="19"/>
      <c r="DT107" s="19"/>
      <c r="DU107" s="19"/>
      <c r="DV107" s="19"/>
      <c r="DW107" s="19"/>
      <c r="DX107" s="19"/>
      <c r="DY107" s="19"/>
      <c r="DZ107" s="19"/>
      <c r="EA107" s="19"/>
      <c r="EB107" s="19"/>
      <c r="EC107" s="19"/>
      <c r="ED107" s="19"/>
      <c r="EE107" s="19"/>
      <c r="EF107" s="19"/>
      <c r="EG107" s="19"/>
      <c r="EH107" s="19"/>
      <c r="EI107" s="19"/>
      <c r="EJ107" s="19"/>
      <c r="EK107" s="19"/>
      <c r="EL107" s="19"/>
      <c r="EM107" s="19"/>
      <c r="EN107" s="19"/>
      <c r="EO107" s="19"/>
      <c r="EP107" s="19"/>
      <c r="EQ107" s="19"/>
      <c r="ER107" s="19"/>
      <c r="ES107" s="19"/>
      <c r="ET107" s="19"/>
      <c r="EU107" s="19"/>
      <c r="EV107" s="19"/>
      <c r="EW107" s="19"/>
      <c r="EX107" s="19"/>
      <c r="EY107" s="19"/>
      <c r="EZ107" s="19"/>
      <c r="FA107" s="19"/>
      <c r="FB107" s="19"/>
      <c r="FC107" s="19"/>
      <c r="FD107" s="19"/>
      <c r="FE107" s="19"/>
      <c r="FF107" s="19"/>
      <c r="FG107" s="19"/>
      <c r="FH107" s="19"/>
      <c r="FI107" s="19"/>
      <c r="FJ107" s="19"/>
      <c r="FK107" s="19"/>
      <c r="FL107" s="19"/>
      <c r="FM107" s="19"/>
      <c r="FN107" s="19"/>
      <c r="FO107" s="19"/>
      <c r="FP107" s="19"/>
      <c r="FQ107" s="19"/>
      <c r="FR107" s="19"/>
      <c r="FS107" s="19"/>
      <c r="FT107" s="19"/>
      <c r="FU107" s="19"/>
      <c r="FV107" s="19"/>
      <c r="FW107" s="19"/>
      <c r="FX107" s="19"/>
      <c r="FY107" s="19"/>
      <c r="FZ107" s="19"/>
      <c r="GA107" s="19"/>
      <c r="GB107" s="19"/>
      <c r="GC107" s="19"/>
      <c r="GD107" s="19"/>
      <c r="GE107" s="19"/>
      <c r="GF107" s="19"/>
      <c r="GG107" s="19"/>
      <c r="GH107" s="19"/>
      <c r="GI107" s="19"/>
      <c r="GJ107" s="19"/>
      <c r="GK107" s="19"/>
      <c r="GL107" s="19"/>
      <c r="GM107" s="19"/>
      <c r="GN107" s="19"/>
      <c r="GO107" s="19"/>
      <c r="GP107" s="19"/>
      <c r="GQ107" s="19"/>
      <c r="GR107" s="19"/>
      <c r="GS107" s="19"/>
      <c r="GT107" s="19"/>
      <c r="GU107" s="19"/>
      <c r="GV107" s="19"/>
      <c r="GW107" s="19"/>
      <c r="GX107" s="19"/>
      <c r="GY107" s="19"/>
      <c r="GZ107" s="19"/>
      <c r="HA107" s="19"/>
      <c r="HB107" s="19"/>
    </row>
    <row r="108" spans="1:210" x14ac:dyDescent="0.25">
      <c r="A108" s="113">
        <f t="shared" si="17"/>
        <v>22</v>
      </c>
      <c r="B108" s="163"/>
      <c r="C108" s="172" t="str">
        <f t="shared" si="12"/>
        <v>RTH at 22 °C</v>
      </c>
      <c r="D108" s="196">
        <f t="shared" si="19"/>
        <v>1.1299999999999999</v>
      </c>
      <c r="E108" s="197">
        <v>11.07</v>
      </c>
      <c r="F108" s="198">
        <v>11.2</v>
      </c>
      <c r="G108" s="199">
        <v>11.32</v>
      </c>
      <c r="H108" s="128" t="s">
        <v>18</v>
      </c>
      <c r="I108" s="29"/>
      <c r="J108" s="29">
        <v>11.32</v>
      </c>
      <c r="K108" s="29">
        <v>11.2</v>
      </c>
      <c r="L108" s="29">
        <v>11.07</v>
      </c>
      <c r="M108" s="29"/>
      <c r="N108" s="29"/>
      <c r="O108" s="29"/>
      <c r="P108" s="29"/>
      <c r="Q108" s="29"/>
      <c r="R108" s="29"/>
      <c r="S108" s="29"/>
      <c r="T108" s="29"/>
      <c r="U108" s="29"/>
      <c r="V108" s="29"/>
      <c r="W108" s="29"/>
      <c r="X108" s="29"/>
      <c r="Y108" s="30"/>
      <c r="Z108" s="18"/>
      <c r="AA108" s="19"/>
      <c r="AB108" s="19"/>
      <c r="AC108" s="20">
        <f t="shared" si="13"/>
        <v>22</v>
      </c>
      <c r="AD108" s="20">
        <f t="shared" si="14"/>
        <v>11.07</v>
      </c>
      <c r="AE108" s="20">
        <f t="shared" si="15"/>
        <v>11.2</v>
      </c>
      <c r="AF108" s="20">
        <f t="shared" si="16"/>
        <v>11.32</v>
      </c>
      <c r="AG108" s="20">
        <f>Table9[[#This Row],[RTH(min) (kΩ)]]*RT2_TH_MIN/(RT2_TH_MIN+Table9[[#This Row],[RTH(min) (kΩ)]])</f>
        <v>8.1202932303886097</v>
      </c>
      <c r="AH108" s="20">
        <f>Table9[[#This Row],[RTH(nom) (kΩ)]]*RT2_TH_S/(RT2_TH_S+Table9[[#This Row],[RTH(nom) (kΩ)]])</f>
        <v>8.1922272839190029</v>
      </c>
      <c r="AI108" s="20">
        <f>Table9[[#This Row],[RTH(max) (kΩ)]]*RT2_TH_S_MAX/(RT2_TH_S_MAX+Table9[[#This Row],[RTH(max) (kΩ)]])</f>
        <v>8.2584780979347912</v>
      </c>
      <c r="AJ108" s="20">
        <f>Table9[[#This Row],[RLower(min) (kΩ)]]/(Table9[[#This Row],[RLower(min) (kΩ)]]+RT1_TH_S_MAX)*100</f>
        <v>60.787383857639696</v>
      </c>
      <c r="AK108" s="20">
        <f>Table9[[#This Row],[RLower(nom) (kΩ)]]/(Table9[[#This Row],[RLower(nom) (kΩ)]]+RT1_TH_S)*100</f>
        <v>61.021184319539877</v>
      </c>
      <c r="AL108" s="20">
        <f>Table9[[#This Row],[RLower(max) (kΩ)]]/(Table9[[#This Row],[RLower(max) (kΩ)]]+RT1_TH_S_MIN)*100</f>
        <v>61.236344541483859</v>
      </c>
      <c r="AM108" s="20">
        <f>IF(Table9[[#This Row],[Vmin (%)]]&lt;$BA$14, 0, IF(Table9[[#This Row],[Vmin (%)]]&lt;$BA$12, 4, IF(Table9[[#This Row],[Vmin (%)]]&lt;$BA$9, 3, IF(Table9[[#This Row],[Vmin (%)]]&lt;$BA$7, 2, 0))))</f>
        <v>3</v>
      </c>
      <c r="AN108" s="20">
        <f>IF(Table9[[#This Row],[Vmin (%)]]&lt;$BA$13, 0, IF(Table9[[#This Row],[Vmin (%)]]&lt;$BA$11, 4, IF(Table9[[#This Row],[Vmin (%)]]&lt;$BA$10, 3, IF(Table9[[#This Row],[Vmin (%)]]&lt;$BA$8, 2, 0))))</f>
        <v>3</v>
      </c>
      <c r="AO108" s="76" t="str">
        <f>IF(Table9[[#This Row],[Vmin (%)]]&lt;$BA$14, "Hot", IF(Table9[[#This Row],[Vmin (%)]]&lt;$BA$12, "Warm", IF(Table9[[#This Row],[Vmin (%)]]&lt;$BA$9, "Normal", IF(Table9[[#This Row],[Vmin (%)]]&lt;$BA$7, "Cool", "Cold"))))</f>
        <v>Normal</v>
      </c>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19"/>
      <c r="BM108" s="19"/>
      <c r="BN108" s="19"/>
      <c r="BO108" s="19"/>
      <c r="BP108" s="19"/>
      <c r="BQ108" s="19"/>
      <c r="BR108" s="19"/>
      <c r="BS108" s="19"/>
      <c r="BT108" s="19"/>
      <c r="BU108" s="19"/>
      <c r="BV108" s="19"/>
      <c r="BW108" s="19"/>
      <c r="BX108" s="19"/>
      <c r="BY108" s="19"/>
      <c r="BZ108" s="19"/>
      <c r="CA108" s="19"/>
      <c r="CB108" s="19"/>
      <c r="CC108" s="19"/>
      <c r="CD108" s="19"/>
      <c r="CE108" s="19"/>
      <c r="CF108" s="19"/>
      <c r="CG108" s="19"/>
      <c r="CH108" s="19"/>
      <c r="CI108" s="19"/>
      <c r="CJ108" s="19"/>
      <c r="CK108" s="19"/>
      <c r="CL108" s="19"/>
      <c r="CM108" s="19"/>
      <c r="CN108" s="19"/>
      <c r="CO108" s="19"/>
      <c r="CP108" s="19"/>
      <c r="CQ108" s="19"/>
      <c r="CR108" s="19"/>
      <c r="CS108" s="19"/>
      <c r="CT108" s="19"/>
      <c r="CU108" s="19"/>
      <c r="CV108" s="19"/>
      <c r="CW108" s="19"/>
      <c r="CX108" s="19"/>
      <c r="CY108" s="19"/>
      <c r="CZ108" s="19"/>
      <c r="DA108" s="19"/>
      <c r="DB108" s="19"/>
      <c r="DC108" s="19"/>
      <c r="DD108" s="19"/>
      <c r="DE108" s="19"/>
      <c r="DF108" s="19"/>
      <c r="DG108" s="19"/>
      <c r="DH108" s="19"/>
      <c r="DI108" s="19"/>
      <c r="DJ108" s="19"/>
      <c r="DK108" s="19"/>
      <c r="DL108" s="19"/>
      <c r="DM108" s="19"/>
      <c r="DN108" s="19"/>
      <c r="DO108" s="19"/>
      <c r="DP108" s="19"/>
      <c r="DQ108" s="19"/>
      <c r="DR108" s="19"/>
      <c r="DS108" s="19"/>
      <c r="DT108" s="19"/>
      <c r="DU108" s="19"/>
      <c r="DV108" s="19"/>
      <c r="DW108" s="19"/>
      <c r="DX108" s="19"/>
      <c r="DY108" s="19"/>
      <c r="DZ108" s="19"/>
      <c r="EA108" s="19"/>
      <c r="EB108" s="19"/>
      <c r="EC108" s="19"/>
      <c r="ED108" s="19"/>
      <c r="EE108" s="19"/>
      <c r="EF108" s="19"/>
      <c r="EG108" s="19"/>
      <c r="EH108" s="19"/>
      <c r="EI108" s="19"/>
      <c r="EJ108" s="19"/>
      <c r="EK108" s="19"/>
      <c r="EL108" s="19"/>
      <c r="EM108" s="19"/>
      <c r="EN108" s="19"/>
      <c r="EO108" s="19"/>
      <c r="EP108" s="19"/>
      <c r="EQ108" s="19"/>
      <c r="ER108" s="19"/>
      <c r="ES108" s="19"/>
      <c r="ET108" s="19"/>
      <c r="EU108" s="19"/>
      <c r="EV108" s="19"/>
      <c r="EW108" s="19"/>
      <c r="EX108" s="19"/>
      <c r="EY108" s="19"/>
      <c r="EZ108" s="19"/>
      <c r="FA108" s="19"/>
      <c r="FB108" s="19"/>
      <c r="FC108" s="19"/>
      <c r="FD108" s="19"/>
      <c r="FE108" s="19"/>
      <c r="FF108" s="19"/>
      <c r="FG108" s="19"/>
      <c r="FH108" s="19"/>
      <c r="FI108" s="19"/>
      <c r="FJ108" s="19"/>
      <c r="FK108" s="19"/>
      <c r="FL108" s="19"/>
      <c r="FM108" s="19"/>
      <c r="FN108" s="19"/>
      <c r="FO108" s="19"/>
      <c r="FP108" s="19"/>
      <c r="FQ108" s="19"/>
      <c r="FR108" s="19"/>
      <c r="FS108" s="19"/>
      <c r="FT108" s="19"/>
      <c r="FU108" s="19"/>
      <c r="FV108" s="19"/>
      <c r="FW108" s="19"/>
      <c r="FX108" s="19"/>
      <c r="FY108" s="19"/>
      <c r="FZ108" s="19"/>
      <c r="GA108" s="19"/>
      <c r="GB108" s="19"/>
      <c r="GC108" s="19"/>
      <c r="GD108" s="19"/>
      <c r="GE108" s="19"/>
      <c r="GF108" s="19"/>
      <c r="GG108" s="19"/>
      <c r="GH108" s="19"/>
      <c r="GI108" s="19"/>
      <c r="GJ108" s="19"/>
      <c r="GK108" s="19"/>
      <c r="GL108" s="19"/>
      <c r="GM108" s="19"/>
      <c r="GN108" s="19"/>
      <c r="GO108" s="19"/>
      <c r="GP108" s="19"/>
      <c r="GQ108" s="19"/>
      <c r="GR108" s="19"/>
      <c r="GS108" s="19"/>
      <c r="GT108" s="19"/>
      <c r="GU108" s="19"/>
      <c r="GV108" s="19"/>
      <c r="GW108" s="19"/>
      <c r="GX108" s="19"/>
      <c r="GY108" s="19"/>
      <c r="GZ108" s="19"/>
      <c r="HA108" s="19"/>
      <c r="HB108" s="19"/>
    </row>
    <row r="109" spans="1:210" x14ac:dyDescent="0.25">
      <c r="A109" s="113">
        <f t="shared" si="17"/>
        <v>21</v>
      </c>
      <c r="B109" s="163"/>
      <c r="C109" s="172" t="str">
        <f t="shared" si="12"/>
        <v>RTH at 21 °C</v>
      </c>
      <c r="D109" s="196">
        <f t="shared" si="19"/>
        <v>1.1733333333333333</v>
      </c>
      <c r="E109" s="197">
        <v>11.5</v>
      </c>
      <c r="F109" s="198">
        <v>11.63</v>
      </c>
      <c r="G109" s="199">
        <v>11.77</v>
      </c>
      <c r="H109" s="128" t="s">
        <v>18</v>
      </c>
      <c r="I109" s="29"/>
      <c r="J109" s="29">
        <v>11.77</v>
      </c>
      <c r="K109" s="29">
        <v>11.63</v>
      </c>
      <c r="L109" s="29">
        <v>11.5</v>
      </c>
      <c r="M109" s="29"/>
      <c r="N109" s="29"/>
      <c r="O109" s="29"/>
      <c r="P109" s="29"/>
      <c r="Q109" s="29"/>
      <c r="R109" s="29"/>
      <c r="S109" s="29"/>
      <c r="T109" s="29"/>
      <c r="U109" s="29"/>
      <c r="V109" s="29"/>
      <c r="W109" s="29"/>
      <c r="X109" s="29"/>
      <c r="Y109" s="30"/>
      <c r="Z109" s="18"/>
      <c r="AA109" s="19"/>
      <c r="AB109" s="19"/>
      <c r="AC109" s="20">
        <f t="shared" si="13"/>
        <v>21</v>
      </c>
      <c r="AD109" s="20">
        <f t="shared" si="14"/>
        <v>11.5</v>
      </c>
      <c r="AE109" s="20">
        <f t="shared" si="15"/>
        <v>11.63</v>
      </c>
      <c r="AF109" s="20">
        <f t="shared" si="16"/>
        <v>11.77</v>
      </c>
      <c r="AG109" s="20">
        <f>Table9[[#This Row],[RTH(min) (kΩ)]]*RT2_TH_MIN/(RT2_TH_MIN+Table9[[#This Row],[RTH(min) (kΩ)]])</f>
        <v>8.3492980763780604</v>
      </c>
      <c r="AH109" s="20">
        <f>Table9[[#This Row],[RTH(nom) (kΩ)]]*RT2_TH_S/(RT2_TH_S+Table9[[#This Row],[RTH(nom) (kΩ)]])</f>
        <v>8.4199369952567622</v>
      </c>
      <c r="AI109" s="20">
        <f>Table9[[#This Row],[RTH(max) (kΩ)]]*RT2_TH_S_MAX/(RT2_TH_S_MAX+Table9[[#This Row],[RTH(max) (kΩ)]])</f>
        <v>8.4954383134602054</v>
      </c>
      <c r="AJ109" s="20">
        <f>Table9[[#This Row],[RLower(min) (kΩ)]]/(Table9[[#This Row],[RLower(min) (kΩ)]]+RT1_TH_S_MAX)*100</f>
        <v>61.448275444705338</v>
      </c>
      <c r="AK109" s="20">
        <f>Table9[[#This Row],[RLower(nom) (kΩ)]]/(Table9[[#This Row],[RLower(nom) (kΩ)]]+RT1_TH_S)*100</f>
        <v>61.671290639189671</v>
      </c>
      <c r="AL109" s="20">
        <f>Table9[[#This Row],[RLower(max) (kΩ)]]/(Table9[[#This Row],[RLower(max) (kΩ)]]+RT1_TH_S_MIN)*100</f>
        <v>61.905681614130629</v>
      </c>
      <c r="AM109" s="20">
        <f>IF(Table9[[#This Row],[Vmin (%)]]&lt;$BA$14, 0, IF(Table9[[#This Row],[Vmin (%)]]&lt;$BA$12, 4, IF(Table9[[#This Row],[Vmin (%)]]&lt;$BA$9, 3, IF(Table9[[#This Row],[Vmin (%)]]&lt;$BA$7, 2, 0))))</f>
        <v>3</v>
      </c>
      <c r="AN109" s="20">
        <f>IF(Table9[[#This Row],[Vmin (%)]]&lt;$BA$13, 0, IF(Table9[[#This Row],[Vmin (%)]]&lt;$BA$11, 4, IF(Table9[[#This Row],[Vmin (%)]]&lt;$BA$10, 3, IF(Table9[[#This Row],[Vmin (%)]]&lt;$BA$8, 2, 0))))</f>
        <v>3</v>
      </c>
      <c r="AO109" s="76" t="str">
        <f>IF(Table9[[#This Row],[Vmin (%)]]&lt;$BA$14, "Hot", IF(Table9[[#This Row],[Vmin (%)]]&lt;$BA$12, "Warm", IF(Table9[[#This Row],[Vmin (%)]]&lt;$BA$9, "Normal", IF(Table9[[#This Row],[Vmin (%)]]&lt;$BA$7, "Cool", "Cold"))))</f>
        <v>Normal</v>
      </c>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19"/>
      <c r="BM109" s="19"/>
      <c r="BN109" s="19"/>
      <c r="BO109" s="19"/>
      <c r="BP109" s="19"/>
      <c r="BQ109" s="19"/>
      <c r="BR109" s="19"/>
      <c r="BS109" s="19"/>
      <c r="BT109" s="19"/>
      <c r="BU109" s="19"/>
      <c r="BV109" s="19"/>
      <c r="BW109" s="19"/>
      <c r="BX109" s="19"/>
      <c r="BY109" s="19"/>
      <c r="BZ109" s="19"/>
      <c r="CA109" s="19"/>
      <c r="CB109" s="19"/>
      <c r="CC109" s="19"/>
      <c r="CD109" s="19"/>
      <c r="CE109" s="19"/>
      <c r="CF109" s="19"/>
      <c r="CG109" s="19"/>
      <c r="CH109" s="19"/>
      <c r="CI109" s="19"/>
      <c r="CJ109" s="19"/>
      <c r="CK109" s="19"/>
      <c r="CL109" s="19"/>
      <c r="CM109" s="19"/>
      <c r="CN109" s="19"/>
      <c r="CO109" s="19"/>
      <c r="CP109" s="19"/>
      <c r="CQ109" s="19"/>
      <c r="CR109" s="19"/>
      <c r="CS109" s="19"/>
      <c r="CT109" s="19"/>
      <c r="CU109" s="19"/>
      <c r="CV109" s="19"/>
      <c r="CW109" s="19"/>
      <c r="CX109" s="19"/>
      <c r="CY109" s="19"/>
      <c r="CZ109" s="19"/>
      <c r="DA109" s="19"/>
      <c r="DB109" s="19"/>
      <c r="DC109" s="19"/>
      <c r="DD109" s="19"/>
      <c r="DE109" s="19"/>
      <c r="DF109" s="19"/>
      <c r="DG109" s="19"/>
      <c r="DH109" s="19"/>
      <c r="DI109" s="19"/>
      <c r="DJ109" s="19"/>
      <c r="DK109" s="19"/>
      <c r="DL109" s="19"/>
      <c r="DM109" s="19"/>
      <c r="DN109" s="19"/>
      <c r="DO109" s="19"/>
      <c r="DP109" s="19"/>
      <c r="DQ109" s="19"/>
      <c r="DR109" s="19"/>
      <c r="DS109" s="19"/>
      <c r="DT109" s="19"/>
      <c r="DU109" s="19"/>
      <c r="DV109" s="19"/>
      <c r="DW109" s="19"/>
      <c r="DX109" s="19"/>
      <c r="DY109" s="19"/>
      <c r="DZ109" s="19"/>
      <c r="EA109" s="19"/>
      <c r="EB109" s="19"/>
      <c r="EC109" s="19"/>
      <c r="ED109" s="19"/>
      <c r="EE109" s="19"/>
      <c r="EF109" s="19"/>
      <c r="EG109" s="19"/>
      <c r="EH109" s="19"/>
      <c r="EI109" s="19"/>
      <c r="EJ109" s="19"/>
      <c r="EK109" s="19"/>
      <c r="EL109" s="19"/>
      <c r="EM109" s="19"/>
      <c r="EN109" s="19"/>
      <c r="EO109" s="19"/>
      <c r="EP109" s="19"/>
      <c r="EQ109" s="19"/>
      <c r="ER109" s="19"/>
      <c r="ES109" s="19"/>
      <c r="ET109" s="19"/>
      <c r="EU109" s="19"/>
      <c r="EV109" s="19"/>
      <c r="EW109" s="19"/>
      <c r="EX109" s="19"/>
      <c r="EY109" s="19"/>
      <c r="EZ109" s="19"/>
      <c r="FA109" s="19"/>
      <c r="FB109" s="19"/>
      <c r="FC109" s="19"/>
      <c r="FD109" s="19"/>
      <c r="FE109" s="19"/>
      <c r="FF109" s="19"/>
      <c r="FG109" s="19"/>
      <c r="FH109" s="19"/>
      <c r="FI109" s="19"/>
      <c r="FJ109" s="19"/>
      <c r="FK109" s="19"/>
      <c r="FL109" s="19"/>
      <c r="FM109" s="19"/>
      <c r="FN109" s="19"/>
      <c r="FO109" s="19"/>
      <c r="FP109" s="19"/>
      <c r="FQ109" s="19"/>
      <c r="FR109" s="19"/>
      <c r="FS109" s="19"/>
      <c r="FT109" s="19"/>
      <c r="FU109" s="19"/>
      <c r="FV109" s="19"/>
      <c r="FW109" s="19"/>
      <c r="FX109" s="19"/>
      <c r="FY109" s="19"/>
      <c r="FZ109" s="19"/>
      <c r="GA109" s="19"/>
      <c r="GB109" s="19"/>
      <c r="GC109" s="19"/>
      <c r="GD109" s="19"/>
      <c r="GE109" s="19"/>
      <c r="GF109" s="19"/>
      <c r="GG109" s="19"/>
      <c r="GH109" s="19"/>
      <c r="GI109" s="19"/>
      <c r="GJ109" s="19"/>
      <c r="GK109" s="19"/>
      <c r="GL109" s="19"/>
      <c r="GM109" s="19"/>
      <c r="GN109" s="19"/>
      <c r="GO109" s="19"/>
      <c r="GP109" s="19"/>
      <c r="GQ109" s="19"/>
      <c r="GR109" s="19"/>
      <c r="GS109" s="19"/>
      <c r="GT109" s="19"/>
      <c r="GU109" s="19"/>
      <c r="GV109" s="19"/>
      <c r="GW109" s="19"/>
      <c r="GX109" s="19"/>
      <c r="GY109" s="19"/>
      <c r="GZ109" s="19"/>
      <c r="HA109" s="19"/>
      <c r="HB109" s="19"/>
    </row>
    <row r="110" spans="1:210" x14ac:dyDescent="0.25">
      <c r="A110" s="113">
        <f t="shared" si="17"/>
        <v>20</v>
      </c>
      <c r="B110" s="163"/>
      <c r="C110" s="172" t="str">
        <f t="shared" si="12"/>
        <v>RTH at 20 °C</v>
      </c>
      <c r="D110" s="196">
        <f t="shared" si="19"/>
        <v>1.2166666666666668</v>
      </c>
      <c r="E110" s="197">
        <v>11.94</v>
      </c>
      <c r="F110" s="198">
        <v>12.09</v>
      </c>
      <c r="G110" s="199">
        <v>12.24</v>
      </c>
      <c r="H110" s="128" t="s">
        <v>18</v>
      </c>
      <c r="I110" s="29"/>
      <c r="J110" s="29">
        <v>12.24</v>
      </c>
      <c r="K110" s="29">
        <v>12.09</v>
      </c>
      <c r="L110" s="29">
        <v>11.94</v>
      </c>
      <c r="M110" s="29"/>
      <c r="N110" s="29"/>
      <c r="O110" s="29"/>
      <c r="P110" s="29"/>
      <c r="Q110" s="29"/>
      <c r="R110" s="29"/>
      <c r="S110" s="29"/>
      <c r="T110" s="29"/>
      <c r="U110" s="29"/>
      <c r="V110" s="29"/>
      <c r="W110" s="29"/>
      <c r="X110" s="29"/>
      <c r="Y110" s="30"/>
      <c r="Z110" s="18"/>
      <c r="AA110" s="19"/>
      <c r="AB110" s="19"/>
      <c r="AC110" s="20">
        <f t="shared" si="13"/>
        <v>20</v>
      </c>
      <c r="AD110" s="20">
        <f t="shared" si="14"/>
        <v>11.94</v>
      </c>
      <c r="AE110" s="20">
        <f t="shared" si="15"/>
        <v>12.09</v>
      </c>
      <c r="AF110" s="20">
        <f t="shared" si="16"/>
        <v>12.24</v>
      </c>
      <c r="AG110" s="20">
        <f>Table9[[#This Row],[RTH(min) (kΩ)]]*RT2_TH_MIN/(RT2_TH_MIN+Table9[[#This Row],[RTH(min) (kΩ)]])</f>
        <v>8.5788220938160809</v>
      </c>
      <c r="AH110" s="20">
        <f>Table9[[#This Row],[RTH(nom) (kΩ)]]*RT2_TH_S/(RT2_TH_S+Table9[[#This Row],[RTH(nom) (kΩ)]])</f>
        <v>8.6584436452689388</v>
      </c>
      <c r="AI110" s="20">
        <f>Table9[[#This Row],[RTH(max) (kΩ)]]*RT2_TH_S_MAX/(RT2_TH_S_MAX+Table9[[#This Row],[RTH(max) (kΩ)]])</f>
        <v>8.7376071656790604</v>
      </c>
      <c r="AJ110" s="20">
        <f>Table9[[#This Row],[RLower(min) (kΩ)]]/(Table9[[#This Row],[RLower(min) (kΩ)]]+RT1_TH_S_MAX)*100</f>
        <v>62.088683427038369</v>
      </c>
      <c r="AK110" s="20">
        <f>Table9[[#This Row],[RLower(nom) (kΩ)]]/(Table9[[#This Row],[RLower(nom) (kΩ)]]+RT1_TH_S)*100</f>
        <v>62.329368959086949</v>
      </c>
      <c r="AL110" s="20">
        <f>Table9[[#This Row],[RLower(max) (kΩ)]]/(Table9[[#This Row],[RLower(max) (kΩ)]]+RT1_TH_S_MIN)*100</f>
        <v>62.566262783852281</v>
      </c>
      <c r="AM110" s="20">
        <f>IF(Table9[[#This Row],[Vmin (%)]]&lt;$BA$14, 0, IF(Table9[[#This Row],[Vmin (%)]]&lt;$BA$12, 4, IF(Table9[[#This Row],[Vmin (%)]]&lt;$BA$9, 3, IF(Table9[[#This Row],[Vmin (%)]]&lt;$BA$7, 2, 0))))</f>
        <v>3</v>
      </c>
      <c r="AN110" s="20">
        <f>IF(Table9[[#This Row],[Vmin (%)]]&lt;$BA$13, 0, IF(Table9[[#This Row],[Vmin (%)]]&lt;$BA$11, 4, IF(Table9[[#This Row],[Vmin (%)]]&lt;$BA$10, 3, IF(Table9[[#This Row],[Vmin (%)]]&lt;$BA$8, 2, 0))))</f>
        <v>3</v>
      </c>
      <c r="AO110" s="76" t="str">
        <f>IF(Table9[[#This Row],[Vmin (%)]]&lt;$BA$14, "Hot", IF(Table9[[#This Row],[Vmin (%)]]&lt;$BA$12, "Warm", IF(Table9[[#This Row],[Vmin (%)]]&lt;$BA$9, "Normal", IF(Table9[[#This Row],[Vmin (%)]]&lt;$BA$7, "Cool", "Cold"))))</f>
        <v>Normal</v>
      </c>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19"/>
      <c r="BM110" s="19"/>
      <c r="BN110" s="19"/>
      <c r="BO110" s="19"/>
      <c r="BP110" s="19"/>
      <c r="BQ110" s="19"/>
      <c r="BR110" s="19"/>
      <c r="BS110" s="19"/>
      <c r="BT110" s="19"/>
      <c r="BU110" s="19"/>
      <c r="BV110" s="19"/>
      <c r="BW110" s="19"/>
      <c r="BX110" s="19"/>
      <c r="BY110" s="19"/>
      <c r="BZ110" s="19"/>
      <c r="CA110" s="19"/>
      <c r="CB110" s="19"/>
      <c r="CC110" s="19"/>
      <c r="CD110" s="19"/>
      <c r="CE110" s="19"/>
      <c r="CF110" s="19"/>
      <c r="CG110" s="19"/>
      <c r="CH110" s="19"/>
      <c r="CI110" s="19"/>
      <c r="CJ110" s="19"/>
      <c r="CK110" s="19"/>
      <c r="CL110" s="19"/>
      <c r="CM110" s="19"/>
      <c r="CN110" s="19"/>
      <c r="CO110" s="19"/>
      <c r="CP110" s="19"/>
      <c r="CQ110" s="19"/>
      <c r="CR110" s="19"/>
      <c r="CS110" s="19"/>
      <c r="CT110" s="19"/>
      <c r="CU110" s="19"/>
      <c r="CV110" s="19"/>
      <c r="CW110" s="19"/>
      <c r="CX110" s="19"/>
      <c r="CY110" s="19"/>
      <c r="CZ110" s="19"/>
      <c r="DA110" s="19"/>
      <c r="DB110" s="19"/>
      <c r="DC110" s="19"/>
      <c r="DD110" s="19"/>
      <c r="DE110" s="19"/>
      <c r="DF110" s="19"/>
      <c r="DG110" s="19"/>
      <c r="DH110" s="19"/>
      <c r="DI110" s="19"/>
      <c r="DJ110" s="19"/>
      <c r="DK110" s="19"/>
      <c r="DL110" s="19"/>
      <c r="DM110" s="19"/>
      <c r="DN110" s="19"/>
      <c r="DO110" s="19"/>
      <c r="DP110" s="19"/>
      <c r="DQ110" s="19"/>
      <c r="DR110" s="19"/>
      <c r="DS110" s="19"/>
      <c r="DT110" s="19"/>
      <c r="DU110" s="19"/>
      <c r="DV110" s="19"/>
      <c r="DW110" s="19"/>
      <c r="DX110" s="19"/>
      <c r="DY110" s="19"/>
      <c r="DZ110" s="19"/>
      <c r="EA110" s="19"/>
      <c r="EB110" s="19"/>
      <c r="EC110" s="19"/>
      <c r="ED110" s="19"/>
      <c r="EE110" s="19"/>
      <c r="EF110" s="19"/>
      <c r="EG110" s="19"/>
      <c r="EH110" s="19"/>
      <c r="EI110" s="19"/>
      <c r="EJ110" s="19"/>
      <c r="EK110" s="19"/>
      <c r="EL110" s="19"/>
      <c r="EM110" s="19"/>
      <c r="EN110" s="19"/>
      <c r="EO110" s="19"/>
      <c r="EP110" s="19"/>
      <c r="EQ110" s="19"/>
      <c r="ER110" s="19"/>
      <c r="ES110" s="19"/>
      <c r="ET110" s="19"/>
      <c r="EU110" s="19"/>
      <c r="EV110" s="19"/>
      <c r="EW110" s="19"/>
      <c r="EX110" s="19"/>
      <c r="EY110" s="19"/>
      <c r="EZ110" s="19"/>
      <c r="FA110" s="19"/>
      <c r="FB110" s="19"/>
      <c r="FC110" s="19"/>
      <c r="FD110" s="19"/>
      <c r="FE110" s="19"/>
      <c r="FF110" s="19"/>
      <c r="FG110" s="19"/>
      <c r="FH110" s="19"/>
      <c r="FI110" s="19"/>
      <c r="FJ110" s="19"/>
      <c r="FK110" s="19"/>
      <c r="FL110" s="19"/>
      <c r="FM110" s="19"/>
      <c r="FN110" s="19"/>
      <c r="FO110" s="19"/>
      <c r="FP110" s="19"/>
      <c r="FQ110" s="19"/>
      <c r="FR110" s="19"/>
      <c r="FS110" s="19"/>
      <c r="FT110" s="19"/>
      <c r="FU110" s="19"/>
      <c r="FV110" s="19"/>
      <c r="FW110" s="19"/>
      <c r="FX110" s="19"/>
      <c r="FY110" s="19"/>
      <c r="FZ110" s="19"/>
      <c r="GA110" s="19"/>
      <c r="GB110" s="19"/>
      <c r="GC110" s="19"/>
      <c r="GD110" s="19"/>
      <c r="GE110" s="19"/>
      <c r="GF110" s="19"/>
      <c r="GG110" s="19"/>
      <c r="GH110" s="19"/>
      <c r="GI110" s="19"/>
      <c r="GJ110" s="19"/>
      <c r="GK110" s="19"/>
      <c r="GL110" s="19"/>
      <c r="GM110" s="19"/>
      <c r="GN110" s="19"/>
      <c r="GO110" s="19"/>
      <c r="GP110" s="19"/>
      <c r="GQ110" s="19"/>
      <c r="GR110" s="19"/>
      <c r="GS110" s="19"/>
      <c r="GT110" s="19"/>
      <c r="GU110" s="19"/>
      <c r="GV110" s="19"/>
      <c r="GW110" s="19"/>
      <c r="GX110" s="19"/>
      <c r="GY110" s="19"/>
      <c r="GZ110" s="19"/>
      <c r="HA110" s="19"/>
      <c r="HB110" s="19"/>
    </row>
    <row r="111" spans="1:210" x14ac:dyDescent="0.25">
      <c r="A111" s="113">
        <f t="shared" si="17"/>
        <v>19</v>
      </c>
      <c r="B111" s="163"/>
      <c r="C111" s="172" t="str">
        <f t="shared" si="12"/>
        <v>RTH at 19 °C</v>
      </c>
      <c r="D111" s="196">
        <f t="shared" si="19"/>
        <v>1.26</v>
      </c>
      <c r="E111" s="197">
        <v>12.4</v>
      </c>
      <c r="F111" s="198">
        <v>12.56</v>
      </c>
      <c r="G111" s="199">
        <v>12.72</v>
      </c>
      <c r="H111" s="128" t="s">
        <v>18</v>
      </c>
      <c r="I111" s="29"/>
      <c r="J111" s="29">
        <v>12.72</v>
      </c>
      <c r="K111" s="29">
        <v>12.56</v>
      </c>
      <c r="L111" s="29">
        <v>12.4</v>
      </c>
      <c r="M111" s="29"/>
      <c r="N111" s="29"/>
      <c r="O111" s="29"/>
      <c r="P111" s="29"/>
      <c r="Q111" s="29"/>
      <c r="R111" s="29"/>
      <c r="S111" s="29"/>
      <c r="T111" s="29"/>
      <c r="U111" s="29"/>
      <c r="V111" s="29"/>
      <c r="W111" s="29"/>
      <c r="X111" s="29"/>
      <c r="Y111" s="30"/>
      <c r="Z111" s="18"/>
      <c r="AA111" s="19"/>
      <c r="AB111" s="19"/>
      <c r="AC111" s="20">
        <f t="shared" si="13"/>
        <v>19</v>
      </c>
      <c r="AD111" s="20">
        <f t="shared" si="14"/>
        <v>12.4</v>
      </c>
      <c r="AE111" s="20">
        <f t="shared" si="15"/>
        <v>12.56</v>
      </c>
      <c r="AF111" s="20">
        <f t="shared" si="16"/>
        <v>12.72</v>
      </c>
      <c r="AG111" s="20">
        <f>Table9[[#This Row],[RTH(min) (kΩ)]]*RT2_TH_MIN/(RT2_TH_MIN+Table9[[#This Row],[RTH(min) (kΩ)]])</f>
        <v>8.8137419978174929</v>
      </c>
      <c r="AH111" s="20">
        <f>Table9[[#This Row],[RTH(nom) (kΩ)]]*RT2_TH_S/(RT2_TH_S+Table9[[#This Row],[RTH(nom) (kΩ)]])</f>
        <v>8.8968726728432141</v>
      </c>
      <c r="AI111" s="20">
        <f>Table9[[#This Row],[RTH(max) (kΩ)]]*RT2_TH_S_MAX/(RT2_TH_S_MAX+Table9[[#This Row],[RTH(max) (kΩ)]])</f>
        <v>8.9794967803421191</v>
      </c>
      <c r="AJ111" s="20">
        <f>Table9[[#This Row],[RLower(min) (kΩ)]]/(Table9[[#This Row],[RLower(min) (kΩ)]]+RT1_TH_S_MAX)*100</f>
        <v>62.722482481478913</v>
      </c>
      <c r="AK111" s="20">
        <f>Table9[[#This Row],[RLower(nom) (kΩ)]]/(Table9[[#This Row],[RLower(nom) (kΩ)]]+RT1_TH_S)*100</f>
        <v>62.965027734134615</v>
      </c>
      <c r="AL111" s="20">
        <f>Table9[[#This Row],[RLower(max) (kΩ)]]/(Table9[[#This Row],[RLower(max) (kΩ)]]+RT1_TH_S_MIN)*100</f>
        <v>63.203601404957851</v>
      </c>
      <c r="AM111" s="20">
        <f>IF(Table9[[#This Row],[Vmin (%)]]&lt;$BA$14, 0, IF(Table9[[#This Row],[Vmin (%)]]&lt;$BA$12, 4, IF(Table9[[#This Row],[Vmin (%)]]&lt;$BA$9, 3, IF(Table9[[#This Row],[Vmin (%)]]&lt;$BA$7, 2, 0))))</f>
        <v>3</v>
      </c>
      <c r="AN111" s="20">
        <f>IF(Table9[[#This Row],[Vmin (%)]]&lt;$BA$13, 0, IF(Table9[[#This Row],[Vmin (%)]]&lt;$BA$11, 4, IF(Table9[[#This Row],[Vmin (%)]]&lt;$BA$10, 3, IF(Table9[[#This Row],[Vmin (%)]]&lt;$BA$8, 2, 0))))</f>
        <v>3</v>
      </c>
      <c r="AO111" s="76" t="str">
        <f>IF(Table9[[#This Row],[Vmin (%)]]&lt;$BA$14, "Hot", IF(Table9[[#This Row],[Vmin (%)]]&lt;$BA$12, "Warm", IF(Table9[[#This Row],[Vmin (%)]]&lt;$BA$9, "Normal", IF(Table9[[#This Row],[Vmin (%)]]&lt;$BA$7, "Cool", "Cold"))))</f>
        <v>Normal</v>
      </c>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19"/>
      <c r="BM111" s="19"/>
      <c r="BN111" s="19"/>
      <c r="BO111" s="19"/>
      <c r="BP111" s="19"/>
      <c r="BQ111" s="19"/>
      <c r="BR111" s="19"/>
      <c r="BS111" s="19"/>
      <c r="BT111" s="19"/>
      <c r="BU111" s="19"/>
      <c r="BV111" s="19"/>
      <c r="BW111" s="19"/>
      <c r="BX111" s="19"/>
      <c r="BY111" s="19"/>
      <c r="BZ111" s="19"/>
      <c r="CA111" s="19"/>
      <c r="CB111" s="19"/>
      <c r="CC111" s="19"/>
      <c r="CD111" s="19"/>
      <c r="CE111" s="19"/>
      <c r="CF111" s="19"/>
      <c r="CG111" s="19"/>
      <c r="CH111" s="19"/>
      <c r="CI111" s="19"/>
      <c r="CJ111" s="19"/>
      <c r="CK111" s="19"/>
      <c r="CL111" s="19"/>
      <c r="CM111" s="19"/>
      <c r="CN111" s="19"/>
      <c r="CO111" s="19"/>
      <c r="CP111" s="19"/>
      <c r="CQ111" s="19"/>
      <c r="CR111" s="19"/>
      <c r="CS111" s="19"/>
      <c r="CT111" s="19"/>
      <c r="CU111" s="19"/>
      <c r="CV111" s="19"/>
      <c r="CW111" s="19"/>
      <c r="CX111" s="19"/>
      <c r="CY111" s="19"/>
      <c r="CZ111" s="19"/>
      <c r="DA111" s="19"/>
      <c r="DB111" s="19"/>
      <c r="DC111" s="19"/>
      <c r="DD111" s="19"/>
      <c r="DE111" s="19"/>
      <c r="DF111" s="19"/>
      <c r="DG111" s="19"/>
      <c r="DH111" s="19"/>
      <c r="DI111" s="19"/>
      <c r="DJ111" s="19"/>
      <c r="DK111" s="19"/>
      <c r="DL111" s="19"/>
      <c r="DM111" s="19"/>
      <c r="DN111" s="19"/>
      <c r="DO111" s="19"/>
      <c r="DP111" s="19"/>
      <c r="DQ111" s="19"/>
      <c r="DR111" s="19"/>
      <c r="DS111" s="19"/>
      <c r="DT111" s="19"/>
      <c r="DU111" s="19"/>
      <c r="DV111" s="19"/>
      <c r="DW111" s="19"/>
      <c r="DX111" s="19"/>
      <c r="DY111" s="19"/>
      <c r="DZ111" s="19"/>
      <c r="EA111" s="19"/>
      <c r="EB111" s="19"/>
      <c r="EC111" s="19"/>
      <c r="ED111" s="19"/>
      <c r="EE111" s="19"/>
      <c r="EF111" s="19"/>
      <c r="EG111" s="19"/>
      <c r="EH111" s="19"/>
      <c r="EI111" s="19"/>
      <c r="EJ111" s="19"/>
      <c r="EK111" s="19"/>
      <c r="EL111" s="19"/>
      <c r="EM111" s="19"/>
      <c r="EN111" s="19"/>
      <c r="EO111" s="19"/>
      <c r="EP111" s="19"/>
      <c r="EQ111" s="19"/>
      <c r="ER111" s="19"/>
      <c r="ES111" s="19"/>
      <c r="ET111" s="19"/>
      <c r="EU111" s="19"/>
      <c r="EV111" s="19"/>
      <c r="EW111" s="19"/>
      <c r="EX111" s="19"/>
      <c r="EY111" s="19"/>
      <c r="EZ111" s="19"/>
      <c r="FA111" s="19"/>
      <c r="FB111" s="19"/>
      <c r="FC111" s="19"/>
      <c r="FD111" s="19"/>
      <c r="FE111" s="19"/>
      <c r="FF111" s="19"/>
      <c r="FG111" s="19"/>
      <c r="FH111" s="19"/>
      <c r="FI111" s="19"/>
      <c r="FJ111" s="19"/>
      <c r="FK111" s="19"/>
      <c r="FL111" s="19"/>
      <c r="FM111" s="19"/>
      <c r="FN111" s="19"/>
      <c r="FO111" s="19"/>
      <c r="FP111" s="19"/>
      <c r="FQ111" s="19"/>
      <c r="FR111" s="19"/>
      <c r="FS111" s="19"/>
      <c r="FT111" s="19"/>
      <c r="FU111" s="19"/>
      <c r="FV111" s="19"/>
      <c r="FW111" s="19"/>
      <c r="FX111" s="19"/>
      <c r="FY111" s="19"/>
      <c r="FZ111" s="19"/>
      <c r="GA111" s="19"/>
      <c r="GB111" s="19"/>
      <c r="GC111" s="19"/>
      <c r="GD111" s="19"/>
      <c r="GE111" s="19"/>
      <c r="GF111" s="19"/>
      <c r="GG111" s="19"/>
      <c r="GH111" s="19"/>
      <c r="GI111" s="19"/>
      <c r="GJ111" s="19"/>
      <c r="GK111" s="19"/>
      <c r="GL111" s="19"/>
      <c r="GM111" s="19"/>
      <c r="GN111" s="19"/>
      <c r="GO111" s="19"/>
      <c r="GP111" s="19"/>
      <c r="GQ111" s="19"/>
      <c r="GR111" s="19"/>
      <c r="GS111" s="19"/>
      <c r="GT111" s="19"/>
      <c r="GU111" s="19"/>
      <c r="GV111" s="19"/>
      <c r="GW111" s="19"/>
      <c r="GX111" s="19"/>
      <c r="GY111" s="19"/>
      <c r="GZ111" s="19"/>
      <c r="HA111" s="19"/>
      <c r="HB111" s="19"/>
    </row>
    <row r="112" spans="1:210" x14ac:dyDescent="0.25">
      <c r="A112" s="113">
        <f t="shared" si="17"/>
        <v>18</v>
      </c>
      <c r="B112" s="163"/>
      <c r="C112" s="172" t="str">
        <f t="shared" si="12"/>
        <v>RTH at 18 °C</v>
      </c>
      <c r="D112" s="196">
        <f t="shared" si="19"/>
        <v>1.3033333333333332</v>
      </c>
      <c r="E112" s="197">
        <v>12.89</v>
      </c>
      <c r="F112" s="198">
        <v>13.06</v>
      </c>
      <c r="G112" s="199">
        <v>13.22</v>
      </c>
      <c r="H112" s="128" t="s">
        <v>18</v>
      </c>
      <c r="I112" s="29"/>
      <c r="J112" s="29">
        <v>13.22</v>
      </c>
      <c r="K112" s="29">
        <v>13.06</v>
      </c>
      <c r="L112" s="29">
        <v>12.89</v>
      </c>
      <c r="M112" s="29"/>
      <c r="N112" s="29"/>
      <c r="O112" s="29"/>
      <c r="P112" s="29"/>
      <c r="Q112" s="29"/>
      <c r="R112" s="29"/>
      <c r="S112" s="29"/>
      <c r="T112" s="29"/>
      <c r="U112" s="29"/>
      <c r="V112" s="29"/>
      <c r="W112" s="29"/>
      <c r="X112" s="29"/>
      <c r="Y112" s="30"/>
      <c r="Z112" s="18"/>
      <c r="AA112" s="19"/>
      <c r="AB112" s="19"/>
      <c r="AC112" s="20">
        <f t="shared" si="13"/>
        <v>18</v>
      </c>
      <c r="AD112" s="20">
        <f t="shared" si="14"/>
        <v>12.89</v>
      </c>
      <c r="AE112" s="20">
        <f t="shared" si="15"/>
        <v>13.06</v>
      </c>
      <c r="AF112" s="20">
        <f t="shared" si="16"/>
        <v>13.22</v>
      </c>
      <c r="AG112" s="20">
        <f>Table9[[#This Row],[RTH(min) (kΩ)]]*RT2_TH_MIN/(RT2_TH_MIN+Table9[[#This Row],[RTH(min) (kΩ)]])</f>
        <v>9.0585006950218574</v>
      </c>
      <c r="AH112" s="20">
        <f>Table9[[#This Row],[RTH(nom) (kΩ)]]*RT2_TH_S/(RT2_TH_S+Table9[[#This Row],[RTH(nom) (kΩ)]])</f>
        <v>9.1448729929846575</v>
      </c>
      <c r="AI112" s="20">
        <f>Table9[[#This Row],[RTH(max) (kΩ)]]*RT2_TH_S_MAX/(RT2_TH_S_MAX+Table9[[#This Row],[RTH(max) (kΩ)]])</f>
        <v>9.2258217840465306</v>
      </c>
      <c r="AJ112" s="20">
        <f>Table9[[#This Row],[RLower(min) (kΩ)]]/(Table9[[#This Row],[RLower(min) (kΩ)]]+RT1_TH_S_MAX)*100</f>
        <v>63.360670369224806</v>
      </c>
      <c r="AK112" s="20">
        <f>Table9[[#This Row],[RLower(nom) (kΩ)]]/(Table9[[#This Row],[RLower(nom) (kΩ)]]+RT1_TH_S)*100</f>
        <v>63.603835062473443</v>
      </c>
      <c r="AL112" s="20">
        <f>Table9[[#This Row],[RLower(max) (kΩ)]]/(Table9[[#This Row],[RLower(max) (kΩ)]]+RT1_TH_S_MIN)*100</f>
        <v>63.830703690899306</v>
      </c>
      <c r="AM112" s="20">
        <f>IF(Table9[[#This Row],[Vmin (%)]]&lt;$BA$14, 0, IF(Table9[[#This Row],[Vmin (%)]]&lt;$BA$12, 4, IF(Table9[[#This Row],[Vmin (%)]]&lt;$BA$9, 3, IF(Table9[[#This Row],[Vmin (%)]]&lt;$BA$7, 2, 0))))</f>
        <v>3</v>
      </c>
      <c r="AN112" s="20">
        <f>IF(Table9[[#This Row],[Vmin (%)]]&lt;$BA$13, 0, IF(Table9[[#This Row],[Vmin (%)]]&lt;$BA$11, 4, IF(Table9[[#This Row],[Vmin (%)]]&lt;$BA$10, 3, IF(Table9[[#This Row],[Vmin (%)]]&lt;$BA$8, 2, 0))))</f>
        <v>3</v>
      </c>
      <c r="AO112" s="76" t="str">
        <f>IF(Table9[[#This Row],[Vmin (%)]]&lt;$BA$14, "Hot", IF(Table9[[#This Row],[Vmin (%)]]&lt;$BA$12, "Warm", IF(Table9[[#This Row],[Vmin (%)]]&lt;$BA$9, "Normal", IF(Table9[[#This Row],[Vmin (%)]]&lt;$BA$7, "Cool", "Cold"))))</f>
        <v>Normal</v>
      </c>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19"/>
      <c r="BM112" s="19"/>
      <c r="BN112" s="19"/>
      <c r="BO112" s="19"/>
      <c r="BP112" s="19"/>
      <c r="BQ112" s="19"/>
      <c r="BR112" s="19"/>
      <c r="BS112" s="19"/>
      <c r="BT112" s="19"/>
      <c r="BU112" s="19"/>
      <c r="BV112" s="19"/>
      <c r="BW112" s="19"/>
      <c r="BX112" s="19"/>
      <c r="BY112" s="19"/>
      <c r="BZ112" s="19"/>
      <c r="CA112" s="19"/>
      <c r="CB112" s="19"/>
      <c r="CC112" s="19"/>
      <c r="CD112" s="19"/>
      <c r="CE112" s="19"/>
      <c r="CF112" s="19"/>
      <c r="CG112" s="19"/>
      <c r="CH112" s="19"/>
      <c r="CI112" s="19"/>
      <c r="CJ112" s="19"/>
      <c r="CK112" s="19"/>
      <c r="CL112" s="19"/>
      <c r="CM112" s="19"/>
      <c r="CN112" s="19"/>
      <c r="CO112" s="19"/>
      <c r="CP112" s="19"/>
      <c r="CQ112" s="19"/>
      <c r="CR112" s="19"/>
      <c r="CS112" s="19"/>
      <c r="CT112" s="19"/>
      <c r="CU112" s="19"/>
      <c r="CV112" s="19"/>
      <c r="CW112" s="19"/>
      <c r="CX112" s="19"/>
      <c r="CY112" s="19"/>
      <c r="CZ112" s="19"/>
      <c r="DA112" s="19"/>
      <c r="DB112" s="19"/>
      <c r="DC112" s="19"/>
      <c r="DD112" s="19"/>
      <c r="DE112" s="19"/>
      <c r="DF112" s="19"/>
      <c r="DG112" s="19"/>
      <c r="DH112" s="19"/>
      <c r="DI112" s="19"/>
      <c r="DJ112" s="19"/>
      <c r="DK112" s="19"/>
      <c r="DL112" s="19"/>
      <c r="DM112" s="19"/>
      <c r="DN112" s="19"/>
      <c r="DO112" s="19"/>
      <c r="DP112" s="19"/>
      <c r="DQ112" s="19"/>
      <c r="DR112" s="19"/>
      <c r="DS112" s="19"/>
      <c r="DT112" s="19"/>
      <c r="DU112" s="19"/>
      <c r="DV112" s="19"/>
      <c r="DW112" s="19"/>
      <c r="DX112" s="19"/>
      <c r="DY112" s="19"/>
      <c r="DZ112" s="19"/>
      <c r="EA112" s="19"/>
      <c r="EB112" s="19"/>
      <c r="EC112" s="19"/>
      <c r="ED112" s="19"/>
      <c r="EE112" s="19"/>
      <c r="EF112" s="19"/>
      <c r="EG112" s="19"/>
      <c r="EH112" s="19"/>
      <c r="EI112" s="19"/>
      <c r="EJ112" s="19"/>
      <c r="EK112" s="19"/>
      <c r="EL112" s="19"/>
      <c r="EM112" s="19"/>
      <c r="EN112" s="19"/>
      <c r="EO112" s="19"/>
      <c r="EP112" s="19"/>
      <c r="EQ112" s="19"/>
      <c r="ER112" s="19"/>
      <c r="ES112" s="19"/>
      <c r="ET112" s="19"/>
      <c r="EU112" s="19"/>
      <c r="EV112" s="19"/>
      <c r="EW112" s="19"/>
      <c r="EX112" s="19"/>
      <c r="EY112" s="19"/>
      <c r="EZ112" s="19"/>
      <c r="FA112" s="19"/>
      <c r="FB112" s="19"/>
      <c r="FC112" s="19"/>
      <c r="FD112" s="19"/>
      <c r="FE112" s="19"/>
      <c r="FF112" s="19"/>
      <c r="FG112" s="19"/>
      <c r="FH112" s="19"/>
      <c r="FI112" s="19"/>
      <c r="FJ112" s="19"/>
      <c r="FK112" s="19"/>
      <c r="FL112" s="19"/>
      <c r="FM112" s="19"/>
      <c r="FN112" s="19"/>
      <c r="FO112" s="19"/>
      <c r="FP112" s="19"/>
      <c r="FQ112" s="19"/>
      <c r="FR112" s="19"/>
      <c r="FS112" s="19"/>
      <c r="FT112" s="19"/>
      <c r="FU112" s="19"/>
      <c r="FV112" s="19"/>
      <c r="FW112" s="19"/>
      <c r="FX112" s="19"/>
      <c r="FY112" s="19"/>
      <c r="FZ112" s="19"/>
      <c r="GA112" s="19"/>
      <c r="GB112" s="19"/>
      <c r="GC112" s="19"/>
      <c r="GD112" s="19"/>
      <c r="GE112" s="19"/>
      <c r="GF112" s="19"/>
      <c r="GG112" s="19"/>
      <c r="GH112" s="19"/>
      <c r="GI112" s="19"/>
      <c r="GJ112" s="19"/>
      <c r="GK112" s="19"/>
      <c r="GL112" s="19"/>
      <c r="GM112" s="19"/>
      <c r="GN112" s="19"/>
      <c r="GO112" s="19"/>
      <c r="GP112" s="19"/>
      <c r="GQ112" s="19"/>
      <c r="GR112" s="19"/>
      <c r="GS112" s="19"/>
      <c r="GT112" s="19"/>
      <c r="GU112" s="19"/>
      <c r="GV112" s="19"/>
      <c r="GW112" s="19"/>
      <c r="GX112" s="19"/>
      <c r="GY112" s="19"/>
      <c r="GZ112" s="19"/>
      <c r="HA112" s="19"/>
      <c r="HB112" s="19"/>
    </row>
    <row r="113" spans="1:210" x14ac:dyDescent="0.25">
      <c r="A113" s="113">
        <f t="shared" si="17"/>
        <v>17</v>
      </c>
      <c r="B113" s="163"/>
      <c r="C113" s="172" t="str">
        <f t="shared" si="12"/>
        <v>RTH at 17 °C</v>
      </c>
      <c r="D113" s="196">
        <f t="shared" si="19"/>
        <v>1.3466666666666667</v>
      </c>
      <c r="E113" s="197">
        <v>13.39</v>
      </c>
      <c r="F113" s="198">
        <v>13.58</v>
      </c>
      <c r="G113" s="199">
        <v>13.75</v>
      </c>
      <c r="H113" s="128" t="s">
        <v>18</v>
      </c>
      <c r="I113" s="29"/>
      <c r="J113" s="29">
        <v>13.75</v>
      </c>
      <c r="K113" s="29">
        <v>13.58</v>
      </c>
      <c r="L113" s="29">
        <v>13.39</v>
      </c>
      <c r="M113" s="29"/>
      <c r="N113" s="29"/>
      <c r="O113" s="29"/>
      <c r="P113" s="29"/>
      <c r="Q113" s="29"/>
      <c r="R113" s="29"/>
      <c r="S113" s="29"/>
      <c r="T113" s="29"/>
      <c r="U113" s="29"/>
      <c r="V113" s="29"/>
      <c r="W113" s="29"/>
      <c r="X113" s="29"/>
      <c r="Y113" s="30"/>
      <c r="Z113" s="18"/>
      <c r="AA113" s="19"/>
      <c r="AB113" s="19"/>
      <c r="AC113" s="20">
        <f t="shared" si="13"/>
        <v>17</v>
      </c>
      <c r="AD113" s="20">
        <f t="shared" si="14"/>
        <v>13.39</v>
      </c>
      <c r="AE113" s="20">
        <f t="shared" si="15"/>
        <v>13.58</v>
      </c>
      <c r="AF113" s="20">
        <f t="shared" si="16"/>
        <v>13.75</v>
      </c>
      <c r="AG113" s="20">
        <f>Table9[[#This Row],[RTH(min) (kΩ)]]*RT2_TH_MIN/(RT2_TH_MIN+Table9[[#This Row],[RTH(min) (kΩ)]])</f>
        <v>9.302617684116969</v>
      </c>
      <c r="AH113" s="20">
        <f>Table9[[#This Row],[RTH(nom) (kΩ)]]*RT2_TH_S/(RT2_TH_S+Table9[[#This Row],[RTH(nom) (kΩ)]])</f>
        <v>9.3968258296120286</v>
      </c>
      <c r="AI113" s="20">
        <f>Table9[[#This Row],[RTH(max) (kΩ)]]*RT2_TH_S_MAX/(RT2_TH_S_MAX+Table9[[#This Row],[RTH(max) (kΩ)]])</f>
        <v>9.480853512160051</v>
      </c>
      <c r="AJ113" s="20">
        <f>Table9[[#This Row],[RLower(min) (kΩ)]]/(Table9[[#This Row],[RLower(min) (kΩ)]]+RT1_TH_S_MAX)*100</f>
        <v>63.975784881944911</v>
      </c>
      <c r="AK113" s="20">
        <f>Table9[[#This Row],[RLower(nom) (kΩ)]]/(Table9[[#This Row],[RLower(nom) (kΩ)]]+RT1_TH_S)*100</f>
        <v>64.230645159492667</v>
      </c>
      <c r="AL113" s="20">
        <f>Table9[[#This Row],[RLower(max) (kΩ)]]/(Table9[[#This Row],[RLower(max) (kΩ)]]+RT1_TH_S_MIN)*100</f>
        <v>64.457840932039218</v>
      </c>
      <c r="AM113" s="20">
        <f>IF(Table9[[#This Row],[Vmin (%)]]&lt;$BA$14, 0, IF(Table9[[#This Row],[Vmin (%)]]&lt;$BA$12, 4, IF(Table9[[#This Row],[Vmin (%)]]&lt;$BA$9, 3, IF(Table9[[#This Row],[Vmin (%)]]&lt;$BA$7, 2, 0))))</f>
        <v>3</v>
      </c>
      <c r="AN113" s="20">
        <f>IF(Table9[[#This Row],[Vmin (%)]]&lt;$BA$13, 0, IF(Table9[[#This Row],[Vmin (%)]]&lt;$BA$11, 4, IF(Table9[[#This Row],[Vmin (%)]]&lt;$BA$10, 3, IF(Table9[[#This Row],[Vmin (%)]]&lt;$BA$8, 2, 0))))</f>
        <v>3</v>
      </c>
      <c r="AO113" s="76" t="str">
        <f>IF(Table9[[#This Row],[Vmin (%)]]&lt;$BA$14, "Hot", IF(Table9[[#This Row],[Vmin (%)]]&lt;$BA$12, "Warm", IF(Table9[[#This Row],[Vmin (%)]]&lt;$BA$9, "Normal", IF(Table9[[#This Row],[Vmin (%)]]&lt;$BA$7, "Cool", "Cold"))))</f>
        <v>Normal</v>
      </c>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19"/>
      <c r="BM113" s="19"/>
      <c r="BN113" s="19"/>
      <c r="BO113" s="19"/>
      <c r="BP113" s="19"/>
      <c r="BQ113" s="19"/>
      <c r="BR113" s="19"/>
      <c r="BS113" s="19"/>
      <c r="BT113" s="19"/>
      <c r="BU113" s="19"/>
      <c r="BV113" s="19"/>
      <c r="BW113" s="19"/>
      <c r="BX113" s="19"/>
      <c r="BY113" s="19"/>
      <c r="BZ113" s="19"/>
      <c r="CA113" s="19"/>
      <c r="CB113" s="19"/>
      <c r="CC113" s="19"/>
      <c r="CD113" s="19"/>
      <c r="CE113" s="19"/>
      <c r="CF113" s="19"/>
      <c r="CG113" s="19"/>
      <c r="CH113" s="19"/>
      <c r="CI113" s="19"/>
      <c r="CJ113" s="19"/>
      <c r="CK113" s="19"/>
      <c r="CL113" s="19"/>
      <c r="CM113" s="19"/>
      <c r="CN113" s="19"/>
      <c r="CO113" s="19"/>
      <c r="CP113" s="19"/>
      <c r="CQ113" s="19"/>
      <c r="CR113" s="19"/>
      <c r="CS113" s="19"/>
      <c r="CT113" s="19"/>
      <c r="CU113" s="19"/>
      <c r="CV113" s="19"/>
      <c r="CW113" s="19"/>
      <c r="CX113" s="19"/>
      <c r="CY113" s="19"/>
      <c r="CZ113" s="19"/>
      <c r="DA113" s="19"/>
      <c r="DB113" s="19"/>
      <c r="DC113" s="19"/>
      <c r="DD113" s="19"/>
      <c r="DE113" s="19"/>
      <c r="DF113" s="19"/>
      <c r="DG113" s="19"/>
      <c r="DH113" s="19"/>
      <c r="DI113" s="19"/>
      <c r="DJ113" s="19"/>
      <c r="DK113" s="19"/>
      <c r="DL113" s="19"/>
      <c r="DM113" s="19"/>
      <c r="DN113" s="19"/>
      <c r="DO113" s="19"/>
      <c r="DP113" s="19"/>
      <c r="DQ113" s="19"/>
      <c r="DR113" s="19"/>
      <c r="DS113" s="19"/>
      <c r="DT113" s="19"/>
      <c r="DU113" s="19"/>
      <c r="DV113" s="19"/>
      <c r="DW113" s="19"/>
      <c r="DX113" s="19"/>
      <c r="DY113" s="19"/>
      <c r="DZ113" s="19"/>
      <c r="EA113" s="19"/>
      <c r="EB113" s="19"/>
      <c r="EC113" s="19"/>
      <c r="ED113" s="19"/>
      <c r="EE113" s="19"/>
      <c r="EF113" s="19"/>
      <c r="EG113" s="19"/>
      <c r="EH113" s="19"/>
      <c r="EI113" s="19"/>
      <c r="EJ113" s="19"/>
      <c r="EK113" s="19"/>
      <c r="EL113" s="19"/>
      <c r="EM113" s="19"/>
      <c r="EN113" s="19"/>
      <c r="EO113" s="19"/>
      <c r="EP113" s="19"/>
      <c r="EQ113" s="19"/>
      <c r="ER113" s="19"/>
      <c r="ES113" s="19"/>
      <c r="ET113" s="19"/>
      <c r="EU113" s="19"/>
      <c r="EV113" s="19"/>
      <c r="EW113" s="19"/>
      <c r="EX113" s="19"/>
      <c r="EY113" s="19"/>
      <c r="EZ113" s="19"/>
      <c r="FA113" s="19"/>
      <c r="FB113" s="19"/>
      <c r="FC113" s="19"/>
      <c r="FD113" s="19"/>
      <c r="FE113" s="19"/>
      <c r="FF113" s="19"/>
      <c r="FG113" s="19"/>
      <c r="FH113" s="19"/>
      <c r="FI113" s="19"/>
      <c r="FJ113" s="19"/>
      <c r="FK113" s="19"/>
      <c r="FL113" s="19"/>
      <c r="FM113" s="19"/>
      <c r="FN113" s="19"/>
      <c r="FO113" s="19"/>
      <c r="FP113" s="19"/>
      <c r="FQ113" s="19"/>
      <c r="FR113" s="19"/>
      <c r="FS113" s="19"/>
      <c r="FT113" s="19"/>
      <c r="FU113" s="19"/>
      <c r="FV113" s="19"/>
      <c r="FW113" s="19"/>
      <c r="FX113" s="19"/>
      <c r="FY113" s="19"/>
      <c r="FZ113" s="19"/>
      <c r="GA113" s="19"/>
      <c r="GB113" s="19"/>
      <c r="GC113" s="19"/>
      <c r="GD113" s="19"/>
      <c r="GE113" s="19"/>
      <c r="GF113" s="19"/>
      <c r="GG113" s="19"/>
      <c r="GH113" s="19"/>
      <c r="GI113" s="19"/>
      <c r="GJ113" s="19"/>
      <c r="GK113" s="19"/>
      <c r="GL113" s="19"/>
      <c r="GM113" s="19"/>
      <c r="GN113" s="19"/>
      <c r="GO113" s="19"/>
      <c r="GP113" s="19"/>
      <c r="GQ113" s="19"/>
      <c r="GR113" s="19"/>
      <c r="GS113" s="19"/>
      <c r="GT113" s="19"/>
      <c r="GU113" s="19"/>
      <c r="GV113" s="19"/>
      <c r="GW113" s="19"/>
      <c r="GX113" s="19"/>
      <c r="GY113" s="19"/>
      <c r="GZ113" s="19"/>
      <c r="HA113" s="19"/>
      <c r="HB113" s="19"/>
    </row>
    <row r="114" spans="1:210" x14ac:dyDescent="0.25">
      <c r="A114" s="113">
        <f t="shared" si="17"/>
        <v>16</v>
      </c>
      <c r="B114" s="163"/>
      <c r="C114" s="172" t="str">
        <f t="shared" si="12"/>
        <v>RTH at 16 °C</v>
      </c>
      <c r="D114" s="196">
        <f t="shared" si="19"/>
        <v>1.3900000000000001</v>
      </c>
      <c r="E114" s="197">
        <v>13.92</v>
      </c>
      <c r="F114" s="198">
        <v>14.12</v>
      </c>
      <c r="G114" s="199">
        <v>14.31</v>
      </c>
      <c r="H114" s="128" t="s">
        <v>18</v>
      </c>
      <c r="I114" s="29"/>
      <c r="J114" s="29">
        <v>14.31</v>
      </c>
      <c r="K114" s="29">
        <v>14.12</v>
      </c>
      <c r="L114" s="29">
        <v>13.92</v>
      </c>
      <c r="M114" s="29"/>
      <c r="N114" s="29"/>
      <c r="O114" s="29"/>
      <c r="P114" s="29"/>
      <c r="Q114" s="29"/>
      <c r="R114" s="29"/>
      <c r="S114" s="29"/>
      <c r="T114" s="29"/>
      <c r="U114" s="29"/>
      <c r="V114" s="29"/>
      <c r="W114" s="29"/>
      <c r="X114" s="29"/>
      <c r="Y114" s="30"/>
      <c r="Z114" s="18"/>
      <c r="AA114" s="19"/>
      <c r="AB114" s="19"/>
      <c r="AC114" s="20">
        <f t="shared" si="13"/>
        <v>16</v>
      </c>
      <c r="AD114" s="20">
        <f t="shared" si="14"/>
        <v>13.92</v>
      </c>
      <c r="AE114" s="20">
        <f t="shared" si="15"/>
        <v>14.12</v>
      </c>
      <c r="AF114" s="20">
        <f t="shared" si="16"/>
        <v>14.31</v>
      </c>
      <c r="AG114" s="20">
        <f>Table9[[#This Row],[RTH(min) (kΩ)]]*RT2_TH_MIN/(RT2_TH_MIN+Table9[[#This Row],[RTH(min) (kΩ)]])</f>
        <v>9.5553781271166702</v>
      </c>
      <c r="AH114" s="20">
        <f>Table9[[#This Row],[RTH(nom) (kΩ)]]*RT2_TH_S/(RT2_TH_S+Table9[[#This Row],[RTH(nom) (kΩ)]])</f>
        <v>9.6522542535847329</v>
      </c>
      <c r="AI114" s="20">
        <f>Table9[[#This Row],[RTH(max) (kΩ)]]*RT2_TH_S_MAX/(RT2_TH_S_MAX+Table9[[#This Row],[RTH(max) (kΩ)]])</f>
        <v>9.7437714517178122</v>
      </c>
      <c r="AJ114" s="20">
        <f>Table9[[#This Row],[RLower(min) (kΩ)]]/(Table9[[#This Row],[RLower(min) (kΩ)]]+RT1_TH_S_MAX)*100</f>
        <v>64.59128720577381</v>
      </c>
      <c r="AK114" s="20">
        <f>Table9[[#This Row],[RLower(nom) (kΩ)]]/(Table9[[#This Row],[RLower(nom) (kΩ)]]+RT1_TH_S)*100</f>
        <v>64.844441552341237</v>
      </c>
      <c r="AL114" s="20">
        <f>Table9[[#This Row],[RLower(max) (kΩ)]]/(Table9[[#This Row],[RLower(max) (kΩ)]]+RT1_TH_S_MIN)*100</f>
        <v>65.082003691265385</v>
      </c>
      <c r="AM114" s="20">
        <f>IF(Table9[[#This Row],[Vmin (%)]]&lt;$BA$14, 0, IF(Table9[[#This Row],[Vmin (%)]]&lt;$BA$12, 4, IF(Table9[[#This Row],[Vmin (%)]]&lt;$BA$9, 3, IF(Table9[[#This Row],[Vmin (%)]]&lt;$BA$7, 2, 0))))</f>
        <v>3</v>
      </c>
      <c r="AN114" s="20">
        <f>IF(Table9[[#This Row],[Vmin (%)]]&lt;$BA$13, 0, IF(Table9[[#This Row],[Vmin (%)]]&lt;$BA$11, 4, IF(Table9[[#This Row],[Vmin (%)]]&lt;$BA$10, 3, IF(Table9[[#This Row],[Vmin (%)]]&lt;$BA$8, 2, 0))))</f>
        <v>3</v>
      </c>
      <c r="AO114" s="76" t="str">
        <f>IF(Table9[[#This Row],[Vmin (%)]]&lt;$BA$14, "Hot", IF(Table9[[#This Row],[Vmin (%)]]&lt;$BA$12, "Warm", IF(Table9[[#This Row],[Vmin (%)]]&lt;$BA$9, "Normal", IF(Table9[[#This Row],[Vmin (%)]]&lt;$BA$7, "Cool", "Cold"))))</f>
        <v>Normal</v>
      </c>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19"/>
      <c r="BM114" s="19"/>
      <c r="BN114" s="19"/>
      <c r="BO114" s="19"/>
      <c r="BP114" s="19"/>
      <c r="BQ114" s="19"/>
      <c r="BR114" s="19"/>
      <c r="BS114" s="19"/>
      <c r="BT114" s="19"/>
      <c r="BU114" s="19"/>
      <c r="BV114" s="19"/>
      <c r="BW114" s="19"/>
      <c r="BX114" s="19"/>
      <c r="BY114" s="19"/>
      <c r="BZ114" s="19"/>
      <c r="CA114" s="19"/>
      <c r="CB114" s="19"/>
      <c r="CC114" s="19"/>
      <c r="CD114" s="19"/>
      <c r="CE114" s="19"/>
      <c r="CF114" s="19"/>
      <c r="CG114" s="19"/>
      <c r="CH114" s="19"/>
      <c r="CI114" s="19"/>
      <c r="CJ114" s="19"/>
      <c r="CK114" s="19"/>
      <c r="CL114" s="19"/>
      <c r="CM114" s="19"/>
      <c r="CN114" s="19"/>
      <c r="CO114" s="19"/>
      <c r="CP114" s="19"/>
      <c r="CQ114" s="19"/>
      <c r="CR114" s="19"/>
      <c r="CS114" s="19"/>
      <c r="CT114" s="19"/>
      <c r="CU114" s="19"/>
      <c r="CV114" s="19"/>
      <c r="CW114" s="19"/>
      <c r="CX114" s="19"/>
      <c r="CY114" s="19"/>
      <c r="CZ114" s="19"/>
      <c r="DA114" s="19"/>
      <c r="DB114" s="19"/>
      <c r="DC114" s="19"/>
      <c r="DD114" s="19"/>
      <c r="DE114" s="19"/>
      <c r="DF114" s="19"/>
      <c r="DG114" s="19"/>
      <c r="DH114" s="19"/>
      <c r="DI114" s="19"/>
      <c r="DJ114" s="19"/>
      <c r="DK114" s="19"/>
      <c r="DL114" s="19"/>
      <c r="DM114" s="19"/>
      <c r="DN114" s="19"/>
      <c r="DO114" s="19"/>
      <c r="DP114" s="19"/>
      <c r="DQ114" s="19"/>
      <c r="DR114" s="19"/>
      <c r="DS114" s="19"/>
      <c r="DT114" s="19"/>
      <c r="DU114" s="19"/>
      <c r="DV114" s="19"/>
      <c r="DW114" s="19"/>
      <c r="DX114" s="19"/>
      <c r="DY114" s="19"/>
      <c r="DZ114" s="19"/>
      <c r="EA114" s="19"/>
      <c r="EB114" s="19"/>
      <c r="EC114" s="19"/>
      <c r="ED114" s="19"/>
      <c r="EE114" s="19"/>
      <c r="EF114" s="19"/>
      <c r="EG114" s="19"/>
      <c r="EH114" s="19"/>
      <c r="EI114" s="19"/>
      <c r="EJ114" s="19"/>
      <c r="EK114" s="19"/>
      <c r="EL114" s="19"/>
      <c r="EM114" s="19"/>
      <c r="EN114" s="19"/>
      <c r="EO114" s="19"/>
      <c r="EP114" s="19"/>
      <c r="EQ114" s="19"/>
      <c r="ER114" s="19"/>
      <c r="ES114" s="19"/>
      <c r="ET114" s="19"/>
      <c r="EU114" s="19"/>
      <c r="EV114" s="19"/>
      <c r="EW114" s="19"/>
      <c r="EX114" s="19"/>
      <c r="EY114" s="19"/>
      <c r="EZ114" s="19"/>
      <c r="FA114" s="19"/>
      <c r="FB114" s="19"/>
      <c r="FC114" s="19"/>
      <c r="FD114" s="19"/>
      <c r="FE114" s="19"/>
      <c r="FF114" s="19"/>
      <c r="FG114" s="19"/>
      <c r="FH114" s="19"/>
      <c r="FI114" s="19"/>
      <c r="FJ114" s="19"/>
      <c r="FK114" s="19"/>
      <c r="FL114" s="19"/>
      <c r="FM114" s="19"/>
      <c r="FN114" s="19"/>
      <c r="FO114" s="19"/>
      <c r="FP114" s="19"/>
      <c r="FQ114" s="19"/>
      <c r="FR114" s="19"/>
      <c r="FS114" s="19"/>
      <c r="FT114" s="19"/>
      <c r="FU114" s="19"/>
      <c r="FV114" s="19"/>
      <c r="FW114" s="19"/>
      <c r="FX114" s="19"/>
      <c r="FY114" s="19"/>
      <c r="FZ114" s="19"/>
      <c r="GA114" s="19"/>
      <c r="GB114" s="19"/>
      <c r="GC114" s="19"/>
      <c r="GD114" s="19"/>
      <c r="GE114" s="19"/>
      <c r="GF114" s="19"/>
      <c r="GG114" s="19"/>
      <c r="GH114" s="19"/>
      <c r="GI114" s="19"/>
      <c r="GJ114" s="19"/>
      <c r="GK114" s="19"/>
      <c r="GL114" s="19"/>
      <c r="GM114" s="19"/>
      <c r="GN114" s="19"/>
      <c r="GO114" s="19"/>
      <c r="GP114" s="19"/>
      <c r="GQ114" s="19"/>
      <c r="GR114" s="19"/>
      <c r="GS114" s="19"/>
      <c r="GT114" s="19"/>
      <c r="GU114" s="19"/>
      <c r="GV114" s="19"/>
      <c r="GW114" s="19"/>
      <c r="GX114" s="19"/>
      <c r="GY114" s="19"/>
      <c r="GZ114" s="19"/>
      <c r="HA114" s="19"/>
      <c r="HB114" s="19"/>
    </row>
    <row r="115" spans="1:210" x14ac:dyDescent="0.25">
      <c r="A115" s="113">
        <f t="shared" si="17"/>
        <v>15</v>
      </c>
      <c r="B115" s="163"/>
      <c r="C115" s="172" t="str">
        <f t="shared" si="12"/>
        <v>RTH at 15 °C</v>
      </c>
      <c r="D115" s="196">
        <f t="shared" si="19"/>
        <v>1.4333333333333333</v>
      </c>
      <c r="E115" s="197">
        <v>14.48</v>
      </c>
      <c r="F115" s="198">
        <v>14.69</v>
      </c>
      <c r="G115" s="199">
        <v>14.89</v>
      </c>
      <c r="H115" s="128" t="s">
        <v>18</v>
      </c>
      <c r="I115" s="29"/>
      <c r="J115" s="29">
        <v>14.89</v>
      </c>
      <c r="K115" s="29">
        <v>14.69</v>
      </c>
      <c r="L115" s="29">
        <v>14.48</v>
      </c>
      <c r="M115" s="29"/>
      <c r="N115" s="29"/>
      <c r="O115" s="29"/>
      <c r="P115" s="29"/>
      <c r="Q115" s="29"/>
      <c r="R115" s="29"/>
      <c r="S115" s="29"/>
      <c r="T115" s="29"/>
      <c r="U115" s="29"/>
      <c r="V115" s="29"/>
      <c r="W115" s="29"/>
      <c r="X115" s="29"/>
      <c r="Y115" s="30"/>
      <c r="Z115" s="18"/>
      <c r="AA115" s="19"/>
      <c r="AB115" s="19"/>
      <c r="AC115" s="20">
        <f t="shared" si="13"/>
        <v>15</v>
      </c>
      <c r="AD115" s="20">
        <f t="shared" si="14"/>
        <v>14.48</v>
      </c>
      <c r="AE115" s="20">
        <f t="shared" si="15"/>
        <v>14.69</v>
      </c>
      <c r="AF115" s="20">
        <f t="shared" si="16"/>
        <v>14.89</v>
      </c>
      <c r="AG115" s="20">
        <f>Table9[[#This Row],[RTH(min) (kΩ)]]*RT2_TH_MIN/(RT2_TH_MIN+Table9[[#This Row],[RTH(min) (kΩ)]])</f>
        <v>9.8159702852747266</v>
      </c>
      <c r="AH115" s="20">
        <f>Table9[[#This Row],[RTH(nom) (kΩ)]]*RT2_TH_S/(RT2_TH_S+Table9[[#This Row],[RTH(nom) (kΩ)]])</f>
        <v>9.915251282003922</v>
      </c>
      <c r="AI115" s="20">
        <f>Table9[[#This Row],[RTH(max) (kΩ)]]*RT2_TH_S_MAX/(RT2_TH_S_MAX+Table9[[#This Row],[RTH(max) (kΩ)]])</f>
        <v>10.009245512333102</v>
      </c>
      <c r="AJ115" s="20">
        <f>Table9[[#This Row],[RLower(min) (kΩ)]]/(Table9[[#This Row],[RLower(min) (kΩ)]]+RT1_TH_S_MAX)*100</f>
        <v>65.204221556508898</v>
      </c>
      <c r="AK115" s="20">
        <f>Table9[[#This Row],[RLower(nom) (kΩ)]]/(Table9[[#This Row],[RLower(nom) (kΩ)]]+RT1_TH_S)*100</f>
        <v>65.454796677537914</v>
      </c>
      <c r="AL115" s="20">
        <f>Table9[[#This Row],[RLower(max) (kΩ)]]/(Table9[[#This Row],[RLower(max) (kΩ)]]+RT1_TH_S_MIN)*100</f>
        <v>65.690379358201582</v>
      </c>
      <c r="AM115" s="20">
        <f>IF(Table9[[#This Row],[Vmin (%)]]&lt;$BA$14, 0, IF(Table9[[#This Row],[Vmin (%)]]&lt;$BA$12, 4, IF(Table9[[#This Row],[Vmin (%)]]&lt;$BA$9, 3, IF(Table9[[#This Row],[Vmin (%)]]&lt;$BA$7, 2, 0))))</f>
        <v>3</v>
      </c>
      <c r="AN115" s="20">
        <f>IF(Table9[[#This Row],[Vmin (%)]]&lt;$BA$13, 0, IF(Table9[[#This Row],[Vmin (%)]]&lt;$BA$11, 4, IF(Table9[[#This Row],[Vmin (%)]]&lt;$BA$10, 3, IF(Table9[[#This Row],[Vmin (%)]]&lt;$BA$8, 2, 0))))</f>
        <v>3</v>
      </c>
      <c r="AO115" s="76" t="str">
        <f>IF(Table9[[#This Row],[Vmin (%)]]&lt;$BA$14, "Hot", IF(Table9[[#This Row],[Vmin (%)]]&lt;$BA$12, "Warm", IF(Table9[[#This Row],[Vmin (%)]]&lt;$BA$9, "Normal", IF(Table9[[#This Row],[Vmin (%)]]&lt;$BA$7, "Cool", "Cold"))))</f>
        <v>Normal</v>
      </c>
      <c r="AP115" s="19"/>
      <c r="AQ115" s="19"/>
      <c r="AR115" s="19"/>
      <c r="AS115" s="19"/>
      <c r="AT115" s="19"/>
      <c r="AU115" s="19"/>
      <c r="AV115" s="19"/>
      <c r="AW115" s="19"/>
      <c r="AX115" s="19"/>
      <c r="AY115" s="19"/>
      <c r="AZ115" s="19"/>
      <c r="BA115" s="19"/>
      <c r="BB115" s="19"/>
      <c r="BC115" s="19"/>
      <c r="BD115" s="19"/>
      <c r="BE115" s="19"/>
      <c r="BF115" s="19"/>
      <c r="BG115" s="19"/>
      <c r="BH115" s="19"/>
      <c r="BI115" s="19"/>
      <c r="BJ115" s="19"/>
      <c r="BK115" s="19"/>
      <c r="BL115" s="19"/>
      <c r="BM115" s="19"/>
      <c r="BN115" s="19"/>
      <c r="BO115" s="19"/>
      <c r="BP115" s="19"/>
      <c r="BQ115" s="19"/>
      <c r="BR115" s="19"/>
      <c r="BS115" s="19"/>
      <c r="BT115" s="19"/>
      <c r="BU115" s="19"/>
      <c r="BV115" s="19"/>
      <c r="BW115" s="19"/>
      <c r="BX115" s="19"/>
      <c r="BY115" s="19"/>
      <c r="BZ115" s="19"/>
      <c r="CA115" s="19"/>
      <c r="CB115" s="19"/>
      <c r="CC115" s="19"/>
      <c r="CD115" s="19"/>
      <c r="CE115" s="19"/>
      <c r="CF115" s="19"/>
      <c r="CG115" s="19"/>
      <c r="CH115" s="19"/>
      <c r="CI115" s="19"/>
      <c r="CJ115" s="19"/>
      <c r="CK115" s="19"/>
      <c r="CL115" s="19"/>
      <c r="CM115" s="19"/>
      <c r="CN115" s="19"/>
      <c r="CO115" s="19"/>
      <c r="CP115" s="19"/>
      <c r="CQ115" s="19"/>
      <c r="CR115" s="19"/>
      <c r="CS115" s="19"/>
      <c r="CT115" s="19"/>
      <c r="CU115" s="19"/>
      <c r="CV115" s="19"/>
      <c r="CW115" s="19"/>
      <c r="CX115" s="19"/>
      <c r="CY115" s="19"/>
      <c r="CZ115" s="19"/>
      <c r="DA115" s="19"/>
      <c r="DB115" s="19"/>
      <c r="DC115" s="19"/>
      <c r="DD115" s="19"/>
      <c r="DE115" s="19"/>
      <c r="DF115" s="19"/>
      <c r="DG115" s="19"/>
      <c r="DH115" s="19"/>
      <c r="DI115" s="19"/>
      <c r="DJ115" s="19"/>
      <c r="DK115" s="19"/>
      <c r="DL115" s="19"/>
      <c r="DM115" s="19"/>
      <c r="DN115" s="19"/>
      <c r="DO115" s="19"/>
      <c r="DP115" s="19"/>
      <c r="DQ115" s="19"/>
      <c r="DR115" s="19"/>
      <c r="DS115" s="19"/>
      <c r="DT115" s="19"/>
      <c r="DU115" s="19"/>
      <c r="DV115" s="19"/>
      <c r="DW115" s="19"/>
      <c r="DX115" s="19"/>
      <c r="DY115" s="19"/>
      <c r="DZ115" s="19"/>
      <c r="EA115" s="19"/>
      <c r="EB115" s="19"/>
      <c r="EC115" s="19"/>
      <c r="ED115" s="19"/>
      <c r="EE115" s="19"/>
      <c r="EF115" s="19"/>
      <c r="EG115" s="19"/>
      <c r="EH115" s="19"/>
      <c r="EI115" s="19"/>
      <c r="EJ115" s="19"/>
      <c r="EK115" s="19"/>
      <c r="EL115" s="19"/>
      <c r="EM115" s="19"/>
      <c r="EN115" s="19"/>
      <c r="EO115" s="19"/>
      <c r="EP115" s="19"/>
      <c r="EQ115" s="19"/>
      <c r="ER115" s="19"/>
      <c r="ES115" s="19"/>
      <c r="ET115" s="19"/>
      <c r="EU115" s="19"/>
      <c r="EV115" s="19"/>
      <c r="EW115" s="19"/>
      <c r="EX115" s="19"/>
      <c r="EY115" s="19"/>
      <c r="EZ115" s="19"/>
      <c r="FA115" s="19"/>
      <c r="FB115" s="19"/>
      <c r="FC115" s="19"/>
      <c r="FD115" s="19"/>
      <c r="FE115" s="19"/>
      <c r="FF115" s="19"/>
      <c r="FG115" s="19"/>
      <c r="FH115" s="19"/>
      <c r="FI115" s="19"/>
      <c r="FJ115" s="19"/>
      <c r="FK115" s="19"/>
      <c r="FL115" s="19"/>
      <c r="FM115" s="19"/>
      <c r="FN115" s="19"/>
      <c r="FO115" s="19"/>
      <c r="FP115" s="19"/>
      <c r="FQ115" s="19"/>
      <c r="FR115" s="19"/>
      <c r="FS115" s="19"/>
      <c r="FT115" s="19"/>
      <c r="FU115" s="19"/>
      <c r="FV115" s="19"/>
      <c r="FW115" s="19"/>
      <c r="FX115" s="19"/>
      <c r="FY115" s="19"/>
      <c r="FZ115" s="19"/>
      <c r="GA115" s="19"/>
      <c r="GB115" s="19"/>
      <c r="GC115" s="19"/>
      <c r="GD115" s="19"/>
      <c r="GE115" s="19"/>
      <c r="GF115" s="19"/>
      <c r="GG115" s="19"/>
      <c r="GH115" s="19"/>
      <c r="GI115" s="19"/>
      <c r="GJ115" s="19"/>
      <c r="GK115" s="19"/>
      <c r="GL115" s="19"/>
      <c r="GM115" s="19"/>
      <c r="GN115" s="19"/>
      <c r="GO115" s="19"/>
      <c r="GP115" s="19"/>
      <c r="GQ115" s="19"/>
      <c r="GR115" s="19"/>
      <c r="GS115" s="19"/>
      <c r="GT115" s="19"/>
      <c r="GU115" s="19"/>
      <c r="GV115" s="19"/>
      <c r="GW115" s="19"/>
      <c r="GX115" s="19"/>
      <c r="GY115" s="19"/>
      <c r="GZ115" s="19"/>
      <c r="HA115" s="19"/>
      <c r="HB115" s="19"/>
    </row>
    <row r="116" spans="1:210" x14ac:dyDescent="0.25">
      <c r="A116" s="113">
        <f t="shared" si="17"/>
        <v>14</v>
      </c>
      <c r="B116" s="163"/>
      <c r="C116" s="172" t="str">
        <f t="shared" ref="C116:C147" si="20">_xlfn.CONCAT("RTH at ",A116, " °C")</f>
        <v>RTH at 14 °C</v>
      </c>
      <c r="D116" s="196">
        <f t="shared" si="19"/>
        <v>1.4766666666666666</v>
      </c>
      <c r="E116" s="197">
        <v>15.06</v>
      </c>
      <c r="F116" s="198">
        <v>15.28</v>
      </c>
      <c r="G116" s="199">
        <v>15.5</v>
      </c>
      <c r="H116" s="128" t="s">
        <v>18</v>
      </c>
      <c r="I116" s="29"/>
      <c r="J116" s="29">
        <v>15.5</v>
      </c>
      <c r="K116" s="29">
        <v>15.28</v>
      </c>
      <c r="L116" s="29">
        <v>15.06</v>
      </c>
      <c r="M116" s="29"/>
      <c r="N116" s="29"/>
      <c r="O116" s="29"/>
      <c r="P116" s="29"/>
      <c r="Q116" s="29"/>
      <c r="R116" s="29"/>
      <c r="S116" s="29"/>
      <c r="T116" s="29"/>
      <c r="U116" s="29"/>
      <c r="V116" s="29"/>
      <c r="W116" s="29"/>
      <c r="X116" s="29"/>
      <c r="Y116" s="30"/>
      <c r="Z116" s="18"/>
      <c r="AA116" s="19"/>
      <c r="AB116" s="19"/>
      <c r="AC116" s="20">
        <f t="shared" ref="AC116:AC147" si="21">A116</f>
        <v>14</v>
      </c>
      <c r="AD116" s="20">
        <f t="shared" ref="AD116:AD147" si="22">E116</f>
        <v>15.06</v>
      </c>
      <c r="AE116" s="20">
        <f t="shared" ref="AE116:AE147" si="23">F116</f>
        <v>15.28</v>
      </c>
      <c r="AF116" s="20">
        <f t="shared" ref="AF116:AF147" si="24">G116</f>
        <v>15.5</v>
      </c>
      <c r="AG116" s="20">
        <f>Table9[[#This Row],[RTH(min) (kΩ)]]*RT2_TH_MIN/(RT2_TH_MIN+Table9[[#This Row],[RTH(min) (kΩ)]])</f>
        <v>10.079112165265794</v>
      </c>
      <c r="AH116" s="20">
        <f>Table9[[#This Row],[RTH(nom) (kΩ)]]*RT2_TH_S/(RT2_TH_S+Table9[[#This Row],[RTH(nom) (kΩ)]])</f>
        <v>10.180579277974362</v>
      </c>
      <c r="AI116" s="20">
        <f>Table9[[#This Row],[RTH(max) (kΩ)]]*RT2_TH_S_MAX/(RT2_TH_S_MAX+Table9[[#This Row],[RTH(max) (kΩ)]])</f>
        <v>10.281233680034354</v>
      </c>
      <c r="AJ116" s="20">
        <f>Table9[[#This Row],[RLower(min) (kΩ)]]/(Table9[[#This Row],[RLower(min) (kΩ)]]+RT1_TH_S_MAX)*100</f>
        <v>65.8019904096641</v>
      </c>
      <c r="AK116" s="20">
        <f>Table9[[#This Row],[RLower(nom) (kΩ)]]/(Table9[[#This Row],[RLower(nom) (kΩ)]]+RT1_TH_S)*100</f>
        <v>66.049455106139192</v>
      </c>
      <c r="AL116" s="20">
        <f>Table9[[#This Row],[RLower(max) (kΩ)]]/(Table9[[#This Row],[RLower(max) (kΩ)]]+RT1_TH_S_MIN)*100</f>
        <v>66.292082612142664</v>
      </c>
      <c r="AM116" s="20">
        <f>IF(Table9[[#This Row],[Vmin (%)]]&lt;$BA$14, 0, IF(Table9[[#This Row],[Vmin (%)]]&lt;$BA$12, 4, IF(Table9[[#This Row],[Vmin (%)]]&lt;$BA$9, 3, IF(Table9[[#This Row],[Vmin (%)]]&lt;$BA$7, 2, 0))))</f>
        <v>3</v>
      </c>
      <c r="AN116" s="20">
        <f>IF(Table9[[#This Row],[Vmin (%)]]&lt;$BA$13, 0, IF(Table9[[#This Row],[Vmin (%)]]&lt;$BA$11, 4, IF(Table9[[#This Row],[Vmin (%)]]&lt;$BA$10, 3, IF(Table9[[#This Row],[Vmin (%)]]&lt;$BA$8, 2, 0))))</f>
        <v>3</v>
      </c>
      <c r="AO116" s="76" t="str">
        <f>IF(Table9[[#This Row],[Vmin (%)]]&lt;$BA$14, "Hot", IF(Table9[[#This Row],[Vmin (%)]]&lt;$BA$12, "Warm", IF(Table9[[#This Row],[Vmin (%)]]&lt;$BA$9, "Normal", IF(Table9[[#This Row],[Vmin (%)]]&lt;$BA$7, "Cool", "Cold"))))</f>
        <v>Normal</v>
      </c>
      <c r="AP116" s="19"/>
      <c r="AQ116" s="19"/>
      <c r="AR116" s="19"/>
      <c r="AS116" s="19"/>
      <c r="AT116" s="19"/>
      <c r="AU116" s="19"/>
      <c r="AV116" s="19"/>
      <c r="AW116" s="19"/>
      <c r="AX116" s="19"/>
      <c r="AY116" s="19"/>
      <c r="AZ116" s="19"/>
      <c r="BA116" s="19"/>
      <c r="BB116" s="19"/>
      <c r="BC116" s="19"/>
      <c r="BD116" s="19"/>
      <c r="BE116" s="19"/>
      <c r="BF116" s="19"/>
      <c r="BG116" s="19"/>
      <c r="BH116" s="19"/>
      <c r="BI116" s="19"/>
      <c r="BJ116" s="19"/>
      <c r="BK116" s="19"/>
      <c r="BL116" s="19"/>
      <c r="BM116" s="19"/>
      <c r="BN116" s="19"/>
      <c r="BO116" s="19"/>
      <c r="BP116" s="19"/>
      <c r="BQ116" s="19"/>
      <c r="BR116" s="19"/>
      <c r="BS116" s="19"/>
      <c r="BT116" s="19"/>
      <c r="BU116" s="19"/>
      <c r="BV116" s="19"/>
      <c r="BW116" s="19"/>
      <c r="BX116" s="19"/>
      <c r="BY116" s="19"/>
      <c r="BZ116" s="19"/>
      <c r="CA116" s="19"/>
      <c r="CB116" s="19"/>
      <c r="CC116" s="19"/>
      <c r="CD116" s="19"/>
      <c r="CE116" s="19"/>
      <c r="CF116" s="19"/>
      <c r="CG116" s="19"/>
      <c r="CH116" s="19"/>
      <c r="CI116" s="19"/>
      <c r="CJ116" s="19"/>
      <c r="CK116" s="19"/>
      <c r="CL116" s="19"/>
      <c r="CM116" s="19"/>
      <c r="CN116" s="19"/>
      <c r="CO116" s="19"/>
      <c r="CP116" s="19"/>
      <c r="CQ116" s="19"/>
      <c r="CR116" s="19"/>
      <c r="CS116" s="19"/>
      <c r="CT116" s="19"/>
      <c r="CU116" s="19"/>
      <c r="CV116" s="19"/>
      <c r="CW116" s="19"/>
      <c r="CX116" s="19"/>
      <c r="CY116" s="19"/>
      <c r="CZ116" s="19"/>
      <c r="DA116" s="19"/>
      <c r="DB116" s="19"/>
      <c r="DC116" s="19"/>
      <c r="DD116" s="19"/>
      <c r="DE116" s="19"/>
      <c r="DF116" s="19"/>
      <c r="DG116" s="19"/>
      <c r="DH116" s="19"/>
      <c r="DI116" s="19"/>
      <c r="DJ116" s="19"/>
      <c r="DK116" s="19"/>
      <c r="DL116" s="19"/>
      <c r="DM116" s="19"/>
      <c r="DN116" s="19"/>
      <c r="DO116" s="19"/>
      <c r="DP116" s="19"/>
      <c r="DQ116" s="19"/>
      <c r="DR116" s="19"/>
      <c r="DS116" s="19"/>
      <c r="DT116" s="19"/>
      <c r="DU116" s="19"/>
      <c r="DV116" s="19"/>
      <c r="DW116" s="19"/>
      <c r="DX116" s="19"/>
      <c r="DY116" s="19"/>
      <c r="DZ116" s="19"/>
      <c r="EA116" s="19"/>
      <c r="EB116" s="19"/>
      <c r="EC116" s="19"/>
      <c r="ED116" s="19"/>
      <c r="EE116" s="19"/>
      <c r="EF116" s="19"/>
      <c r="EG116" s="19"/>
      <c r="EH116" s="19"/>
      <c r="EI116" s="19"/>
      <c r="EJ116" s="19"/>
      <c r="EK116" s="19"/>
      <c r="EL116" s="19"/>
      <c r="EM116" s="19"/>
      <c r="EN116" s="19"/>
      <c r="EO116" s="19"/>
      <c r="EP116" s="19"/>
      <c r="EQ116" s="19"/>
      <c r="ER116" s="19"/>
      <c r="ES116" s="19"/>
      <c r="ET116" s="19"/>
      <c r="EU116" s="19"/>
      <c r="EV116" s="19"/>
      <c r="EW116" s="19"/>
      <c r="EX116" s="19"/>
      <c r="EY116" s="19"/>
      <c r="EZ116" s="19"/>
      <c r="FA116" s="19"/>
      <c r="FB116" s="19"/>
      <c r="FC116" s="19"/>
      <c r="FD116" s="19"/>
      <c r="FE116" s="19"/>
      <c r="FF116" s="19"/>
      <c r="FG116" s="19"/>
      <c r="FH116" s="19"/>
      <c r="FI116" s="19"/>
      <c r="FJ116" s="19"/>
      <c r="FK116" s="19"/>
      <c r="FL116" s="19"/>
      <c r="FM116" s="19"/>
      <c r="FN116" s="19"/>
      <c r="FO116" s="19"/>
      <c r="FP116" s="19"/>
      <c r="FQ116" s="19"/>
      <c r="FR116" s="19"/>
      <c r="FS116" s="19"/>
      <c r="FT116" s="19"/>
      <c r="FU116" s="19"/>
      <c r="FV116" s="19"/>
      <c r="FW116" s="19"/>
      <c r="FX116" s="19"/>
      <c r="FY116" s="19"/>
      <c r="FZ116" s="19"/>
      <c r="GA116" s="19"/>
      <c r="GB116" s="19"/>
      <c r="GC116" s="19"/>
      <c r="GD116" s="19"/>
      <c r="GE116" s="19"/>
      <c r="GF116" s="19"/>
      <c r="GG116" s="19"/>
      <c r="GH116" s="19"/>
      <c r="GI116" s="19"/>
      <c r="GJ116" s="19"/>
      <c r="GK116" s="19"/>
      <c r="GL116" s="19"/>
      <c r="GM116" s="19"/>
      <c r="GN116" s="19"/>
      <c r="GO116" s="19"/>
      <c r="GP116" s="19"/>
      <c r="GQ116" s="19"/>
      <c r="GR116" s="19"/>
      <c r="GS116" s="19"/>
      <c r="GT116" s="19"/>
      <c r="GU116" s="19"/>
      <c r="GV116" s="19"/>
      <c r="GW116" s="19"/>
      <c r="GX116" s="19"/>
      <c r="GY116" s="19"/>
      <c r="GZ116" s="19"/>
      <c r="HA116" s="19"/>
      <c r="HB116" s="19"/>
    </row>
    <row r="117" spans="1:210" x14ac:dyDescent="0.25">
      <c r="A117" s="113">
        <f t="shared" si="17"/>
        <v>13</v>
      </c>
      <c r="B117" s="163"/>
      <c r="C117" s="172" t="str">
        <f t="shared" si="20"/>
        <v>RTH at 13 °C</v>
      </c>
      <c r="D117" s="196">
        <f t="shared" si="19"/>
        <v>1.52</v>
      </c>
      <c r="E117" s="197">
        <v>15.67</v>
      </c>
      <c r="F117" s="198">
        <v>15.9</v>
      </c>
      <c r="G117" s="199">
        <v>16.14</v>
      </c>
      <c r="H117" s="128" t="s">
        <v>18</v>
      </c>
      <c r="I117" s="29"/>
      <c r="J117" s="29">
        <v>16.14</v>
      </c>
      <c r="K117" s="29">
        <v>15.9</v>
      </c>
      <c r="L117" s="29">
        <v>15.67</v>
      </c>
      <c r="M117" s="29"/>
      <c r="N117" s="29"/>
      <c r="O117" s="29"/>
      <c r="P117" s="29"/>
      <c r="Q117" s="29"/>
      <c r="R117" s="29"/>
      <c r="S117" s="29"/>
      <c r="T117" s="29"/>
      <c r="U117" s="29"/>
      <c r="V117" s="29"/>
      <c r="W117" s="29"/>
      <c r="X117" s="29"/>
      <c r="Y117" s="30"/>
      <c r="Z117" s="18"/>
      <c r="AA117" s="19"/>
      <c r="AB117" s="19"/>
      <c r="AC117" s="20">
        <f t="shared" si="21"/>
        <v>13</v>
      </c>
      <c r="AD117" s="20">
        <f t="shared" si="22"/>
        <v>15.67</v>
      </c>
      <c r="AE117" s="20">
        <f t="shared" si="23"/>
        <v>15.9</v>
      </c>
      <c r="AF117" s="20">
        <f t="shared" si="24"/>
        <v>16.14</v>
      </c>
      <c r="AG117" s="20">
        <f>Table9[[#This Row],[RTH(min) (kΩ)]]*RT2_TH_MIN/(RT2_TH_MIN+Table9[[#This Row],[RTH(min) (kΩ)]])</f>
        <v>10.348727822959214</v>
      </c>
      <c r="AH117" s="20">
        <f>Table9[[#This Row],[RTH(nom) (kΩ)]]*RT2_TH_S/(RT2_TH_S+Table9[[#This Row],[RTH(nom) (kΩ)]])</f>
        <v>10.452128422065087</v>
      </c>
      <c r="AI117" s="20">
        <f>Table9[[#This Row],[RTH(max) (kΩ)]]*RT2_TH_S_MAX/(RT2_TH_S_MAX+Table9[[#This Row],[RTH(max) (kΩ)]])</f>
        <v>10.558956112517928</v>
      </c>
      <c r="AJ117" s="20">
        <f>Table9[[#This Row],[RLower(min) (kΩ)]]/(Table9[[#This Row],[RLower(min) (kΩ)]]+RT1_TH_S_MAX)*100</f>
        <v>66.393531261950102</v>
      </c>
      <c r="AK117" s="20">
        <f>Table9[[#This Row],[RLower(nom) (kΩ)]]/(Table9[[#This Row],[RLower(nom) (kΩ)]]+RT1_TH_S)*100</f>
        <v>66.637225021877228</v>
      </c>
      <c r="AL117" s="20">
        <f>Table9[[#This Row],[RLower(max) (kΩ)]]/(Table9[[#This Row],[RLower(max) (kΩ)]]+RT1_TH_S_MIN)*100</f>
        <v>66.885077750451885</v>
      </c>
      <c r="AM117" s="20">
        <f>IF(Table9[[#This Row],[Vmin (%)]]&lt;$BA$14, 0, IF(Table9[[#This Row],[Vmin (%)]]&lt;$BA$12, 4, IF(Table9[[#This Row],[Vmin (%)]]&lt;$BA$9, 3, IF(Table9[[#This Row],[Vmin (%)]]&lt;$BA$7, 2, 0))))</f>
        <v>3</v>
      </c>
      <c r="AN117" s="20">
        <f>IF(Table9[[#This Row],[Vmin (%)]]&lt;$BA$13, 0, IF(Table9[[#This Row],[Vmin (%)]]&lt;$BA$11, 4, IF(Table9[[#This Row],[Vmin (%)]]&lt;$BA$10, 3, IF(Table9[[#This Row],[Vmin (%)]]&lt;$BA$8, 2, 0))))</f>
        <v>3</v>
      </c>
      <c r="AO117" s="76" t="str">
        <f>IF(Table9[[#This Row],[Vmin (%)]]&lt;$BA$14, "Hot", IF(Table9[[#This Row],[Vmin (%)]]&lt;$BA$12, "Warm", IF(Table9[[#This Row],[Vmin (%)]]&lt;$BA$9, "Normal", IF(Table9[[#This Row],[Vmin (%)]]&lt;$BA$7, "Cool", "Cold"))))</f>
        <v>Normal</v>
      </c>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c r="BP117" s="19"/>
      <c r="BQ117" s="19"/>
      <c r="BR117" s="19"/>
      <c r="BS117" s="19"/>
      <c r="BT117" s="19"/>
      <c r="BU117" s="19"/>
      <c r="BV117" s="19"/>
      <c r="BW117" s="19"/>
      <c r="BX117" s="19"/>
      <c r="BY117" s="19"/>
      <c r="BZ117" s="19"/>
      <c r="CA117" s="19"/>
      <c r="CB117" s="19"/>
      <c r="CC117" s="19"/>
      <c r="CD117" s="19"/>
      <c r="CE117" s="19"/>
      <c r="CF117" s="19"/>
      <c r="CG117" s="19"/>
      <c r="CH117" s="19"/>
      <c r="CI117" s="19"/>
      <c r="CJ117" s="19"/>
      <c r="CK117" s="19"/>
      <c r="CL117" s="19"/>
      <c r="CM117" s="19"/>
      <c r="CN117" s="19"/>
      <c r="CO117" s="19"/>
      <c r="CP117" s="19"/>
      <c r="CQ117" s="19"/>
      <c r="CR117" s="19"/>
      <c r="CS117" s="19"/>
      <c r="CT117" s="19"/>
      <c r="CU117" s="19"/>
      <c r="CV117" s="19"/>
      <c r="CW117" s="19"/>
      <c r="CX117" s="19"/>
      <c r="CY117" s="19"/>
      <c r="CZ117" s="19"/>
      <c r="DA117" s="19"/>
      <c r="DB117" s="19"/>
      <c r="DC117" s="19"/>
      <c r="DD117" s="19"/>
      <c r="DE117" s="19"/>
      <c r="DF117" s="19"/>
      <c r="DG117" s="19"/>
      <c r="DH117" s="19"/>
      <c r="DI117" s="19"/>
      <c r="DJ117" s="19"/>
      <c r="DK117" s="19"/>
      <c r="DL117" s="19"/>
      <c r="DM117" s="19"/>
      <c r="DN117" s="19"/>
      <c r="DO117" s="19"/>
      <c r="DP117" s="19"/>
      <c r="DQ117" s="19"/>
      <c r="DR117" s="19"/>
      <c r="DS117" s="19"/>
      <c r="DT117" s="19"/>
      <c r="DU117" s="19"/>
      <c r="DV117" s="19"/>
      <c r="DW117" s="19"/>
      <c r="DX117" s="19"/>
      <c r="DY117" s="19"/>
      <c r="DZ117" s="19"/>
      <c r="EA117" s="19"/>
      <c r="EB117" s="19"/>
      <c r="EC117" s="19"/>
      <c r="ED117" s="19"/>
      <c r="EE117" s="19"/>
      <c r="EF117" s="19"/>
      <c r="EG117" s="19"/>
      <c r="EH117" s="19"/>
      <c r="EI117" s="19"/>
      <c r="EJ117" s="19"/>
      <c r="EK117" s="19"/>
      <c r="EL117" s="19"/>
      <c r="EM117" s="19"/>
      <c r="EN117" s="19"/>
      <c r="EO117" s="19"/>
      <c r="EP117" s="19"/>
      <c r="EQ117" s="19"/>
      <c r="ER117" s="19"/>
      <c r="ES117" s="19"/>
      <c r="ET117" s="19"/>
      <c r="EU117" s="19"/>
      <c r="EV117" s="19"/>
      <c r="EW117" s="19"/>
      <c r="EX117" s="19"/>
      <c r="EY117" s="19"/>
      <c r="EZ117" s="19"/>
      <c r="FA117" s="19"/>
      <c r="FB117" s="19"/>
      <c r="FC117" s="19"/>
      <c r="FD117" s="19"/>
      <c r="FE117" s="19"/>
      <c r="FF117" s="19"/>
      <c r="FG117" s="19"/>
      <c r="FH117" s="19"/>
      <c r="FI117" s="19"/>
      <c r="FJ117" s="19"/>
      <c r="FK117" s="19"/>
      <c r="FL117" s="19"/>
      <c r="FM117" s="19"/>
      <c r="FN117" s="19"/>
      <c r="FO117" s="19"/>
      <c r="FP117" s="19"/>
      <c r="FQ117" s="19"/>
      <c r="FR117" s="19"/>
      <c r="FS117" s="19"/>
      <c r="FT117" s="19"/>
      <c r="FU117" s="19"/>
      <c r="FV117" s="19"/>
      <c r="FW117" s="19"/>
      <c r="FX117" s="19"/>
      <c r="FY117" s="19"/>
      <c r="FZ117" s="19"/>
      <c r="GA117" s="19"/>
      <c r="GB117" s="19"/>
      <c r="GC117" s="19"/>
      <c r="GD117" s="19"/>
      <c r="GE117" s="19"/>
      <c r="GF117" s="19"/>
      <c r="GG117" s="19"/>
      <c r="GH117" s="19"/>
      <c r="GI117" s="19"/>
      <c r="GJ117" s="19"/>
      <c r="GK117" s="19"/>
      <c r="GL117" s="19"/>
      <c r="GM117" s="19"/>
      <c r="GN117" s="19"/>
      <c r="GO117" s="19"/>
      <c r="GP117" s="19"/>
      <c r="GQ117" s="19"/>
      <c r="GR117" s="19"/>
      <c r="GS117" s="19"/>
      <c r="GT117" s="19"/>
      <c r="GU117" s="19"/>
      <c r="GV117" s="19"/>
      <c r="GW117" s="19"/>
      <c r="GX117" s="19"/>
      <c r="GY117" s="19"/>
      <c r="GZ117" s="19"/>
      <c r="HA117" s="19"/>
      <c r="HB117" s="19"/>
    </row>
    <row r="118" spans="1:210" x14ac:dyDescent="0.25">
      <c r="A118" s="113">
        <f t="shared" si="17"/>
        <v>12</v>
      </c>
      <c r="B118" s="163"/>
      <c r="C118" s="172" t="str">
        <f t="shared" si="20"/>
        <v>RTH at 12 °C</v>
      </c>
      <c r="D118" s="196">
        <f t="shared" si="19"/>
        <v>1.5633333333333335</v>
      </c>
      <c r="E118" s="197">
        <v>16.3</v>
      </c>
      <c r="F118" s="198">
        <v>16.559999999999999</v>
      </c>
      <c r="G118" s="199">
        <v>16.809999999999999</v>
      </c>
      <c r="H118" s="128" t="s">
        <v>18</v>
      </c>
      <c r="I118" s="29"/>
      <c r="J118" s="29">
        <v>16.809999999999999</v>
      </c>
      <c r="K118" s="29">
        <v>16.559999999999999</v>
      </c>
      <c r="L118" s="29">
        <v>16.3</v>
      </c>
      <c r="M118" s="29"/>
      <c r="N118" s="29"/>
      <c r="O118" s="29"/>
      <c r="P118" s="29"/>
      <c r="Q118" s="29"/>
      <c r="R118" s="29"/>
      <c r="S118" s="29"/>
      <c r="T118" s="29"/>
      <c r="U118" s="29"/>
      <c r="V118" s="29"/>
      <c r="W118" s="29"/>
      <c r="X118" s="29"/>
      <c r="Y118" s="30"/>
      <c r="Z118" s="18"/>
      <c r="AA118" s="19"/>
      <c r="AB118" s="19"/>
      <c r="AC118" s="20">
        <f t="shared" si="21"/>
        <v>12</v>
      </c>
      <c r="AD118" s="20">
        <f t="shared" si="22"/>
        <v>16.3</v>
      </c>
      <c r="AE118" s="20">
        <f t="shared" si="23"/>
        <v>16.559999999999999</v>
      </c>
      <c r="AF118" s="20">
        <f t="shared" si="24"/>
        <v>16.809999999999999</v>
      </c>
      <c r="AG118" s="20">
        <f>Table9[[#This Row],[RTH(min) (kΩ)]]*RT2_TH_MIN/(RT2_TH_MIN+Table9[[#This Row],[RTH(min) (kΩ)]])</f>
        <v>10.619801478098541</v>
      </c>
      <c r="AH118" s="20">
        <f>Table9[[#This Row],[RTH(nom) (kΩ)]]*RT2_TH_S/(RT2_TH_S+Table9[[#This Row],[RTH(nom) (kΩ)]])</f>
        <v>10.733335282531568</v>
      </c>
      <c r="AI118" s="20">
        <f>Table9[[#This Row],[RTH(max) (kΩ)]]*RT2_TH_S_MAX/(RT2_TH_S_MAX+Table9[[#This Row],[RTH(max) (kΩ)]])</f>
        <v>10.841652344878064</v>
      </c>
      <c r="AJ118" s="20">
        <f>Table9[[#This Row],[RLower(min) (kΩ)]]/(Table9[[#This Row],[RLower(min) (kΩ)]]+RT1_TH_S_MAX)*100</f>
        <v>66.967992959623416</v>
      </c>
      <c r="AK118" s="20">
        <f>Table9[[#This Row],[RLower(nom) (kΩ)]]/(Table9[[#This Row],[RLower(nom) (kΩ)]]+RT1_TH_S)*100</f>
        <v>67.224826762926654</v>
      </c>
      <c r="AL118" s="20">
        <f>Table9[[#This Row],[RLower(max) (kΩ)]]/(Table9[[#This Row],[RLower(max) (kΩ)]]+RT1_TH_S_MIN)*100</f>
        <v>67.467641980454459</v>
      </c>
      <c r="AM118" s="20">
        <f>IF(Table9[[#This Row],[Vmin (%)]]&lt;$BA$14, 0, IF(Table9[[#This Row],[Vmin (%)]]&lt;$BA$12, 4, IF(Table9[[#This Row],[Vmin (%)]]&lt;$BA$9, 3, IF(Table9[[#This Row],[Vmin (%)]]&lt;$BA$7, 2, 0))))</f>
        <v>3</v>
      </c>
      <c r="AN118" s="20">
        <f>IF(Table9[[#This Row],[Vmin (%)]]&lt;$BA$13, 0, IF(Table9[[#This Row],[Vmin (%)]]&lt;$BA$11, 4, IF(Table9[[#This Row],[Vmin (%)]]&lt;$BA$10, 3, IF(Table9[[#This Row],[Vmin (%)]]&lt;$BA$8, 2, 0))))</f>
        <v>3</v>
      </c>
      <c r="AO118" s="76" t="str">
        <f>IF(Table9[[#This Row],[Vmin (%)]]&lt;$BA$14, "Hot", IF(Table9[[#This Row],[Vmin (%)]]&lt;$BA$12, "Warm", IF(Table9[[#This Row],[Vmin (%)]]&lt;$BA$9, "Normal", IF(Table9[[#This Row],[Vmin (%)]]&lt;$BA$7, "Cool", "Cold"))))</f>
        <v>Normal</v>
      </c>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c r="BP118" s="19"/>
      <c r="BQ118" s="19"/>
      <c r="BR118" s="19"/>
      <c r="BS118" s="19"/>
      <c r="BT118" s="19"/>
      <c r="BU118" s="19"/>
      <c r="BV118" s="19"/>
      <c r="BW118" s="19"/>
      <c r="BX118" s="19"/>
      <c r="BY118" s="19"/>
      <c r="BZ118" s="19"/>
      <c r="CA118" s="19"/>
      <c r="CB118" s="19"/>
      <c r="CC118" s="19"/>
      <c r="CD118" s="19"/>
      <c r="CE118" s="19"/>
      <c r="CF118" s="19"/>
      <c r="CG118" s="19"/>
      <c r="CH118" s="19"/>
      <c r="CI118" s="19"/>
      <c r="CJ118" s="19"/>
      <c r="CK118" s="19"/>
      <c r="CL118" s="19"/>
      <c r="CM118" s="19"/>
      <c r="CN118" s="19"/>
      <c r="CO118" s="19"/>
      <c r="CP118" s="19"/>
      <c r="CQ118" s="19"/>
      <c r="CR118" s="19"/>
      <c r="CS118" s="19"/>
      <c r="CT118" s="19"/>
      <c r="CU118" s="19"/>
      <c r="CV118" s="19"/>
      <c r="CW118" s="19"/>
      <c r="CX118" s="19"/>
      <c r="CY118" s="19"/>
      <c r="CZ118" s="19"/>
      <c r="DA118" s="19"/>
      <c r="DB118" s="19"/>
      <c r="DC118" s="19"/>
      <c r="DD118" s="19"/>
      <c r="DE118" s="19"/>
      <c r="DF118" s="19"/>
      <c r="DG118" s="19"/>
      <c r="DH118" s="19"/>
      <c r="DI118" s="19"/>
      <c r="DJ118" s="19"/>
      <c r="DK118" s="19"/>
      <c r="DL118" s="19"/>
      <c r="DM118" s="19"/>
      <c r="DN118" s="19"/>
      <c r="DO118" s="19"/>
      <c r="DP118" s="19"/>
      <c r="DQ118" s="19"/>
      <c r="DR118" s="19"/>
      <c r="DS118" s="19"/>
      <c r="DT118" s="19"/>
      <c r="DU118" s="19"/>
      <c r="DV118" s="19"/>
      <c r="DW118" s="19"/>
      <c r="DX118" s="19"/>
      <c r="DY118" s="19"/>
      <c r="DZ118" s="19"/>
      <c r="EA118" s="19"/>
      <c r="EB118" s="19"/>
      <c r="EC118" s="19"/>
      <c r="ED118" s="19"/>
      <c r="EE118" s="19"/>
      <c r="EF118" s="19"/>
      <c r="EG118" s="19"/>
      <c r="EH118" s="19"/>
      <c r="EI118" s="19"/>
      <c r="EJ118" s="19"/>
      <c r="EK118" s="19"/>
      <c r="EL118" s="19"/>
      <c r="EM118" s="19"/>
      <c r="EN118" s="19"/>
      <c r="EO118" s="19"/>
      <c r="EP118" s="19"/>
      <c r="EQ118" s="19"/>
      <c r="ER118" s="19"/>
      <c r="ES118" s="19"/>
      <c r="ET118" s="19"/>
      <c r="EU118" s="19"/>
      <c r="EV118" s="19"/>
      <c r="EW118" s="19"/>
      <c r="EX118" s="19"/>
      <c r="EY118" s="19"/>
      <c r="EZ118" s="19"/>
      <c r="FA118" s="19"/>
      <c r="FB118" s="19"/>
      <c r="FC118" s="19"/>
      <c r="FD118" s="19"/>
      <c r="FE118" s="19"/>
      <c r="FF118" s="19"/>
      <c r="FG118" s="19"/>
      <c r="FH118" s="19"/>
      <c r="FI118" s="19"/>
      <c r="FJ118" s="19"/>
      <c r="FK118" s="19"/>
      <c r="FL118" s="19"/>
      <c r="FM118" s="19"/>
      <c r="FN118" s="19"/>
      <c r="FO118" s="19"/>
      <c r="FP118" s="19"/>
      <c r="FQ118" s="19"/>
      <c r="FR118" s="19"/>
      <c r="FS118" s="19"/>
      <c r="FT118" s="19"/>
      <c r="FU118" s="19"/>
      <c r="FV118" s="19"/>
      <c r="FW118" s="19"/>
      <c r="FX118" s="19"/>
      <c r="FY118" s="19"/>
      <c r="FZ118" s="19"/>
      <c r="GA118" s="19"/>
      <c r="GB118" s="19"/>
      <c r="GC118" s="19"/>
      <c r="GD118" s="19"/>
      <c r="GE118" s="19"/>
      <c r="GF118" s="19"/>
      <c r="GG118" s="19"/>
      <c r="GH118" s="19"/>
      <c r="GI118" s="19"/>
      <c r="GJ118" s="19"/>
      <c r="GK118" s="19"/>
      <c r="GL118" s="19"/>
      <c r="GM118" s="19"/>
      <c r="GN118" s="19"/>
      <c r="GO118" s="19"/>
      <c r="GP118" s="19"/>
      <c r="GQ118" s="19"/>
      <c r="GR118" s="19"/>
      <c r="GS118" s="19"/>
      <c r="GT118" s="19"/>
      <c r="GU118" s="19"/>
      <c r="GV118" s="19"/>
      <c r="GW118" s="19"/>
      <c r="GX118" s="19"/>
      <c r="GY118" s="19"/>
      <c r="GZ118" s="19"/>
      <c r="HA118" s="19"/>
      <c r="HB118" s="19"/>
    </row>
    <row r="119" spans="1:210" x14ac:dyDescent="0.25">
      <c r="A119" s="113">
        <f t="shared" si="17"/>
        <v>11</v>
      </c>
      <c r="B119" s="163"/>
      <c r="C119" s="172" t="str">
        <f t="shared" si="20"/>
        <v>RTH at 11 °C</v>
      </c>
      <c r="D119" s="196">
        <f t="shared" si="19"/>
        <v>1.6066666666666667</v>
      </c>
      <c r="E119" s="197">
        <v>16.97</v>
      </c>
      <c r="F119" s="198">
        <v>17.239999999999998</v>
      </c>
      <c r="G119" s="199">
        <v>17.510000000000002</v>
      </c>
      <c r="H119" s="128" t="s">
        <v>18</v>
      </c>
      <c r="I119" s="29"/>
      <c r="J119" s="29">
        <v>17.510000000000002</v>
      </c>
      <c r="K119" s="29">
        <v>17.239999999999998</v>
      </c>
      <c r="L119" s="29">
        <v>16.97</v>
      </c>
      <c r="M119" s="29"/>
      <c r="N119" s="29"/>
      <c r="O119" s="29"/>
      <c r="P119" s="29"/>
      <c r="Q119" s="29"/>
      <c r="R119" s="29"/>
      <c r="S119" s="29"/>
      <c r="T119" s="29"/>
      <c r="U119" s="29"/>
      <c r="V119" s="29"/>
      <c r="W119" s="29"/>
      <c r="X119" s="29"/>
      <c r="Y119" s="30"/>
      <c r="Z119" s="18"/>
      <c r="AA119" s="19"/>
      <c r="AB119" s="19"/>
      <c r="AC119" s="20">
        <f t="shared" si="21"/>
        <v>11</v>
      </c>
      <c r="AD119" s="20">
        <f t="shared" si="22"/>
        <v>16.97</v>
      </c>
      <c r="AE119" s="20">
        <f t="shared" si="23"/>
        <v>17.239999999999998</v>
      </c>
      <c r="AF119" s="20">
        <f t="shared" si="24"/>
        <v>17.510000000000002</v>
      </c>
      <c r="AG119" s="20">
        <f>Table9[[#This Row],[RTH(min) (kΩ)]]*RT2_TH_MIN/(RT2_TH_MIN+Table9[[#This Row],[RTH(min) (kΩ)]])</f>
        <v>10.90018707848286</v>
      </c>
      <c r="AH119" s="20">
        <f>Table9[[#This Row],[RTH(nom) (kΩ)]]*RT2_TH_S/(RT2_TH_S+Table9[[#This Row],[RTH(nom) (kΩ)]])</f>
        <v>11.014932164374109</v>
      </c>
      <c r="AI119" s="20">
        <f>Table9[[#This Row],[RTH(max) (kΩ)]]*RT2_TH_S_MAX/(RT2_TH_S_MAX+Table9[[#This Row],[RTH(max) (kΩ)]])</f>
        <v>11.128584747387871</v>
      </c>
      <c r="AJ119" s="20">
        <f>Table9[[#This Row],[RLower(min) (kΩ)]]/(Table9[[#This Row],[RLower(min) (kΩ)]]+RT1_TH_S_MAX)*100</f>
        <v>67.541884590075711</v>
      </c>
      <c r="AK119" s="20">
        <f>Table9[[#This Row],[RLower(nom) (kΩ)]]/(Table9[[#This Row],[RLower(nom) (kΩ)]]+RT1_TH_S)*100</f>
        <v>67.792861607050597</v>
      </c>
      <c r="AL119" s="20">
        <f>Table9[[#This Row],[RLower(max) (kΩ)]]/(Table9[[#This Row],[RLower(max) (kΩ)]]+RT1_TH_S_MIN)*100</f>
        <v>68.038343371418421</v>
      </c>
      <c r="AM119" s="20">
        <f>IF(Table9[[#This Row],[Vmin (%)]]&lt;$BA$14, 0, IF(Table9[[#This Row],[Vmin (%)]]&lt;$BA$12, 4, IF(Table9[[#This Row],[Vmin (%)]]&lt;$BA$9, 3, IF(Table9[[#This Row],[Vmin (%)]]&lt;$BA$7, 2, 0))))</f>
        <v>3</v>
      </c>
      <c r="AN119" s="20">
        <f>IF(Table9[[#This Row],[Vmin (%)]]&lt;$BA$13, 0, IF(Table9[[#This Row],[Vmin (%)]]&lt;$BA$11, 4, IF(Table9[[#This Row],[Vmin (%)]]&lt;$BA$10, 3, IF(Table9[[#This Row],[Vmin (%)]]&lt;$BA$8, 2, 0))))</f>
        <v>3</v>
      </c>
      <c r="AO119" s="76" t="str">
        <f>IF(Table9[[#This Row],[Vmin (%)]]&lt;$BA$14, "Hot", IF(Table9[[#This Row],[Vmin (%)]]&lt;$BA$12, "Warm", IF(Table9[[#This Row],[Vmin (%)]]&lt;$BA$9, "Normal", IF(Table9[[#This Row],[Vmin (%)]]&lt;$BA$7, "Cool", "Cold"))))</f>
        <v>Normal</v>
      </c>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c r="BP119" s="19"/>
      <c r="BQ119" s="19"/>
      <c r="BR119" s="19"/>
      <c r="BS119" s="19"/>
      <c r="BT119" s="19"/>
      <c r="BU119" s="19"/>
      <c r="BV119" s="19"/>
      <c r="BW119" s="19"/>
      <c r="BX119" s="19"/>
      <c r="BY119" s="19"/>
      <c r="BZ119" s="19"/>
      <c r="CA119" s="19"/>
      <c r="CB119" s="19"/>
      <c r="CC119" s="19"/>
      <c r="CD119" s="19"/>
      <c r="CE119" s="19"/>
      <c r="CF119" s="19"/>
      <c r="CG119" s="19"/>
      <c r="CH119" s="19"/>
      <c r="CI119" s="19"/>
      <c r="CJ119" s="19"/>
      <c r="CK119" s="19"/>
      <c r="CL119" s="19"/>
      <c r="CM119" s="19"/>
      <c r="CN119" s="19"/>
      <c r="CO119" s="19"/>
      <c r="CP119" s="19"/>
      <c r="CQ119" s="19"/>
      <c r="CR119" s="19"/>
      <c r="CS119" s="19"/>
      <c r="CT119" s="19"/>
      <c r="CU119" s="19"/>
      <c r="CV119" s="19"/>
      <c r="CW119" s="19"/>
      <c r="CX119" s="19"/>
      <c r="CY119" s="19"/>
      <c r="CZ119" s="19"/>
      <c r="DA119" s="19"/>
      <c r="DB119" s="19"/>
      <c r="DC119" s="19"/>
      <c r="DD119" s="19"/>
      <c r="DE119" s="19"/>
      <c r="DF119" s="19"/>
      <c r="DG119" s="19"/>
      <c r="DH119" s="19"/>
      <c r="DI119" s="19"/>
      <c r="DJ119" s="19"/>
      <c r="DK119" s="19"/>
      <c r="DL119" s="19"/>
      <c r="DM119" s="19"/>
      <c r="DN119" s="19"/>
      <c r="DO119" s="19"/>
      <c r="DP119" s="19"/>
      <c r="DQ119" s="19"/>
      <c r="DR119" s="19"/>
      <c r="DS119" s="19"/>
      <c r="DT119" s="19"/>
      <c r="DU119" s="19"/>
      <c r="DV119" s="19"/>
      <c r="DW119" s="19"/>
      <c r="DX119" s="19"/>
      <c r="DY119" s="19"/>
      <c r="DZ119" s="19"/>
      <c r="EA119" s="19"/>
      <c r="EB119" s="19"/>
      <c r="EC119" s="19"/>
      <c r="ED119" s="19"/>
      <c r="EE119" s="19"/>
      <c r="EF119" s="19"/>
      <c r="EG119" s="19"/>
      <c r="EH119" s="19"/>
      <c r="EI119" s="19"/>
      <c r="EJ119" s="19"/>
      <c r="EK119" s="19"/>
      <c r="EL119" s="19"/>
      <c r="EM119" s="19"/>
      <c r="EN119" s="19"/>
      <c r="EO119" s="19"/>
      <c r="EP119" s="19"/>
      <c r="EQ119" s="19"/>
      <c r="ER119" s="19"/>
      <c r="ES119" s="19"/>
      <c r="ET119" s="19"/>
      <c r="EU119" s="19"/>
      <c r="EV119" s="19"/>
      <c r="EW119" s="19"/>
      <c r="EX119" s="19"/>
      <c r="EY119" s="19"/>
      <c r="EZ119" s="19"/>
      <c r="FA119" s="19"/>
      <c r="FB119" s="19"/>
      <c r="FC119" s="19"/>
      <c r="FD119" s="19"/>
      <c r="FE119" s="19"/>
      <c r="FF119" s="19"/>
      <c r="FG119" s="19"/>
      <c r="FH119" s="19"/>
      <c r="FI119" s="19"/>
      <c r="FJ119" s="19"/>
      <c r="FK119" s="19"/>
      <c r="FL119" s="19"/>
      <c r="FM119" s="19"/>
      <c r="FN119" s="19"/>
      <c r="FO119" s="19"/>
      <c r="FP119" s="19"/>
      <c r="FQ119" s="19"/>
      <c r="FR119" s="19"/>
      <c r="FS119" s="19"/>
      <c r="FT119" s="19"/>
      <c r="FU119" s="19"/>
      <c r="FV119" s="19"/>
      <c r="FW119" s="19"/>
      <c r="FX119" s="19"/>
      <c r="FY119" s="19"/>
      <c r="FZ119" s="19"/>
      <c r="GA119" s="19"/>
      <c r="GB119" s="19"/>
      <c r="GC119" s="19"/>
      <c r="GD119" s="19"/>
      <c r="GE119" s="19"/>
      <c r="GF119" s="19"/>
      <c r="GG119" s="19"/>
      <c r="GH119" s="19"/>
      <c r="GI119" s="19"/>
      <c r="GJ119" s="19"/>
      <c r="GK119" s="19"/>
      <c r="GL119" s="19"/>
      <c r="GM119" s="19"/>
      <c r="GN119" s="19"/>
      <c r="GO119" s="19"/>
      <c r="GP119" s="19"/>
      <c r="GQ119" s="19"/>
      <c r="GR119" s="19"/>
      <c r="GS119" s="19"/>
      <c r="GT119" s="19"/>
      <c r="GU119" s="19"/>
      <c r="GV119" s="19"/>
      <c r="GW119" s="19"/>
      <c r="GX119" s="19"/>
      <c r="GY119" s="19"/>
      <c r="GZ119" s="19"/>
      <c r="HA119" s="19"/>
      <c r="HB119" s="19"/>
    </row>
    <row r="120" spans="1:210" x14ac:dyDescent="0.25">
      <c r="A120" s="113">
        <f t="shared" si="17"/>
        <v>10</v>
      </c>
      <c r="B120" s="163"/>
      <c r="C120" s="172" t="str">
        <f t="shared" si="20"/>
        <v>RTH at 10 °C</v>
      </c>
      <c r="D120" s="196">
        <f t="shared" si="19"/>
        <v>1.65</v>
      </c>
      <c r="E120" s="197">
        <v>17.670000000000002</v>
      </c>
      <c r="F120" s="198">
        <v>17.96</v>
      </c>
      <c r="G120" s="199">
        <v>18.25</v>
      </c>
      <c r="H120" s="128" t="s">
        <v>18</v>
      </c>
      <c r="I120" s="29"/>
      <c r="J120" s="29">
        <v>18.25</v>
      </c>
      <c r="K120" s="29">
        <v>17.96</v>
      </c>
      <c r="L120" s="29">
        <v>17.670000000000002</v>
      </c>
      <c r="M120" s="29"/>
      <c r="N120" s="29"/>
      <c r="O120" s="29"/>
      <c r="P120" s="29"/>
      <c r="Q120" s="29"/>
      <c r="R120" s="29"/>
      <c r="S120" s="29"/>
      <c r="T120" s="29"/>
      <c r="U120" s="29"/>
      <c r="V120" s="29"/>
      <c r="W120" s="29"/>
      <c r="X120" s="29"/>
      <c r="Y120" s="30"/>
      <c r="Z120" s="18"/>
      <c r="AA120" s="19"/>
      <c r="AB120" s="19"/>
      <c r="AC120" s="20">
        <f t="shared" si="21"/>
        <v>10</v>
      </c>
      <c r="AD120" s="20">
        <f t="shared" si="22"/>
        <v>17.670000000000002</v>
      </c>
      <c r="AE120" s="20">
        <f t="shared" si="23"/>
        <v>17.96</v>
      </c>
      <c r="AF120" s="20">
        <f t="shared" si="24"/>
        <v>18.25</v>
      </c>
      <c r="AG120" s="20">
        <f>Table9[[#This Row],[RTH(min) (kΩ)]]*RT2_TH_MIN/(RT2_TH_MIN+Table9[[#This Row],[RTH(min) (kΩ)]])</f>
        <v>11.184791398959611</v>
      </c>
      <c r="AH120" s="20">
        <f>Table9[[#This Row],[RTH(nom) (kΩ)]]*RT2_TH_S/(RT2_TH_S+Table9[[#This Row],[RTH(nom) (kΩ)]])</f>
        <v>11.304480681772615</v>
      </c>
      <c r="AI120" s="20">
        <f>Table9[[#This Row],[RTH(max) (kΩ)]]*RT2_TH_S_MAX/(RT2_TH_S_MAX+Table9[[#This Row],[RTH(max) (kΩ)]])</f>
        <v>11.422960000798708</v>
      </c>
      <c r="AJ120" s="20">
        <f>Table9[[#This Row],[RLower(min) (kΩ)]]/(Table9[[#This Row],[RLower(min) (kΩ)]]+RT1_TH_S_MAX)*100</f>
        <v>68.104370807021056</v>
      </c>
      <c r="AK120" s="20">
        <f>Table9[[#This Row],[RLower(nom) (kΩ)]]/(Table9[[#This Row],[RLower(nom) (kΩ)]]+RT1_TH_S)*100</f>
        <v>68.356764558359401</v>
      </c>
      <c r="AL120" s="20">
        <f>Table9[[#This Row],[RLower(max) (kΩ)]]/(Table9[[#This Row],[RLower(max) (kΩ)]]+RT1_TH_S_MIN)*100</f>
        <v>68.603407333288118</v>
      </c>
      <c r="AM120" s="20">
        <f>IF(Table9[[#This Row],[Vmin (%)]]&lt;$BA$14, 0, IF(Table9[[#This Row],[Vmin (%)]]&lt;$BA$12, 4, IF(Table9[[#This Row],[Vmin (%)]]&lt;$BA$9, 3, IF(Table9[[#This Row],[Vmin (%)]]&lt;$BA$7, 2, 0))))</f>
        <v>3</v>
      </c>
      <c r="AN120" s="20">
        <f>IF(Table9[[#This Row],[Vmin (%)]]&lt;$BA$13, 0, IF(Table9[[#This Row],[Vmin (%)]]&lt;$BA$11, 4, IF(Table9[[#This Row],[Vmin (%)]]&lt;$BA$10, 3, IF(Table9[[#This Row],[Vmin (%)]]&lt;$BA$8, 2, 0))))</f>
        <v>3</v>
      </c>
      <c r="AO120" s="76" t="str">
        <f>IF(Table9[[#This Row],[Vmin (%)]]&lt;$BA$14, "Hot", IF(Table9[[#This Row],[Vmin (%)]]&lt;$BA$12, "Warm", IF(Table9[[#This Row],[Vmin (%)]]&lt;$BA$9, "Normal", IF(Table9[[#This Row],[Vmin (%)]]&lt;$BA$7, "Cool", "Cold"))))</f>
        <v>Normal</v>
      </c>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c r="BP120" s="19"/>
      <c r="BQ120" s="19"/>
      <c r="BR120" s="19"/>
      <c r="BS120" s="19"/>
      <c r="BT120" s="19"/>
      <c r="BU120" s="19"/>
      <c r="BV120" s="19"/>
      <c r="BW120" s="19"/>
      <c r="BX120" s="19"/>
      <c r="BY120" s="19"/>
      <c r="BZ120" s="19"/>
      <c r="CA120" s="19"/>
      <c r="CB120" s="19"/>
      <c r="CC120" s="19"/>
      <c r="CD120" s="19"/>
      <c r="CE120" s="19"/>
      <c r="CF120" s="19"/>
      <c r="CG120" s="19"/>
      <c r="CH120" s="19"/>
      <c r="CI120" s="19"/>
      <c r="CJ120" s="19"/>
      <c r="CK120" s="19"/>
      <c r="CL120" s="19"/>
      <c r="CM120" s="19"/>
      <c r="CN120" s="19"/>
      <c r="CO120" s="19"/>
      <c r="CP120" s="19"/>
      <c r="CQ120" s="19"/>
      <c r="CR120" s="19"/>
      <c r="CS120" s="19"/>
      <c r="CT120" s="19"/>
      <c r="CU120" s="19"/>
      <c r="CV120" s="19"/>
      <c r="CW120" s="19"/>
      <c r="CX120" s="19"/>
      <c r="CY120" s="19"/>
      <c r="CZ120" s="19"/>
      <c r="DA120" s="19"/>
      <c r="DB120" s="19"/>
      <c r="DC120" s="19"/>
      <c r="DD120" s="19"/>
      <c r="DE120" s="19"/>
      <c r="DF120" s="19"/>
      <c r="DG120" s="19"/>
      <c r="DH120" s="19"/>
      <c r="DI120" s="19"/>
      <c r="DJ120" s="19"/>
      <c r="DK120" s="19"/>
      <c r="DL120" s="19"/>
      <c r="DM120" s="19"/>
      <c r="DN120" s="19"/>
      <c r="DO120" s="19"/>
      <c r="DP120" s="19"/>
      <c r="DQ120" s="19"/>
      <c r="DR120" s="19"/>
      <c r="DS120" s="19"/>
      <c r="DT120" s="19"/>
      <c r="DU120" s="19"/>
      <c r="DV120" s="19"/>
      <c r="DW120" s="19"/>
      <c r="DX120" s="19"/>
      <c r="DY120" s="19"/>
      <c r="DZ120" s="19"/>
      <c r="EA120" s="19"/>
      <c r="EB120" s="19"/>
      <c r="EC120" s="19"/>
      <c r="ED120" s="19"/>
      <c r="EE120" s="19"/>
      <c r="EF120" s="19"/>
      <c r="EG120" s="19"/>
      <c r="EH120" s="19"/>
      <c r="EI120" s="19"/>
      <c r="EJ120" s="19"/>
      <c r="EK120" s="19"/>
      <c r="EL120" s="19"/>
      <c r="EM120" s="19"/>
      <c r="EN120" s="19"/>
      <c r="EO120" s="19"/>
      <c r="EP120" s="19"/>
      <c r="EQ120" s="19"/>
      <c r="ER120" s="19"/>
      <c r="ES120" s="19"/>
      <c r="ET120" s="19"/>
      <c r="EU120" s="19"/>
      <c r="EV120" s="19"/>
      <c r="EW120" s="19"/>
      <c r="EX120" s="19"/>
      <c r="EY120" s="19"/>
      <c r="EZ120" s="19"/>
      <c r="FA120" s="19"/>
      <c r="FB120" s="19"/>
      <c r="FC120" s="19"/>
      <c r="FD120" s="19"/>
      <c r="FE120" s="19"/>
      <c r="FF120" s="19"/>
      <c r="FG120" s="19"/>
      <c r="FH120" s="19"/>
      <c r="FI120" s="19"/>
      <c r="FJ120" s="19"/>
      <c r="FK120" s="19"/>
      <c r="FL120" s="19"/>
      <c r="FM120" s="19"/>
      <c r="FN120" s="19"/>
      <c r="FO120" s="19"/>
      <c r="FP120" s="19"/>
      <c r="FQ120" s="19"/>
      <c r="FR120" s="19"/>
      <c r="FS120" s="19"/>
      <c r="FT120" s="19"/>
      <c r="FU120" s="19"/>
      <c r="FV120" s="19"/>
      <c r="FW120" s="19"/>
      <c r="FX120" s="19"/>
      <c r="FY120" s="19"/>
      <c r="FZ120" s="19"/>
      <c r="GA120" s="19"/>
      <c r="GB120" s="19"/>
      <c r="GC120" s="19"/>
      <c r="GD120" s="19"/>
      <c r="GE120" s="19"/>
      <c r="GF120" s="19"/>
      <c r="GG120" s="19"/>
      <c r="GH120" s="19"/>
      <c r="GI120" s="19"/>
      <c r="GJ120" s="19"/>
      <c r="GK120" s="19"/>
      <c r="GL120" s="19"/>
      <c r="GM120" s="19"/>
      <c r="GN120" s="19"/>
      <c r="GO120" s="19"/>
      <c r="GP120" s="19"/>
      <c r="GQ120" s="19"/>
      <c r="GR120" s="19"/>
      <c r="GS120" s="19"/>
      <c r="GT120" s="19"/>
      <c r="GU120" s="19"/>
      <c r="GV120" s="19"/>
      <c r="GW120" s="19"/>
      <c r="GX120" s="19"/>
      <c r="GY120" s="19"/>
      <c r="GZ120" s="19"/>
      <c r="HA120" s="19"/>
      <c r="HB120" s="19"/>
    </row>
    <row r="121" spans="1:210" x14ac:dyDescent="0.25">
      <c r="A121" s="113">
        <f t="shared" si="17"/>
        <v>9</v>
      </c>
      <c r="B121" s="163"/>
      <c r="C121" s="172" t="str">
        <f t="shared" si="20"/>
        <v>RTH at 9 °C</v>
      </c>
      <c r="D121" s="196">
        <f t="shared" si="19"/>
        <v>1.6933333333333334</v>
      </c>
      <c r="E121" s="197">
        <v>18.39</v>
      </c>
      <c r="F121" s="198">
        <v>18.7</v>
      </c>
      <c r="G121" s="199">
        <v>19.010000000000002</v>
      </c>
      <c r="H121" s="128" t="s">
        <v>18</v>
      </c>
      <c r="I121" s="29"/>
      <c r="J121" s="29">
        <v>19.010000000000002</v>
      </c>
      <c r="K121" s="29">
        <v>18.7</v>
      </c>
      <c r="L121" s="29">
        <v>18.39</v>
      </c>
      <c r="M121" s="29"/>
      <c r="N121" s="29"/>
      <c r="O121" s="29"/>
      <c r="P121" s="29"/>
      <c r="Q121" s="29"/>
      <c r="R121" s="29"/>
      <c r="S121" s="29"/>
      <c r="T121" s="29"/>
      <c r="U121" s="29"/>
      <c r="V121" s="29"/>
      <c r="W121" s="29"/>
      <c r="X121" s="29"/>
      <c r="Y121" s="30"/>
      <c r="Z121" s="18"/>
      <c r="AA121" s="19"/>
      <c r="AB121" s="19"/>
      <c r="AC121" s="20">
        <f t="shared" si="21"/>
        <v>9</v>
      </c>
      <c r="AD121" s="20">
        <f t="shared" si="22"/>
        <v>18.39</v>
      </c>
      <c r="AE121" s="20">
        <f t="shared" si="23"/>
        <v>18.7</v>
      </c>
      <c r="AF121" s="20">
        <f t="shared" si="24"/>
        <v>19.010000000000002</v>
      </c>
      <c r="AG121" s="20">
        <f>Table9[[#This Row],[RTH(min) (kΩ)]]*RT2_TH_MIN/(RT2_TH_MIN+Table9[[#This Row],[RTH(min) (kΩ)]])</f>
        <v>11.469020428828815</v>
      </c>
      <c r="AH121" s="20">
        <f>Table9[[#This Row],[RTH(nom) (kΩ)]]*RT2_TH_S/(RT2_TH_S+Table9[[#This Row],[RTH(nom) (kΩ)]])</f>
        <v>11.593242192739137</v>
      </c>
      <c r="AI121" s="20">
        <f>Table9[[#This Row],[RTH(max) (kΩ)]]*RT2_TH_S_MAX/(RT2_TH_S_MAX+Table9[[#This Row],[RTH(max) (kΩ)]])</f>
        <v>11.716138252335814</v>
      </c>
      <c r="AJ121" s="20">
        <f>Table9[[#This Row],[RLower(min) (kΩ)]]/(Table9[[#This Row],[RLower(min) (kΩ)]]+RT1_TH_S_MAX)*100</f>
        <v>68.646989531871</v>
      </c>
      <c r="AK121" s="20">
        <f>Table9[[#This Row],[RLower(nom) (kΩ)]]/(Table9[[#This Row],[RLower(nom) (kΩ)]]+RT1_TH_S)*100</f>
        <v>68.899806384394111</v>
      </c>
      <c r="AL121" s="20">
        <f>Table9[[#This Row],[RLower(max) (kΩ)]]/(Table9[[#This Row],[RLower(max) (kΩ)]]+RT1_TH_S_MIN)*100</f>
        <v>69.146658892469091</v>
      </c>
      <c r="AM121" s="20">
        <f>IF(Table9[[#This Row],[Vmin (%)]]&lt;$BA$14, 0, IF(Table9[[#This Row],[Vmin (%)]]&lt;$BA$12, 4, IF(Table9[[#This Row],[Vmin (%)]]&lt;$BA$9, 3, IF(Table9[[#This Row],[Vmin (%)]]&lt;$BA$7, 2, 0))))</f>
        <v>3</v>
      </c>
      <c r="AN121" s="20">
        <f>IF(Table9[[#This Row],[Vmin (%)]]&lt;$BA$13, 0, IF(Table9[[#This Row],[Vmin (%)]]&lt;$BA$11, 4, IF(Table9[[#This Row],[Vmin (%)]]&lt;$BA$10, 3, IF(Table9[[#This Row],[Vmin (%)]]&lt;$BA$8, 2, 0))))</f>
        <v>3</v>
      </c>
      <c r="AO121" s="76" t="str">
        <f>IF(Table9[[#This Row],[Vmin (%)]]&lt;$BA$14, "Hot", IF(Table9[[#This Row],[Vmin (%)]]&lt;$BA$12, "Warm", IF(Table9[[#This Row],[Vmin (%)]]&lt;$BA$9, "Normal", IF(Table9[[#This Row],[Vmin (%)]]&lt;$BA$7, "Cool", "Cold"))))</f>
        <v>Normal</v>
      </c>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c r="BP121" s="19"/>
      <c r="BQ121" s="19"/>
      <c r="BR121" s="19"/>
      <c r="BS121" s="19"/>
      <c r="BT121" s="19"/>
      <c r="BU121" s="19"/>
      <c r="BV121" s="19"/>
      <c r="BW121" s="19"/>
      <c r="BX121" s="19"/>
      <c r="BY121" s="19"/>
      <c r="BZ121" s="19"/>
      <c r="CA121" s="19"/>
      <c r="CB121" s="19"/>
      <c r="CC121" s="19"/>
      <c r="CD121" s="19"/>
      <c r="CE121" s="19"/>
      <c r="CF121" s="19"/>
      <c r="CG121" s="19"/>
      <c r="CH121" s="19"/>
      <c r="CI121" s="19"/>
      <c r="CJ121" s="19"/>
      <c r="CK121" s="19"/>
      <c r="CL121" s="19"/>
      <c r="CM121" s="19"/>
      <c r="CN121" s="19"/>
      <c r="CO121" s="19"/>
      <c r="CP121" s="19"/>
      <c r="CQ121" s="19"/>
      <c r="CR121" s="19"/>
      <c r="CS121" s="19"/>
      <c r="CT121" s="19"/>
      <c r="CU121" s="19"/>
      <c r="CV121" s="19"/>
      <c r="CW121" s="19"/>
      <c r="CX121" s="19"/>
      <c r="CY121" s="19"/>
      <c r="CZ121" s="19"/>
      <c r="DA121" s="19"/>
      <c r="DB121" s="19"/>
      <c r="DC121" s="19"/>
      <c r="DD121" s="19"/>
      <c r="DE121" s="19"/>
      <c r="DF121" s="19"/>
      <c r="DG121" s="19"/>
      <c r="DH121" s="19"/>
      <c r="DI121" s="19"/>
      <c r="DJ121" s="19"/>
      <c r="DK121" s="19"/>
      <c r="DL121" s="19"/>
      <c r="DM121" s="19"/>
      <c r="DN121" s="19"/>
      <c r="DO121" s="19"/>
      <c r="DP121" s="19"/>
      <c r="DQ121" s="19"/>
      <c r="DR121" s="19"/>
      <c r="DS121" s="19"/>
      <c r="DT121" s="19"/>
      <c r="DU121" s="19"/>
      <c r="DV121" s="19"/>
      <c r="DW121" s="19"/>
      <c r="DX121" s="19"/>
      <c r="DY121" s="19"/>
      <c r="DZ121" s="19"/>
      <c r="EA121" s="19"/>
      <c r="EB121" s="19"/>
      <c r="EC121" s="19"/>
      <c r="ED121" s="19"/>
      <c r="EE121" s="19"/>
      <c r="EF121" s="19"/>
      <c r="EG121" s="19"/>
      <c r="EH121" s="19"/>
      <c r="EI121" s="19"/>
      <c r="EJ121" s="19"/>
      <c r="EK121" s="19"/>
      <c r="EL121" s="19"/>
      <c r="EM121" s="19"/>
      <c r="EN121" s="19"/>
      <c r="EO121" s="19"/>
      <c r="EP121" s="19"/>
      <c r="EQ121" s="19"/>
      <c r="ER121" s="19"/>
      <c r="ES121" s="19"/>
      <c r="ET121" s="19"/>
      <c r="EU121" s="19"/>
      <c r="EV121" s="19"/>
      <c r="EW121" s="19"/>
      <c r="EX121" s="19"/>
      <c r="EY121" s="19"/>
      <c r="EZ121" s="19"/>
      <c r="FA121" s="19"/>
      <c r="FB121" s="19"/>
      <c r="FC121" s="19"/>
      <c r="FD121" s="19"/>
      <c r="FE121" s="19"/>
      <c r="FF121" s="19"/>
      <c r="FG121" s="19"/>
      <c r="FH121" s="19"/>
      <c r="FI121" s="19"/>
      <c r="FJ121" s="19"/>
      <c r="FK121" s="19"/>
      <c r="FL121" s="19"/>
      <c r="FM121" s="19"/>
      <c r="FN121" s="19"/>
      <c r="FO121" s="19"/>
      <c r="FP121" s="19"/>
      <c r="FQ121" s="19"/>
      <c r="FR121" s="19"/>
      <c r="FS121" s="19"/>
      <c r="FT121" s="19"/>
      <c r="FU121" s="19"/>
      <c r="FV121" s="19"/>
      <c r="FW121" s="19"/>
      <c r="FX121" s="19"/>
      <c r="FY121" s="19"/>
      <c r="FZ121" s="19"/>
      <c r="GA121" s="19"/>
      <c r="GB121" s="19"/>
      <c r="GC121" s="19"/>
      <c r="GD121" s="19"/>
      <c r="GE121" s="19"/>
      <c r="GF121" s="19"/>
      <c r="GG121" s="19"/>
      <c r="GH121" s="19"/>
      <c r="GI121" s="19"/>
      <c r="GJ121" s="19"/>
      <c r="GK121" s="19"/>
      <c r="GL121" s="19"/>
      <c r="GM121" s="19"/>
      <c r="GN121" s="19"/>
      <c r="GO121" s="19"/>
      <c r="GP121" s="19"/>
      <c r="GQ121" s="19"/>
      <c r="GR121" s="19"/>
      <c r="GS121" s="19"/>
      <c r="GT121" s="19"/>
      <c r="GU121" s="19"/>
      <c r="GV121" s="19"/>
      <c r="GW121" s="19"/>
      <c r="GX121" s="19"/>
      <c r="GY121" s="19"/>
      <c r="GZ121" s="19"/>
      <c r="HA121" s="19"/>
      <c r="HB121" s="19"/>
    </row>
    <row r="122" spans="1:210" x14ac:dyDescent="0.25">
      <c r="A122" s="113">
        <f t="shared" si="17"/>
        <v>8</v>
      </c>
      <c r="B122" s="163"/>
      <c r="C122" s="172" t="str">
        <f t="shared" si="20"/>
        <v>RTH at 8 °C</v>
      </c>
      <c r="D122" s="196">
        <f t="shared" si="19"/>
        <v>1.7366666666666668</v>
      </c>
      <c r="E122" s="197">
        <v>19.149999999999999</v>
      </c>
      <c r="F122" s="198">
        <v>19.48</v>
      </c>
      <c r="G122" s="199">
        <v>19.809999999999999</v>
      </c>
      <c r="H122" s="128" t="s">
        <v>18</v>
      </c>
      <c r="I122" s="29"/>
      <c r="J122" s="29">
        <v>19.809999999999999</v>
      </c>
      <c r="K122" s="29">
        <v>19.48</v>
      </c>
      <c r="L122" s="29">
        <v>19.149999999999999</v>
      </c>
      <c r="M122" s="29"/>
      <c r="N122" s="29"/>
      <c r="O122" s="29"/>
      <c r="P122" s="29"/>
      <c r="Q122" s="29"/>
      <c r="R122" s="29"/>
      <c r="S122" s="29"/>
      <c r="T122" s="29"/>
      <c r="U122" s="29"/>
      <c r="V122" s="29"/>
      <c r="W122" s="29"/>
      <c r="X122" s="29"/>
      <c r="Y122" s="30"/>
      <c r="Z122" s="18"/>
      <c r="AA122" s="19"/>
      <c r="AB122" s="19"/>
      <c r="AC122" s="20">
        <f t="shared" si="21"/>
        <v>8</v>
      </c>
      <c r="AD122" s="20">
        <f t="shared" si="22"/>
        <v>19.149999999999999</v>
      </c>
      <c r="AE122" s="20">
        <f t="shared" si="23"/>
        <v>19.48</v>
      </c>
      <c r="AF122" s="20">
        <f t="shared" si="24"/>
        <v>19.809999999999999</v>
      </c>
      <c r="AG122" s="20">
        <f>Table9[[#This Row],[RTH(min) (kΩ)]]*RT2_TH_MIN/(RT2_TH_MIN+Table9[[#This Row],[RTH(min) (kΩ)]])</f>
        <v>11.760092233763668</v>
      </c>
      <c r="AH122" s="20">
        <f>Table9[[#This Row],[RTH(nom) (kΩ)]]*RT2_TH_S/(RT2_TH_S+Table9[[#This Row],[RTH(nom) (kΩ)]])</f>
        <v>11.888356853646997</v>
      </c>
      <c r="AI122" s="20">
        <f>Table9[[#This Row],[RTH(max) (kΩ)]]*RT2_TH_S_MAX/(RT2_TH_S_MAX+Table9[[#This Row],[RTH(max) (kΩ)]])</f>
        <v>12.015184478114938</v>
      </c>
      <c r="AJ122" s="20">
        <f>Table9[[#This Row],[RLower(min) (kΩ)]]/(Table9[[#This Row],[RLower(min) (kΩ)]]+RT1_TH_S_MAX)*100</f>
        <v>69.183864899262076</v>
      </c>
      <c r="AK122" s="20">
        <f>Table9[[#This Row],[RLower(nom) (kΩ)]]/(Table9[[#This Row],[RLower(nom) (kΩ)]]+RT1_TH_S)*100</f>
        <v>69.435869496527033</v>
      </c>
      <c r="AL122" s="20">
        <f>Table9[[#This Row],[RLower(max) (kΩ)]]/(Table9[[#This Row],[RLower(max) (kΩ)]]+RT1_TH_S_MIN)*100</f>
        <v>69.681751736355622</v>
      </c>
      <c r="AM122" s="20">
        <f>IF(Table9[[#This Row],[Vmin (%)]]&lt;$BA$14, 0, IF(Table9[[#This Row],[Vmin (%)]]&lt;$BA$12, 4, IF(Table9[[#This Row],[Vmin (%)]]&lt;$BA$9, 3, IF(Table9[[#This Row],[Vmin (%)]]&lt;$BA$7, 2, 0))))</f>
        <v>3</v>
      </c>
      <c r="AN122" s="20">
        <f>IF(Table9[[#This Row],[Vmin (%)]]&lt;$BA$13, 0, IF(Table9[[#This Row],[Vmin (%)]]&lt;$BA$11, 4, IF(Table9[[#This Row],[Vmin (%)]]&lt;$BA$10, 3, IF(Table9[[#This Row],[Vmin (%)]]&lt;$BA$8, 2, 0))))</f>
        <v>3</v>
      </c>
      <c r="AO122" s="76" t="str">
        <f>IF(Table9[[#This Row],[Vmin (%)]]&lt;$BA$14, "Hot", IF(Table9[[#This Row],[Vmin (%)]]&lt;$BA$12, "Warm", IF(Table9[[#This Row],[Vmin (%)]]&lt;$BA$9, "Normal", IF(Table9[[#This Row],[Vmin (%)]]&lt;$BA$7, "Cool", "Cold"))))</f>
        <v>Normal</v>
      </c>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c r="BP122" s="19"/>
      <c r="BQ122" s="19"/>
      <c r="BR122" s="19"/>
      <c r="BS122" s="19"/>
      <c r="BT122" s="19"/>
      <c r="BU122" s="19"/>
      <c r="BV122" s="19"/>
      <c r="BW122" s="19"/>
      <c r="BX122" s="19"/>
      <c r="BY122" s="19"/>
      <c r="BZ122" s="19"/>
      <c r="CA122" s="19"/>
      <c r="CB122" s="19"/>
      <c r="CC122" s="19"/>
      <c r="CD122" s="19"/>
      <c r="CE122" s="19"/>
      <c r="CF122" s="19"/>
      <c r="CG122" s="19"/>
      <c r="CH122" s="19"/>
      <c r="CI122" s="19"/>
      <c r="CJ122" s="19"/>
      <c r="CK122" s="19"/>
      <c r="CL122" s="19"/>
      <c r="CM122" s="19"/>
      <c r="CN122" s="19"/>
      <c r="CO122" s="19"/>
      <c r="CP122" s="19"/>
      <c r="CQ122" s="19"/>
      <c r="CR122" s="19"/>
      <c r="CS122" s="19"/>
      <c r="CT122" s="19"/>
      <c r="CU122" s="19"/>
      <c r="CV122" s="19"/>
      <c r="CW122" s="19"/>
      <c r="CX122" s="19"/>
      <c r="CY122" s="19"/>
      <c r="CZ122" s="19"/>
      <c r="DA122" s="19"/>
      <c r="DB122" s="19"/>
      <c r="DC122" s="19"/>
      <c r="DD122" s="19"/>
      <c r="DE122" s="19"/>
      <c r="DF122" s="19"/>
      <c r="DG122" s="19"/>
      <c r="DH122" s="19"/>
      <c r="DI122" s="19"/>
      <c r="DJ122" s="19"/>
      <c r="DK122" s="19"/>
      <c r="DL122" s="19"/>
      <c r="DM122" s="19"/>
      <c r="DN122" s="19"/>
      <c r="DO122" s="19"/>
      <c r="DP122" s="19"/>
      <c r="DQ122" s="19"/>
      <c r="DR122" s="19"/>
      <c r="DS122" s="19"/>
      <c r="DT122" s="19"/>
      <c r="DU122" s="19"/>
      <c r="DV122" s="19"/>
      <c r="DW122" s="19"/>
      <c r="DX122" s="19"/>
      <c r="DY122" s="19"/>
      <c r="DZ122" s="19"/>
      <c r="EA122" s="19"/>
      <c r="EB122" s="19"/>
      <c r="EC122" s="19"/>
      <c r="ED122" s="19"/>
      <c r="EE122" s="19"/>
      <c r="EF122" s="19"/>
      <c r="EG122" s="19"/>
      <c r="EH122" s="19"/>
      <c r="EI122" s="19"/>
      <c r="EJ122" s="19"/>
      <c r="EK122" s="19"/>
      <c r="EL122" s="19"/>
      <c r="EM122" s="19"/>
      <c r="EN122" s="19"/>
      <c r="EO122" s="19"/>
      <c r="EP122" s="19"/>
      <c r="EQ122" s="19"/>
      <c r="ER122" s="19"/>
      <c r="ES122" s="19"/>
      <c r="ET122" s="19"/>
      <c r="EU122" s="19"/>
      <c r="EV122" s="19"/>
      <c r="EW122" s="19"/>
      <c r="EX122" s="19"/>
      <c r="EY122" s="19"/>
      <c r="EZ122" s="19"/>
      <c r="FA122" s="19"/>
      <c r="FB122" s="19"/>
      <c r="FC122" s="19"/>
      <c r="FD122" s="19"/>
      <c r="FE122" s="19"/>
      <c r="FF122" s="19"/>
      <c r="FG122" s="19"/>
      <c r="FH122" s="19"/>
      <c r="FI122" s="19"/>
      <c r="FJ122" s="19"/>
      <c r="FK122" s="19"/>
      <c r="FL122" s="19"/>
      <c r="FM122" s="19"/>
      <c r="FN122" s="19"/>
      <c r="FO122" s="19"/>
      <c r="FP122" s="19"/>
      <c r="FQ122" s="19"/>
      <c r="FR122" s="19"/>
      <c r="FS122" s="19"/>
      <c r="FT122" s="19"/>
      <c r="FU122" s="19"/>
      <c r="FV122" s="19"/>
      <c r="FW122" s="19"/>
      <c r="FX122" s="19"/>
      <c r="FY122" s="19"/>
      <c r="FZ122" s="19"/>
      <c r="GA122" s="19"/>
      <c r="GB122" s="19"/>
      <c r="GC122" s="19"/>
      <c r="GD122" s="19"/>
      <c r="GE122" s="19"/>
      <c r="GF122" s="19"/>
      <c r="GG122" s="19"/>
      <c r="GH122" s="19"/>
      <c r="GI122" s="19"/>
      <c r="GJ122" s="19"/>
      <c r="GK122" s="19"/>
      <c r="GL122" s="19"/>
      <c r="GM122" s="19"/>
      <c r="GN122" s="19"/>
      <c r="GO122" s="19"/>
      <c r="GP122" s="19"/>
      <c r="GQ122" s="19"/>
      <c r="GR122" s="19"/>
      <c r="GS122" s="19"/>
      <c r="GT122" s="19"/>
      <c r="GU122" s="19"/>
      <c r="GV122" s="19"/>
      <c r="GW122" s="19"/>
      <c r="GX122" s="19"/>
      <c r="GY122" s="19"/>
      <c r="GZ122" s="19"/>
      <c r="HA122" s="19"/>
      <c r="HB122" s="19"/>
    </row>
    <row r="123" spans="1:210" x14ac:dyDescent="0.25">
      <c r="A123" s="113">
        <f t="shared" si="17"/>
        <v>7</v>
      </c>
      <c r="B123" s="163"/>
      <c r="C123" s="172" t="str">
        <f t="shared" si="20"/>
        <v>RTH at 7 °C</v>
      </c>
      <c r="D123" s="196">
        <f t="shared" si="19"/>
        <v>1.78</v>
      </c>
      <c r="E123" s="197">
        <v>19.95</v>
      </c>
      <c r="F123" s="198">
        <v>20.3</v>
      </c>
      <c r="G123" s="199">
        <v>20.64</v>
      </c>
      <c r="H123" s="128" t="s">
        <v>18</v>
      </c>
      <c r="I123" s="29"/>
      <c r="J123" s="29">
        <v>20.64</v>
      </c>
      <c r="K123" s="29">
        <v>20.3</v>
      </c>
      <c r="L123" s="29">
        <v>19.95</v>
      </c>
      <c r="M123" s="29"/>
      <c r="N123" s="29"/>
      <c r="O123" s="29"/>
      <c r="P123" s="29"/>
      <c r="Q123" s="29"/>
      <c r="R123" s="29"/>
      <c r="S123" s="29"/>
      <c r="T123" s="29"/>
      <c r="U123" s="29"/>
      <c r="V123" s="29"/>
      <c r="W123" s="29"/>
      <c r="X123" s="29"/>
      <c r="Y123" s="30"/>
      <c r="Z123" s="18"/>
      <c r="AA123" s="19"/>
      <c r="AB123" s="19"/>
      <c r="AC123" s="20">
        <f t="shared" si="21"/>
        <v>7</v>
      </c>
      <c r="AD123" s="20">
        <f t="shared" si="22"/>
        <v>19.95</v>
      </c>
      <c r="AE123" s="20">
        <f t="shared" si="23"/>
        <v>20.3</v>
      </c>
      <c r="AF123" s="20">
        <f t="shared" si="24"/>
        <v>20.64</v>
      </c>
      <c r="AG123" s="20">
        <f>Table9[[#This Row],[RTH(min) (kΩ)]]*RT2_TH_MIN/(RT2_TH_MIN+Table9[[#This Row],[RTH(min) (kΩ)]])</f>
        <v>12.057004724114368</v>
      </c>
      <c r="AH123" s="20">
        <f>Table9[[#This Row],[RTH(nom) (kΩ)]]*RT2_TH_S/(RT2_TH_S+Table9[[#This Row],[RTH(nom) (kΩ)]])</f>
        <v>12.188835000995516</v>
      </c>
      <c r="AI123" s="20">
        <f>Table9[[#This Row],[RTH(max) (kΩ)]]*RT2_TH_S_MAX/(RT2_TH_S_MAX+Table9[[#This Row],[RTH(max) (kΩ)]])</f>
        <v>12.315562830879003</v>
      </c>
      <c r="AJ123" s="20">
        <f>Table9[[#This Row],[RLower(min) (kΩ)]]/(Table9[[#This Row],[RLower(min) (kΩ)]]+RT1_TH_S_MAX)*100</f>
        <v>69.712894927642139</v>
      </c>
      <c r="AK123" s="20">
        <f>Table9[[#This Row],[RLower(nom) (kΩ)]]/(Table9[[#This Row],[RLower(nom) (kΩ)]]+RT1_TH_S)*100</f>
        <v>69.963015917980456</v>
      </c>
      <c r="AL123" s="20">
        <f>Table9[[#This Row],[RLower(max) (kΩ)]]/(Table9[[#This Row],[RLower(max) (kΩ)]]+RT1_TH_S_MIN)*100</f>
        <v>70.200863566955363</v>
      </c>
      <c r="AM123" s="20">
        <f>IF(Table9[[#This Row],[Vmin (%)]]&lt;$BA$14, 0, IF(Table9[[#This Row],[Vmin (%)]]&lt;$BA$12, 4, IF(Table9[[#This Row],[Vmin (%)]]&lt;$BA$9, 3, IF(Table9[[#This Row],[Vmin (%)]]&lt;$BA$7, 2, 0))))</f>
        <v>3</v>
      </c>
      <c r="AN123" s="20">
        <f>IF(Table9[[#This Row],[Vmin (%)]]&lt;$BA$13, 0, IF(Table9[[#This Row],[Vmin (%)]]&lt;$BA$11, 4, IF(Table9[[#This Row],[Vmin (%)]]&lt;$BA$10, 3, IF(Table9[[#This Row],[Vmin (%)]]&lt;$BA$8, 2, 0))))</f>
        <v>3</v>
      </c>
      <c r="AO123" s="76" t="str">
        <f>IF(Table9[[#This Row],[Vmin (%)]]&lt;$BA$14, "Hot", IF(Table9[[#This Row],[Vmin (%)]]&lt;$BA$12, "Warm", IF(Table9[[#This Row],[Vmin (%)]]&lt;$BA$9, "Normal", IF(Table9[[#This Row],[Vmin (%)]]&lt;$BA$7, "Cool", "Cold"))))</f>
        <v>Normal</v>
      </c>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c r="BP123" s="19"/>
      <c r="BQ123" s="19"/>
      <c r="BR123" s="19"/>
      <c r="BS123" s="19"/>
      <c r="BT123" s="19"/>
      <c r="BU123" s="19"/>
      <c r="BV123" s="19"/>
      <c r="BW123" s="19"/>
      <c r="BX123" s="19"/>
      <c r="BY123" s="19"/>
      <c r="BZ123" s="19"/>
      <c r="CA123" s="19"/>
      <c r="CB123" s="19"/>
      <c r="CC123" s="19"/>
      <c r="CD123" s="19"/>
      <c r="CE123" s="19"/>
      <c r="CF123" s="19"/>
      <c r="CG123" s="19"/>
      <c r="CH123" s="19"/>
      <c r="CI123" s="19"/>
      <c r="CJ123" s="19"/>
      <c r="CK123" s="19"/>
      <c r="CL123" s="19"/>
      <c r="CM123" s="19"/>
      <c r="CN123" s="19"/>
      <c r="CO123" s="19"/>
      <c r="CP123" s="19"/>
      <c r="CQ123" s="19"/>
      <c r="CR123" s="19"/>
      <c r="CS123" s="19"/>
      <c r="CT123" s="19"/>
      <c r="CU123" s="19"/>
      <c r="CV123" s="19"/>
      <c r="CW123" s="19"/>
      <c r="CX123" s="19"/>
      <c r="CY123" s="19"/>
      <c r="CZ123" s="19"/>
      <c r="DA123" s="19"/>
      <c r="DB123" s="19"/>
      <c r="DC123" s="19"/>
      <c r="DD123" s="19"/>
      <c r="DE123" s="19"/>
      <c r="DF123" s="19"/>
      <c r="DG123" s="19"/>
      <c r="DH123" s="19"/>
      <c r="DI123" s="19"/>
      <c r="DJ123" s="19"/>
      <c r="DK123" s="19"/>
      <c r="DL123" s="19"/>
      <c r="DM123" s="19"/>
      <c r="DN123" s="19"/>
      <c r="DO123" s="19"/>
      <c r="DP123" s="19"/>
      <c r="DQ123" s="19"/>
      <c r="DR123" s="19"/>
      <c r="DS123" s="19"/>
      <c r="DT123" s="19"/>
      <c r="DU123" s="19"/>
      <c r="DV123" s="19"/>
      <c r="DW123" s="19"/>
      <c r="DX123" s="19"/>
      <c r="DY123" s="19"/>
      <c r="DZ123" s="19"/>
      <c r="EA123" s="19"/>
      <c r="EB123" s="19"/>
      <c r="EC123" s="19"/>
      <c r="ED123" s="19"/>
      <c r="EE123" s="19"/>
      <c r="EF123" s="19"/>
      <c r="EG123" s="19"/>
      <c r="EH123" s="19"/>
      <c r="EI123" s="19"/>
      <c r="EJ123" s="19"/>
      <c r="EK123" s="19"/>
      <c r="EL123" s="19"/>
      <c r="EM123" s="19"/>
      <c r="EN123" s="19"/>
      <c r="EO123" s="19"/>
      <c r="EP123" s="19"/>
      <c r="EQ123" s="19"/>
      <c r="ER123" s="19"/>
      <c r="ES123" s="19"/>
      <c r="ET123" s="19"/>
      <c r="EU123" s="19"/>
      <c r="EV123" s="19"/>
      <c r="EW123" s="19"/>
      <c r="EX123" s="19"/>
      <c r="EY123" s="19"/>
      <c r="EZ123" s="19"/>
      <c r="FA123" s="19"/>
      <c r="FB123" s="19"/>
      <c r="FC123" s="19"/>
      <c r="FD123" s="19"/>
      <c r="FE123" s="19"/>
      <c r="FF123" s="19"/>
      <c r="FG123" s="19"/>
      <c r="FH123" s="19"/>
      <c r="FI123" s="19"/>
      <c r="FJ123" s="19"/>
      <c r="FK123" s="19"/>
      <c r="FL123" s="19"/>
      <c r="FM123" s="19"/>
      <c r="FN123" s="19"/>
      <c r="FO123" s="19"/>
      <c r="FP123" s="19"/>
      <c r="FQ123" s="19"/>
      <c r="FR123" s="19"/>
      <c r="FS123" s="19"/>
      <c r="FT123" s="19"/>
      <c r="FU123" s="19"/>
      <c r="FV123" s="19"/>
      <c r="FW123" s="19"/>
      <c r="FX123" s="19"/>
      <c r="FY123" s="19"/>
      <c r="FZ123" s="19"/>
      <c r="GA123" s="19"/>
      <c r="GB123" s="19"/>
      <c r="GC123" s="19"/>
      <c r="GD123" s="19"/>
      <c r="GE123" s="19"/>
      <c r="GF123" s="19"/>
      <c r="GG123" s="19"/>
      <c r="GH123" s="19"/>
      <c r="GI123" s="19"/>
      <c r="GJ123" s="19"/>
      <c r="GK123" s="19"/>
      <c r="GL123" s="19"/>
      <c r="GM123" s="19"/>
      <c r="GN123" s="19"/>
      <c r="GO123" s="19"/>
      <c r="GP123" s="19"/>
      <c r="GQ123" s="19"/>
      <c r="GR123" s="19"/>
      <c r="GS123" s="19"/>
      <c r="GT123" s="19"/>
      <c r="GU123" s="19"/>
      <c r="GV123" s="19"/>
      <c r="GW123" s="19"/>
      <c r="GX123" s="19"/>
      <c r="GY123" s="19"/>
      <c r="GZ123" s="19"/>
      <c r="HA123" s="19"/>
      <c r="HB123" s="19"/>
    </row>
    <row r="124" spans="1:210" x14ac:dyDescent="0.25">
      <c r="A124" s="113">
        <f t="shared" si="17"/>
        <v>6</v>
      </c>
      <c r="B124" s="163"/>
      <c r="C124" s="172" t="str">
        <f t="shared" si="20"/>
        <v>RTH at 6 °C</v>
      </c>
      <c r="D124" s="196">
        <f t="shared" si="19"/>
        <v>1.8233333333333333</v>
      </c>
      <c r="E124" s="197">
        <v>20.78</v>
      </c>
      <c r="F124" s="198">
        <v>21.15</v>
      </c>
      <c r="G124" s="199">
        <v>21.53</v>
      </c>
      <c r="H124" s="128" t="s">
        <v>18</v>
      </c>
      <c r="I124" s="29"/>
      <c r="J124" s="29">
        <v>21.53</v>
      </c>
      <c r="K124" s="29">
        <v>21.15</v>
      </c>
      <c r="L124" s="29">
        <v>20.78</v>
      </c>
      <c r="M124" s="29"/>
      <c r="N124" s="29"/>
      <c r="O124" s="29"/>
      <c r="P124" s="29"/>
      <c r="Q124" s="29"/>
      <c r="R124" s="29"/>
      <c r="S124" s="29"/>
      <c r="T124" s="29"/>
      <c r="U124" s="29"/>
      <c r="V124" s="29"/>
      <c r="W124" s="29"/>
      <c r="X124" s="29"/>
      <c r="Y124" s="30"/>
      <c r="Z124" s="18"/>
      <c r="AA124" s="19"/>
      <c r="AB124" s="19"/>
      <c r="AC124" s="20">
        <f t="shared" si="21"/>
        <v>6</v>
      </c>
      <c r="AD124" s="20">
        <f t="shared" si="22"/>
        <v>20.78</v>
      </c>
      <c r="AE124" s="20">
        <f t="shared" si="23"/>
        <v>21.15</v>
      </c>
      <c r="AF124" s="20">
        <f t="shared" si="24"/>
        <v>21.53</v>
      </c>
      <c r="AG124" s="20">
        <f>Table9[[#This Row],[RTH(min) (kΩ)]]*RT2_TH_MIN/(RT2_TH_MIN+Table9[[#This Row],[RTH(min) (kΩ)]])</f>
        <v>12.355254957330175</v>
      </c>
      <c r="AH124" s="20">
        <f>Table9[[#This Row],[RTH(nom) (kΩ)]]*RT2_TH_S/(RT2_TH_S+Table9[[#This Row],[RTH(nom) (kΩ)]])</f>
        <v>12.490236477227185</v>
      </c>
      <c r="AI124" s="20">
        <f>Table9[[#This Row],[RTH(max) (kΩ)]]*RT2_TH_S_MAX/(RT2_TH_S_MAX+Table9[[#This Row],[RTH(max) (kΩ)]])</f>
        <v>12.627014915141602</v>
      </c>
      <c r="AJ124" s="20">
        <f>Table9[[#This Row],[RLower(min) (kΩ)]]/(Table9[[#This Row],[RLower(min) (kΩ)]]+RT1_TH_S_MAX)*100</f>
        <v>70.22633153118916</v>
      </c>
      <c r="AK124" s="20">
        <f>Table9[[#This Row],[RLower(nom) (kΩ)]]/(Table9[[#This Row],[RLower(nom) (kΩ)]]+RT1_TH_S)*100</f>
        <v>70.473825322221657</v>
      </c>
      <c r="AL124" s="20">
        <f>Table9[[#This Row],[RLower(max) (kΩ)]]/(Table9[[#This Row],[RLower(max) (kΩ)]]+RT1_TH_S_MIN)*100</f>
        <v>70.72066872574905</v>
      </c>
      <c r="AM124" s="20">
        <f>IF(Table9[[#This Row],[Vmin (%)]]&lt;$BA$14, 0, IF(Table9[[#This Row],[Vmin (%)]]&lt;$BA$12, 4, IF(Table9[[#This Row],[Vmin (%)]]&lt;$BA$9, 3, IF(Table9[[#This Row],[Vmin (%)]]&lt;$BA$7, 2, 0))))</f>
        <v>3</v>
      </c>
      <c r="AN124" s="20">
        <f>IF(Table9[[#This Row],[Vmin (%)]]&lt;$BA$13, 0, IF(Table9[[#This Row],[Vmin (%)]]&lt;$BA$11, 4, IF(Table9[[#This Row],[Vmin (%)]]&lt;$BA$10, 3, IF(Table9[[#This Row],[Vmin (%)]]&lt;$BA$8, 2, 0))))</f>
        <v>2</v>
      </c>
      <c r="AO124" s="76" t="str">
        <f>IF(Table9[[#This Row],[Vmin (%)]]&lt;$BA$14, "Hot", IF(Table9[[#This Row],[Vmin (%)]]&lt;$BA$12, "Warm", IF(Table9[[#This Row],[Vmin (%)]]&lt;$BA$9, "Normal", IF(Table9[[#This Row],[Vmin (%)]]&lt;$BA$7, "Cool", "Cold"))))</f>
        <v>Normal</v>
      </c>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c r="BP124" s="19"/>
      <c r="BQ124" s="19"/>
      <c r="BR124" s="19"/>
      <c r="BS124" s="19"/>
      <c r="BT124" s="19"/>
      <c r="BU124" s="19"/>
      <c r="BV124" s="19"/>
      <c r="BW124" s="19"/>
      <c r="BX124" s="19"/>
      <c r="BY124" s="19"/>
      <c r="BZ124" s="19"/>
      <c r="CA124" s="19"/>
      <c r="CB124" s="19"/>
      <c r="CC124" s="19"/>
      <c r="CD124" s="19"/>
      <c r="CE124" s="19"/>
      <c r="CF124" s="19"/>
      <c r="CG124" s="19"/>
      <c r="CH124" s="19"/>
      <c r="CI124" s="19"/>
      <c r="CJ124" s="19"/>
      <c r="CK124" s="19"/>
      <c r="CL124" s="19"/>
      <c r="CM124" s="19"/>
      <c r="CN124" s="19"/>
      <c r="CO124" s="19"/>
      <c r="CP124" s="19"/>
      <c r="CQ124" s="19"/>
      <c r="CR124" s="19"/>
      <c r="CS124" s="19"/>
      <c r="CT124" s="19"/>
      <c r="CU124" s="19"/>
      <c r="CV124" s="19"/>
      <c r="CW124" s="19"/>
      <c r="CX124" s="19"/>
      <c r="CY124" s="19"/>
      <c r="CZ124" s="19"/>
      <c r="DA124" s="19"/>
      <c r="DB124" s="19"/>
      <c r="DC124" s="19"/>
      <c r="DD124" s="19"/>
      <c r="DE124" s="19"/>
      <c r="DF124" s="19"/>
      <c r="DG124" s="19"/>
      <c r="DH124" s="19"/>
      <c r="DI124" s="19"/>
      <c r="DJ124" s="19"/>
      <c r="DK124" s="19"/>
      <c r="DL124" s="19"/>
      <c r="DM124" s="19"/>
      <c r="DN124" s="19"/>
      <c r="DO124" s="19"/>
      <c r="DP124" s="19"/>
      <c r="DQ124" s="19"/>
      <c r="DR124" s="19"/>
      <c r="DS124" s="19"/>
      <c r="DT124" s="19"/>
      <c r="DU124" s="19"/>
      <c r="DV124" s="19"/>
      <c r="DW124" s="19"/>
      <c r="DX124" s="19"/>
      <c r="DY124" s="19"/>
      <c r="DZ124" s="19"/>
      <c r="EA124" s="19"/>
      <c r="EB124" s="19"/>
      <c r="EC124" s="19"/>
      <c r="ED124" s="19"/>
      <c r="EE124" s="19"/>
      <c r="EF124" s="19"/>
      <c r="EG124" s="19"/>
      <c r="EH124" s="19"/>
      <c r="EI124" s="19"/>
      <c r="EJ124" s="19"/>
      <c r="EK124" s="19"/>
      <c r="EL124" s="19"/>
      <c r="EM124" s="19"/>
      <c r="EN124" s="19"/>
      <c r="EO124" s="19"/>
      <c r="EP124" s="19"/>
      <c r="EQ124" s="19"/>
      <c r="ER124" s="19"/>
      <c r="ES124" s="19"/>
      <c r="ET124" s="19"/>
      <c r="EU124" s="19"/>
      <c r="EV124" s="19"/>
      <c r="EW124" s="19"/>
      <c r="EX124" s="19"/>
      <c r="EY124" s="19"/>
      <c r="EZ124" s="19"/>
      <c r="FA124" s="19"/>
      <c r="FB124" s="19"/>
      <c r="FC124" s="19"/>
      <c r="FD124" s="19"/>
      <c r="FE124" s="19"/>
      <c r="FF124" s="19"/>
      <c r="FG124" s="19"/>
      <c r="FH124" s="19"/>
      <c r="FI124" s="19"/>
      <c r="FJ124" s="19"/>
      <c r="FK124" s="19"/>
      <c r="FL124" s="19"/>
      <c r="FM124" s="19"/>
      <c r="FN124" s="19"/>
      <c r="FO124" s="19"/>
      <c r="FP124" s="19"/>
      <c r="FQ124" s="19"/>
      <c r="FR124" s="19"/>
      <c r="FS124" s="19"/>
      <c r="FT124" s="19"/>
      <c r="FU124" s="19"/>
      <c r="FV124" s="19"/>
      <c r="FW124" s="19"/>
      <c r="FX124" s="19"/>
      <c r="FY124" s="19"/>
      <c r="FZ124" s="19"/>
      <c r="GA124" s="19"/>
      <c r="GB124" s="19"/>
      <c r="GC124" s="19"/>
      <c r="GD124" s="19"/>
      <c r="GE124" s="19"/>
      <c r="GF124" s="19"/>
      <c r="GG124" s="19"/>
      <c r="GH124" s="19"/>
      <c r="GI124" s="19"/>
      <c r="GJ124" s="19"/>
      <c r="GK124" s="19"/>
      <c r="GL124" s="19"/>
      <c r="GM124" s="19"/>
      <c r="GN124" s="19"/>
      <c r="GO124" s="19"/>
      <c r="GP124" s="19"/>
      <c r="GQ124" s="19"/>
      <c r="GR124" s="19"/>
      <c r="GS124" s="19"/>
      <c r="GT124" s="19"/>
      <c r="GU124" s="19"/>
      <c r="GV124" s="19"/>
      <c r="GW124" s="19"/>
      <c r="GX124" s="19"/>
      <c r="GY124" s="19"/>
      <c r="GZ124" s="19"/>
      <c r="HA124" s="19"/>
      <c r="HB124" s="19"/>
    </row>
    <row r="125" spans="1:210" x14ac:dyDescent="0.25">
      <c r="A125" s="113">
        <f t="shared" si="17"/>
        <v>5</v>
      </c>
      <c r="B125" s="163"/>
      <c r="C125" s="172" t="str">
        <f t="shared" si="20"/>
        <v>RTH at 5 °C</v>
      </c>
      <c r="D125" s="196">
        <f t="shared" si="19"/>
        <v>1.8666666666666667</v>
      </c>
      <c r="E125" s="197">
        <v>21.66</v>
      </c>
      <c r="F125" s="198">
        <v>22.05</v>
      </c>
      <c r="G125" s="199">
        <v>22.45</v>
      </c>
      <c r="H125" s="128" t="s">
        <v>18</v>
      </c>
      <c r="I125" s="29"/>
      <c r="J125" s="29">
        <v>22.45</v>
      </c>
      <c r="K125" s="29">
        <v>22.05</v>
      </c>
      <c r="L125" s="29">
        <v>21.66</v>
      </c>
      <c r="M125" s="29"/>
      <c r="N125" s="29"/>
      <c r="O125" s="29"/>
      <c r="P125" s="29"/>
      <c r="Q125" s="29"/>
      <c r="R125" s="29"/>
      <c r="S125" s="29"/>
      <c r="T125" s="29"/>
      <c r="U125" s="29"/>
      <c r="V125" s="29"/>
      <c r="W125" s="29"/>
      <c r="X125" s="29"/>
      <c r="Y125" s="30"/>
      <c r="Z125" s="18"/>
      <c r="AA125" s="19"/>
      <c r="AB125" s="19"/>
      <c r="AC125" s="20">
        <f t="shared" si="21"/>
        <v>5</v>
      </c>
      <c r="AD125" s="20">
        <f t="shared" si="22"/>
        <v>21.66</v>
      </c>
      <c r="AE125" s="20">
        <f t="shared" si="23"/>
        <v>22.05</v>
      </c>
      <c r="AF125" s="20">
        <f t="shared" si="24"/>
        <v>22.45</v>
      </c>
      <c r="AG125" s="20">
        <f>Table9[[#This Row],[RTH(min) (kΩ)]]*RT2_TH_MIN/(RT2_TH_MIN+Table9[[#This Row],[RTH(min) (kΩ)]])</f>
        <v>12.661100275496011</v>
      </c>
      <c r="AH125" s="20">
        <f>Table9[[#This Row],[RTH(nom) (kΩ)]]*RT2_TH_S/(RT2_TH_S+Table9[[#This Row],[RTH(nom) (kΩ)]])</f>
        <v>12.798740941886683</v>
      </c>
      <c r="AI125" s="20">
        <f>Table9[[#This Row],[RTH(max) (kΩ)]]*RT2_TH_S_MAX/(RT2_TH_S_MAX+Table9[[#This Row],[RTH(max) (kΩ)]])</f>
        <v>12.937967522140042</v>
      </c>
      <c r="AJ125" s="20">
        <f>Table9[[#This Row],[RLower(min) (kΩ)]]/(Table9[[#This Row],[RLower(min) (kΩ)]]+RT1_TH_S_MAX)*100</f>
        <v>70.735073475603613</v>
      </c>
      <c r="AK125" s="20">
        <f>Table9[[#This Row],[RLower(nom) (kΩ)]]/(Table9[[#This Row],[RLower(nom) (kΩ)]]+RT1_TH_S)*100</f>
        <v>70.978987924882446</v>
      </c>
      <c r="AL125" s="20">
        <f>Table9[[#This Row],[RLower(max) (kΩ)]]/(Table9[[#This Row],[RLower(max) (kΩ)]]+RT1_TH_S_MIN)*100</f>
        <v>71.221858964574551</v>
      </c>
      <c r="AM125" s="20">
        <f>IF(Table9[[#This Row],[Vmin (%)]]&lt;$BA$14, 0, IF(Table9[[#This Row],[Vmin (%)]]&lt;$BA$12, 4, IF(Table9[[#This Row],[Vmin (%)]]&lt;$BA$9, 3, IF(Table9[[#This Row],[Vmin (%)]]&lt;$BA$7, 2, 0))))</f>
        <v>3</v>
      </c>
      <c r="AN125" s="20">
        <f>IF(Table9[[#This Row],[Vmin (%)]]&lt;$BA$13, 0, IF(Table9[[#This Row],[Vmin (%)]]&lt;$BA$11, 4, IF(Table9[[#This Row],[Vmin (%)]]&lt;$BA$10, 3, IF(Table9[[#This Row],[Vmin (%)]]&lt;$BA$8, 2, 0))))</f>
        <v>2</v>
      </c>
      <c r="AO125" s="76" t="str">
        <f>IF(Table9[[#This Row],[Vmin (%)]]&lt;$BA$14, "Hot", IF(Table9[[#This Row],[Vmin (%)]]&lt;$BA$12, "Warm", IF(Table9[[#This Row],[Vmin (%)]]&lt;$BA$9, "Normal", IF(Table9[[#This Row],[Vmin (%)]]&lt;$BA$7, "Cool", "Cold"))))</f>
        <v>Normal</v>
      </c>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c r="BP125" s="19"/>
      <c r="BQ125" s="19"/>
      <c r="BR125" s="19"/>
      <c r="BS125" s="19"/>
      <c r="BT125" s="19"/>
      <c r="BU125" s="19"/>
      <c r="BV125" s="19"/>
      <c r="BW125" s="19"/>
      <c r="BX125" s="19"/>
      <c r="BY125" s="19"/>
      <c r="BZ125" s="19"/>
      <c r="CA125" s="19"/>
      <c r="CB125" s="19"/>
      <c r="CC125" s="19"/>
      <c r="CD125" s="19"/>
      <c r="CE125" s="19"/>
      <c r="CF125" s="19"/>
      <c r="CG125" s="19"/>
      <c r="CH125" s="19"/>
      <c r="CI125" s="19"/>
      <c r="CJ125" s="19"/>
      <c r="CK125" s="19"/>
      <c r="CL125" s="19"/>
      <c r="CM125" s="19"/>
      <c r="CN125" s="19"/>
      <c r="CO125" s="19"/>
      <c r="CP125" s="19"/>
      <c r="CQ125" s="19"/>
      <c r="CR125" s="19"/>
      <c r="CS125" s="19"/>
      <c r="CT125" s="19"/>
      <c r="CU125" s="19"/>
      <c r="CV125" s="19"/>
      <c r="CW125" s="19"/>
      <c r="CX125" s="19"/>
      <c r="CY125" s="19"/>
      <c r="CZ125" s="19"/>
      <c r="DA125" s="19"/>
      <c r="DB125" s="19"/>
      <c r="DC125" s="19"/>
      <c r="DD125" s="19"/>
      <c r="DE125" s="19"/>
      <c r="DF125" s="19"/>
      <c r="DG125" s="19"/>
      <c r="DH125" s="19"/>
      <c r="DI125" s="19"/>
      <c r="DJ125" s="19"/>
      <c r="DK125" s="19"/>
      <c r="DL125" s="19"/>
      <c r="DM125" s="19"/>
      <c r="DN125" s="19"/>
      <c r="DO125" s="19"/>
      <c r="DP125" s="19"/>
      <c r="DQ125" s="19"/>
      <c r="DR125" s="19"/>
      <c r="DS125" s="19"/>
      <c r="DT125" s="19"/>
      <c r="DU125" s="19"/>
      <c r="DV125" s="19"/>
      <c r="DW125" s="19"/>
      <c r="DX125" s="19"/>
      <c r="DY125" s="19"/>
      <c r="DZ125" s="19"/>
      <c r="EA125" s="19"/>
      <c r="EB125" s="19"/>
      <c r="EC125" s="19"/>
      <c r="ED125" s="19"/>
      <c r="EE125" s="19"/>
      <c r="EF125" s="19"/>
      <c r="EG125" s="19"/>
      <c r="EH125" s="19"/>
      <c r="EI125" s="19"/>
      <c r="EJ125" s="19"/>
      <c r="EK125" s="19"/>
      <c r="EL125" s="19"/>
      <c r="EM125" s="19"/>
      <c r="EN125" s="19"/>
      <c r="EO125" s="19"/>
      <c r="EP125" s="19"/>
      <c r="EQ125" s="19"/>
      <c r="ER125" s="19"/>
      <c r="ES125" s="19"/>
      <c r="ET125" s="19"/>
      <c r="EU125" s="19"/>
      <c r="EV125" s="19"/>
      <c r="EW125" s="19"/>
      <c r="EX125" s="19"/>
      <c r="EY125" s="19"/>
      <c r="EZ125" s="19"/>
      <c r="FA125" s="19"/>
      <c r="FB125" s="19"/>
      <c r="FC125" s="19"/>
      <c r="FD125" s="19"/>
      <c r="FE125" s="19"/>
      <c r="FF125" s="19"/>
      <c r="FG125" s="19"/>
      <c r="FH125" s="19"/>
      <c r="FI125" s="19"/>
      <c r="FJ125" s="19"/>
      <c r="FK125" s="19"/>
      <c r="FL125" s="19"/>
      <c r="FM125" s="19"/>
      <c r="FN125" s="19"/>
      <c r="FO125" s="19"/>
      <c r="FP125" s="19"/>
      <c r="FQ125" s="19"/>
      <c r="FR125" s="19"/>
      <c r="FS125" s="19"/>
      <c r="FT125" s="19"/>
      <c r="FU125" s="19"/>
      <c r="FV125" s="19"/>
      <c r="FW125" s="19"/>
      <c r="FX125" s="19"/>
      <c r="FY125" s="19"/>
      <c r="FZ125" s="19"/>
      <c r="GA125" s="19"/>
      <c r="GB125" s="19"/>
      <c r="GC125" s="19"/>
      <c r="GD125" s="19"/>
      <c r="GE125" s="19"/>
      <c r="GF125" s="19"/>
      <c r="GG125" s="19"/>
      <c r="GH125" s="19"/>
      <c r="GI125" s="19"/>
      <c r="GJ125" s="19"/>
      <c r="GK125" s="19"/>
      <c r="GL125" s="19"/>
      <c r="GM125" s="19"/>
      <c r="GN125" s="19"/>
      <c r="GO125" s="19"/>
      <c r="GP125" s="19"/>
      <c r="GQ125" s="19"/>
      <c r="GR125" s="19"/>
      <c r="GS125" s="19"/>
      <c r="GT125" s="19"/>
      <c r="GU125" s="19"/>
      <c r="GV125" s="19"/>
      <c r="GW125" s="19"/>
      <c r="GX125" s="19"/>
      <c r="GY125" s="19"/>
      <c r="GZ125" s="19"/>
      <c r="HA125" s="19"/>
      <c r="HB125" s="19"/>
    </row>
    <row r="126" spans="1:210" x14ac:dyDescent="0.25">
      <c r="A126" s="113">
        <f t="shared" si="17"/>
        <v>4</v>
      </c>
      <c r="B126" s="163"/>
      <c r="C126" s="172" t="str">
        <f t="shared" si="20"/>
        <v>RTH at 4 °C</v>
      </c>
      <c r="D126" s="196">
        <f t="shared" si="19"/>
        <v>1.9100000000000001</v>
      </c>
      <c r="E126" s="197">
        <v>22.57</v>
      </c>
      <c r="F126" s="198">
        <v>23</v>
      </c>
      <c r="G126" s="199">
        <v>23.42</v>
      </c>
      <c r="H126" s="128" t="s">
        <v>18</v>
      </c>
      <c r="I126" s="29"/>
      <c r="J126" s="29">
        <v>23.42</v>
      </c>
      <c r="K126" s="29">
        <v>23</v>
      </c>
      <c r="L126" s="29">
        <v>22.57</v>
      </c>
      <c r="M126" s="29"/>
      <c r="N126" s="29"/>
      <c r="O126" s="29"/>
      <c r="P126" s="29"/>
      <c r="Q126" s="29"/>
      <c r="R126" s="29"/>
      <c r="S126" s="29"/>
      <c r="T126" s="29"/>
      <c r="U126" s="29"/>
      <c r="V126" s="29"/>
      <c r="W126" s="29"/>
      <c r="X126" s="29"/>
      <c r="Y126" s="30"/>
      <c r="Z126" s="18"/>
      <c r="AA126" s="19"/>
      <c r="AB126" s="19"/>
      <c r="AC126" s="20">
        <f t="shared" si="21"/>
        <v>4</v>
      </c>
      <c r="AD126" s="20">
        <f t="shared" si="22"/>
        <v>22.57</v>
      </c>
      <c r="AE126" s="20">
        <f t="shared" si="23"/>
        <v>23</v>
      </c>
      <c r="AF126" s="20">
        <f t="shared" si="24"/>
        <v>23.42</v>
      </c>
      <c r="AG126" s="20">
        <f>Table9[[#This Row],[RTH(min) (kΩ)]]*RT2_TH_MIN/(RT2_TH_MIN+Table9[[#This Row],[RTH(min) (kΩ)]])</f>
        <v>12.966699520049367</v>
      </c>
      <c r="AH126" s="20">
        <f>Table9[[#This Row],[RTH(nom) (kΩ)]]*RT2_TH_S/(RT2_TH_S+Table9[[#This Row],[RTH(nom) (kΩ)]])</f>
        <v>13.113125081316051</v>
      </c>
      <c r="AI126" s="20">
        <f>Table9[[#This Row],[RTH(max) (kΩ)]]*RT2_TH_S_MAX/(RT2_TH_S_MAX+Table9[[#This Row],[RTH(max) (kΩ)]])</f>
        <v>13.254335496743211</v>
      </c>
      <c r="AJ126" s="20">
        <f>Table9[[#This Row],[RLower(min) (kΩ)]]/(Table9[[#This Row],[RLower(min) (kΩ)]]+RT1_TH_S_MAX)*100</f>
        <v>71.226332851680667</v>
      </c>
      <c r="AK126" s="20">
        <f>Table9[[#This Row],[RLower(nom) (kΩ)]]/(Table9[[#This Row],[RLower(nom) (kΩ)]]+RT1_TH_S)*100</f>
        <v>71.47630004223484</v>
      </c>
      <c r="AL126" s="20">
        <f>Table9[[#This Row],[RLower(max) (kΩ)]]/(Table9[[#This Row],[RLower(max) (kΩ)]]+RT1_TH_S_MIN)*100</f>
        <v>71.71446994055205</v>
      </c>
      <c r="AM126" s="20">
        <f>IF(Table9[[#This Row],[Vmin (%)]]&lt;$BA$14, 0, IF(Table9[[#This Row],[Vmin (%)]]&lt;$BA$12, 4, IF(Table9[[#This Row],[Vmin (%)]]&lt;$BA$9, 3, IF(Table9[[#This Row],[Vmin (%)]]&lt;$BA$7, 2, 0))))</f>
        <v>2</v>
      </c>
      <c r="AN126" s="20">
        <f>IF(Table9[[#This Row],[Vmin (%)]]&lt;$BA$13, 0, IF(Table9[[#This Row],[Vmin (%)]]&lt;$BA$11, 4, IF(Table9[[#This Row],[Vmin (%)]]&lt;$BA$10, 3, IF(Table9[[#This Row],[Vmin (%)]]&lt;$BA$8, 2, 0))))</f>
        <v>2</v>
      </c>
      <c r="AO126" s="76" t="str">
        <f>IF(Table9[[#This Row],[Vmin (%)]]&lt;$BA$14, "Hot", IF(Table9[[#This Row],[Vmin (%)]]&lt;$BA$12, "Warm", IF(Table9[[#This Row],[Vmin (%)]]&lt;$BA$9, "Normal", IF(Table9[[#This Row],[Vmin (%)]]&lt;$BA$7, "Cool", "Cold"))))</f>
        <v>Cool</v>
      </c>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c r="BP126" s="19"/>
      <c r="BQ126" s="19"/>
      <c r="BR126" s="19"/>
      <c r="BS126" s="19"/>
      <c r="BT126" s="19"/>
      <c r="BU126" s="19"/>
      <c r="BV126" s="19"/>
      <c r="BW126" s="19"/>
      <c r="BX126" s="19"/>
      <c r="BY126" s="19"/>
      <c r="BZ126" s="19"/>
      <c r="CA126" s="19"/>
      <c r="CB126" s="19"/>
      <c r="CC126" s="19"/>
      <c r="CD126" s="19"/>
      <c r="CE126" s="19"/>
      <c r="CF126" s="19"/>
      <c r="CG126" s="19"/>
      <c r="CH126" s="19"/>
      <c r="CI126" s="19"/>
      <c r="CJ126" s="19"/>
      <c r="CK126" s="19"/>
      <c r="CL126" s="19"/>
      <c r="CM126" s="19"/>
      <c r="CN126" s="19"/>
      <c r="CO126" s="19"/>
      <c r="CP126" s="19"/>
      <c r="CQ126" s="19"/>
      <c r="CR126" s="19"/>
      <c r="CS126" s="19"/>
      <c r="CT126" s="19"/>
      <c r="CU126" s="19"/>
      <c r="CV126" s="19"/>
      <c r="CW126" s="19"/>
      <c r="CX126" s="19"/>
      <c r="CY126" s="19"/>
      <c r="CZ126" s="19"/>
      <c r="DA126" s="19"/>
      <c r="DB126" s="19"/>
      <c r="DC126" s="19"/>
      <c r="DD126" s="19"/>
      <c r="DE126" s="19"/>
      <c r="DF126" s="19"/>
      <c r="DG126" s="19"/>
      <c r="DH126" s="19"/>
      <c r="DI126" s="19"/>
      <c r="DJ126" s="19"/>
      <c r="DK126" s="19"/>
      <c r="DL126" s="19"/>
      <c r="DM126" s="19"/>
      <c r="DN126" s="19"/>
      <c r="DO126" s="19"/>
      <c r="DP126" s="19"/>
      <c r="DQ126" s="19"/>
      <c r="DR126" s="19"/>
      <c r="DS126" s="19"/>
      <c r="DT126" s="19"/>
      <c r="DU126" s="19"/>
      <c r="DV126" s="19"/>
      <c r="DW126" s="19"/>
      <c r="DX126" s="19"/>
      <c r="DY126" s="19"/>
      <c r="DZ126" s="19"/>
      <c r="EA126" s="19"/>
      <c r="EB126" s="19"/>
      <c r="EC126" s="19"/>
      <c r="ED126" s="19"/>
      <c r="EE126" s="19"/>
      <c r="EF126" s="19"/>
      <c r="EG126" s="19"/>
      <c r="EH126" s="19"/>
      <c r="EI126" s="19"/>
      <c r="EJ126" s="19"/>
      <c r="EK126" s="19"/>
      <c r="EL126" s="19"/>
      <c r="EM126" s="19"/>
      <c r="EN126" s="19"/>
      <c r="EO126" s="19"/>
      <c r="EP126" s="19"/>
      <c r="EQ126" s="19"/>
      <c r="ER126" s="19"/>
      <c r="ES126" s="19"/>
      <c r="ET126" s="19"/>
      <c r="EU126" s="19"/>
      <c r="EV126" s="19"/>
      <c r="EW126" s="19"/>
      <c r="EX126" s="19"/>
      <c r="EY126" s="19"/>
      <c r="EZ126" s="19"/>
      <c r="FA126" s="19"/>
      <c r="FB126" s="19"/>
      <c r="FC126" s="19"/>
      <c r="FD126" s="19"/>
      <c r="FE126" s="19"/>
      <c r="FF126" s="19"/>
      <c r="FG126" s="19"/>
      <c r="FH126" s="19"/>
      <c r="FI126" s="19"/>
      <c r="FJ126" s="19"/>
      <c r="FK126" s="19"/>
      <c r="FL126" s="19"/>
      <c r="FM126" s="19"/>
      <c r="FN126" s="19"/>
      <c r="FO126" s="19"/>
      <c r="FP126" s="19"/>
      <c r="FQ126" s="19"/>
      <c r="FR126" s="19"/>
      <c r="FS126" s="19"/>
      <c r="FT126" s="19"/>
      <c r="FU126" s="19"/>
      <c r="FV126" s="19"/>
      <c r="FW126" s="19"/>
      <c r="FX126" s="19"/>
      <c r="FY126" s="19"/>
      <c r="FZ126" s="19"/>
      <c r="GA126" s="19"/>
      <c r="GB126" s="19"/>
      <c r="GC126" s="19"/>
      <c r="GD126" s="19"/>
      <c r="GE126" s="19"/>
      <c r="GF126" s="19"/>
      <c r="GG126" s="19"/>
      <c r="GH126" s="19"/>
      <c r="GI126" s="19"/>
      <c r="GJ126" s="19"/>
      <c r="GK126" s="19"/>
      <c r="GL126" s="19"/>
      <c r="GM126" s="19"/>
      <c r="GN126" s="19"/>
      <c r="GO126" s="19"/>
      <c r="GP126" s="19"/>
      <c r="GQ126" s="19"/>
      <c r="GR126" s="19"/>
      <c r="GS126" s="19"/>
      <c r="GT126" s="19"/>
      <c r="GU126" s="19"/>
      <c r="GV126" s="19"/>
      <c r="GW126" s="19"/>
      <c r="GX126" s="19"/>
      <c r="GY126" s="19"/>
      <c r="GZ126" s="19"/>
      <c r="HA126" s="19"/>
      <c r="HB126" s="19"/>
    </row>
    <row r="127" spans="1:210" x14ac:dyDescent="0.25">
      <c r="A127" s="113">
        <f t="shared" si="17"/>
        <v>3</v>
      </c>
      <c r="B127" s="163"/>
      <c r="C127" s="172" t="str">
        <f t="shared" si="20"/>
        <v>RTH at 3 °C</v>
      </c>
      <c r="D127" s="196">
        <f t="shared" si="19"/>
        <v>1.9533333333333334</v>
      </c>
      <c r="E127" s="197">
        <v>23.54</v>
      </c>
      <c r="F127" s="198">
        <v>23.99</v>
      </c>
      <c r="G127" s="199">
        <v>24.44</v>
      </c>
      <c r="H127" s="128" t="s">
        <v>18</v>
      </c>
      <c r="I127" s="29"/>
      <c r="J127" s="29">
        <v>24.44</v>
      </c>
      <c r="K127" s="29">
        <v>23.99</v>
      </c>
      <c r="L127" s="29">
        <v>23.54</v>
      </c>
      <c r="M127" s="29"/>
      <c r="N127" s="29"/>
      <c r="O127" s="29"/>
      <c r="P127" s="29"/>
      <c r="Q127" s="29"/>
      <c r="R127" s="29"/>
      <c r="S127" s="29"/>
      <c r="T127" s="29"/>
      <c r="U127" s="29"/>
      <c r="V127" s="29"/>
      <c r="W127" s="29"/>
      <c r="X127" s="29"/>
      <c r="Y127" s="30"/>
      <c r="Z127" s="18"/>
      <c r="AA127" s="19"/>
      <c r="AB127" s="19"/>
      <c r="AC127" s="20">
        <f t="shared" si="21"/>
        <v>3</v>
      </c>
      <c r="AD127" s="20">
        <f t="shared" si="22"/>
        <v>23.54</v>
      </c>
      <c r="AE127" s="20">
        <f t="shared" si="23"/>
        <v>23.99</v>
      </c>
      <c r="AF127" s="20">
        <f t="shared" si="24"/>
        <v>24.44</v>
      </c>
      <c r="AG127" s="20">
        <f>Table9[[#This Row],[RTH(min) (kΩ)]]*RT2_TH_MIN/(RT2_TH_MIN+Table9[[#This Row],[RTH(min) (kΩ)]])</f>
        <v>13.28111038843323</v>
      </c>
      <c r="AH127" s="20">
        <f>Table9[[#This Row],[RTH(nom) (kΩ)]]*RT2_TH_S/(RT2_TH_S+Table9[[#This Row],[RTH(nom) (kΩ)]])</f>
        <v>13.429083318980874</v>
      </c>
      <c r="AI127" s="20">
        <f>Table9[[#This Row],[RTH(max) (kΩ)]]*RT2_TH_S_MAX/(RT2_TH_S_MAX+Table9[[#This Row],[RTH(max) (kΩ)]])</f>
        <v>13.574968988760498</v>
      </c>
      <c r="AJ127" s="20">
        <f>Table9[[#This Row],[RLower(min) (kΩ)]]/(Table9[[#This Row],[RLower(min) (kΩ)]]+RT1_TH_S_MAX)*100</f>
        <v>71.714836024502418</v>
      </c>
      <c r="AK127" s="20">
        <f>Table9[[#This Row],[RLower(nom) (kΩ)]]/(Table9[[#This Row],[RLower(nom) (kΩ)]]+RT1_TH_S)*100</f>
        <v>71.959220522852021</v>
      </c>
      <c r="AL127" s="20">
        <f>Table9[[#This Row],[RLower(max) (kΩ)]]/(Table9[[#This Row],[RLower(max) (kΩ)]]+RT1_TH_S_MIN)*100</f>
        <v>72.196808922916532</v>
      </c>
      <c r="AM127" s="20">
        <f>IF(Table9[[#This Row],[Vmin (%)]]&lt;$BA$14, 0, IF(Table9[[#This Row],[Vmin (%)]]&lt;$BA$12, 4, IF(Table9[[#This Row],[Vmin (%)]]&lt;$BA$9, 3, IF(Table9[[#This Row],[Vmin (%)]]&lt;$BA$7, 2, 0))))</f>
        <v>2</v>
      </c>
      <c r="AN127" s="20">
        <f>IF(Table9[[#This Row],[Vmin (%)]]&lt;$BA$13, 0, IF(Table9[[#This Row],[Vmin (%)]]&lt;$BA$11, 4, IF(Table9[[#This Row],[Vmin (%)]]&lt;$BA$10, 3, IF(Table9[[#This Row],[Vmin (%)]]&lt;$BA$8, 2, 0))))</f>
        <v>2</v>
      </c>
      <c r="AO127" s="76" t="str">
        <f>IF(Table9[[#This Row],[Vmin (%)]]&lt;$BA$14, "Hot", IF(Table9[[#This Row],[Vmin (%)]]&lt;$BA$12, "Warm", IF(Table9[[#This Row],[Vmin (%)]]&lt;$BA$9, "Normal", IF(Table9[[#This Row],[Vmin (%)]]&lt;$BA$7, "Cool", "Cold"))))</f>
        <v>Cool</v>
      </c>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c r="BP127" s="19"/>
      <c r="BQ127" s="19"/>
      <c r="BR127" s="19"/>
      <c r="BS127" s="19"/>
      <c r="BT127" s="19"/>
      <c r="BU127" s="19"/>
      <c r="BV127" s="19"/>
      <c r="BW127" s="19"/>
      <c r="BX127" s="19"/>
      <c r="BY127" s="19"/>
      <c r="BZ127" s="19"/>
      <c r="CA127" s="19"/>
      <c r="CB127" s="19"/>
      <c r="CC127" s="19"/>
      <c r="CD127" s="19"/>
      <c r="CE127" s="19"/>
      <c r="CF127" s="19"/>
      <c r="CG127" s="19"/>
      <c r="CH127" s="19"/>
      <c r="CI127" s="19"/>
      <c r="CJ127" s="19"/>
      <c r="CK127" s="19"/>
      <c r="CL127" s="19"/>
      <c r="CM127" s="19"/>
      <c r="CN127" s="19"/>
      <c r="CO127" s="19"/>
      <c r="CP127" s="19"/>
      <c r="CQ127" s="19"/>
      <c r="CR127" s="19"/>
      <c r="CS127" s="19"/>
      <c r="CT127" s="19"/>
      <c r="CU127" s="19"/>
      <c r="CV127" s="19"/>
      <c r="CW127" s="19"/>
      <c r="CX127" s="19"/>
      <c r="CY127" s="19"/>
      <c r="CZ127" s="19"/>
      <c r="DA127" s="19"/>
      <c r="DB127" s="19"/>
      <c r="DC127" s="19"/>
      <c r="DD127" s="19"/>
      <c r="DE127" s="19"/>
      <c r="DF127" s="19"/>
      <c r="DG127" s="19"/>
      <c r="DH127" s="19"/>
      <c r="DI127" s="19"/>
      <c r="DJ127" s="19"/>
      <c r="DK127" s="19"/>
      <c r="DL127" s="19"/>
      <c r="DM127" s="19"/>
      <c r="DN127" s="19"/>
      <c r="DO127" s="19"/>
      <c r="DP127" s="19"/>
      <c r="DQ127" s="19"/>
      <c r="DR127" s="19"/>
      <c r="DS127" s="19"/>
      <c r="DT127" s="19"/>
      <c r="DU127" s="19"/>
      <c r="DV127" s="19"/>
      <c r="DW127" s="19"/>
      <c r="DX127" s="19"/>
      <c r="DY127" s="19"/>
      <c r="DZ127" s="19"/>
      <c r="EA127" s="19"/>
      <c r="EB127" s="19"/>
      <c r="EC127" s="19"/>
      <c r="ED127" s="19"/>
      <c r="EE127" s="19"/>
      <c r="EF127" s="19"/>
      <c r="EG127" s="19"/>
      <c r="EH127" s="19"/>
      <c r="EI127" s="19"/>
      <c r="EJ127" s="19"/>
      <c r="EK127" s="19"/>
      <c r="EL127" s="19"/>
      <c r="EM127" s="19"/>
      <c r="EN127" s="19"/>
      <c r="EO127" s="19"/>
      <c r="EP127" s="19"/>
      <c r="EQ127" s="19"/>
      <c r="ER127" s="19"/>
      <c r="ES127" s="19"/>
      <c r="ET127" s="19"/>
      <c r="EU127" s="19"/>
      <c r="EV127" s="19"/>
      <c r="EW127" s="19"/>
      <c r="EX127" s="19"/>
      <c r="EY127" s="19"/>
      <c r="EZ127" s="19"/>
      <c r="FA127" s="19"/>
      <c r="FB127" s="19"/>
      <c r="FC127" s="19"/>
      <c r="FD127" s="19"/>
      <c r="FE127" s="19"/>
      <c r="FF127" s="19"/>
      <c r="FG127" s="19"/>
      <c r="FH127" s="19"/>
      <c r="FI127" s="19"/>
      <c r="FJ127" s="19"/>
      <c r="FK127" s="19"/>
      <c r="FL127" s="19"/>
      <c r="FM127" s="19"/>
      <c r="FN127" s="19"/>
      <c r="FO127" s="19"/>
      <c r="FP127" s="19"/>
      <c r="FQ127" s="19"/>
      <c r="FR127" s="19"/>
      <c r="FS127" s="19"/>
      <c r="FT127" s="19"/>
      <c r="FU127" s="19"/>
      <c r="FV127" s="19"/>
      <c r="FW127" s="19"/>
      <c r="FX127" s="19"/>
      <c r="FY127" s="19"/>
      <c r="FZ127" s="19"/>
      <c r="GA127" s="19"/>
      <c r="GB127" s="19"/>
      <c r="GC127" s="19"/>
      <c r="GD127" s="19"/>
      <c r="GE127" s="19"/>
      <c r="GF127" s="19"/>
      <c r="GG127" s="19"/>
      <c r="GH127" s="19"/>
      <c r="GI127" s="19"/>
      <c r="GJ127" s="19"/>
      <c r="GK127" s="19"/>
      <c r="GL127" s="19"/>
      <c r="GM127" s="19"/>
      <c r="GN127" s="19"/>
      <c r="GO127" s="19"/>
      <c r="GP127" s="19"/>
      <c r="GQ127" s="19"/>
      <c r="GR127" s="19"/>
      <c r="GS127" s="19"/>
      <c r="GT127" s="19"/>
      <c r="GU127" s="19"/>
      <c r="GV127" s="19"/>
      <c r="GW127" s="19"/>
      <c r="GX127" s="19"/>
      <c r="GY127" s="19"/>
      <c r="GZ127" s="19"/>
      <c r="HA127" s="19"/>
      <c r="HB127" s="19"/>
    </row>
    <row r="128" spans="1:210" x14ac:dyDescent="0.25">
      <c r="A128" s="113">
        <f t="shared" si="17"/>
        <v>2</v>
      </c>
      <c r="B128" s="163"/>
      <c r="C128" s="172" t="str">
        <f t="shared" si="20"/>
        <v>RTH at 2 °C</v>
      </c>
      <c r="D128" s="196">
        <f t="shared" si="19"/>
        <v>1.9966666666666666</v>
      </c>
      <c r="E128" s="197">
        <v>24.55</v>
      </c>
      <c r="F128" s="198">
        <v>25.03</v>
      </c>
      <c r="G128" s="199">
        <v>25.52</v>
      </c>
      <c r="H128" s="128" t="s">
        <v>18</v>
      </c>
      <c r="I128" s="29"/>
      <c r="J128" s="29">
        <v>25.52</v>
      </c>
      <c r="K128" s="29">
        <v>25.03</v>
      </c>
      <c r="L128" s="29">
        <v>24.55</v>
      </c>
      <c r="M128" s="29"/>
      <c r="N128" s="29"/>
      <c r="O128" s="29"/>
      <c r="P128" s="29"/>
      <c r="Q128" s="29"/>
      <c r="R128" s="29"/>
      <c r="S128" s="29"/>
      <c r="T128" s="29"/>
      <c r="U128" s="29"/>
      <c r="V128" s="29"/>
      <c r="W128" s="29"/>
      <c r="X128" s="29"/>
      <c r="Y128" s="30"/>
      <c r="Z128" s="18"/>
      <c r="AA128" s="19"/>
      <c r="AB128" s="19"/>
      <c r="AC128" s="20">
        <f t="shared" si="21"/>
        <v>2</v>
      </c>
      <c r="AD128" s="20">
        <f t="shared" si="22"/>
        <v>24.55</v>
      </c>
      <c r="AE128" s="20">
        <f t="shared" si="23"/>
        <v>25.03</v>
      </c>
      <c r="AF128" s="20">
        <f t="shared" si="24"/>
        <v>25.52</v>
      </c>
      <c r="AG128" s="20">
        <f>Table9[[#This Row],[RTH(min) (kΩ)]]*RT2_TH_MIN/(RT2_TH_MIN+Table9[[#This Row],[RTH(min) (kΩ)]])</f>
        <v>13.596706414078428</v>
      </c>
      <c r="AH128" s="20">
        <f>Table9[[#This Row],[RTH(nom) (kΩ)]]*RT2_TH_S/(RT2_TH_S+Table9[[#This Row],[RTH(nom) (kΩ)]])</f>
        <v>13.748866414662475</v>
      </c>
      <c r="AI128" s="20">
        <f>Table9[[#This Row],[RTH(max) (kΩ)]]*RT2_TH_S_MAX/(RT2_TH_S_MAX+Table9[[#This Row],[RTH(max) (kΩ)]])</f>
        <v>13.901744908064448</v>
      </c>
      <c r="AJ128" s="20">
        <f>Table9[[#This Row],[RLower(min) (kΩ)]]/(Table9[[#This Row],[RLower(min) (kΩ)]]+RT1_TH_S_MAX)*100</f>
        <v>72.188779122446192</v>
      </c>
      <c r="AK128" s="20">
        <f>Table9[[#This Row],[RLower(nom) (kΩ)]]/(Table9[[#This Row],[RLower(nom) (kΩ)]]+RT1_TH_S)*100</f>
        <v>72.431617243641114</v>
      </c>
      <c r="AL128" s="20">
        <f>Table9[[#This Row],[RLower(max) (kΩ)]]/(Table9[[#This Row],[RLower(max) (kΩ)]]+RT1_TH_S_MIN)*100</f>
        <v>72.671751387105374</v>
      </c>
      <c r="AM128" s="20">
        <f>IF(Table9[[#This Row],[Vmin (%)]]&lt;$BA$14, 0, IF(Table9[[#This Row],[Vmin (%)]]&lt;$BA$12, 4, IF(Table9[[#This Row],[Vmin (%)]]&lt;$BA$9, 3, IF(Table9[[#This Row],[Vmin (%)]]&lt;$BA$7, 2, 0))))</f>
        <v>2</v>
      </c>
      <c r="AN128" s="20">
        <f>IF(Table9[[#This Row],[Vmin (%)]]&lt;$BA$13, 0, IF(Table9[[#This Row],[Vmin (%)]]&lt;$BA$11, 4, IF(Table9[[#This Row],[Vmin (%)]]&lt;$BA$10, 3, IF(Table9[[#This Row],[Vmin (%)]]&lt;$BA$8, 2, 0))))</f>
        <v>2</v>
      </c>
      <c r="AO128" s="76" t="str">
        <f>IF(Table9[[#This Row],[Vmin (%)]]&lt;$BA$14, "Hot", IF(Table9[[#This Row],[Vmin (%)]]&lt;$BA$12, "Warm", IF(Table9[[#This Row],[Vmin (%)]]&lt;$BA$9, "Normal", IF(Table9[[#This Row],[Vmin (%)]]&lt;$BA$7, "Cool", "Cold"))))</f>
        <v>Cool</v>
      </c>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c r="BP128" s="19"/>
      <c r="BQ128" s="19"/>
      <c r="BR128" s="19"/>
      <c r="BS128" s="19"/>
      <c r="BT128" s="19"/>
      <c r="BU128" s="19"/>
      <c r="BV128" s="19"/>
      <c r="BW128" s="19"/>
      <c r="BX128" s="19"/>
      <c r="BY128" s="19"/>
      <c r="BZ128" s="19"/>
      <c r="CA128" s="19"/>
      <c r="CB128" s="19"/>
      <c r="CC128" s="19"/>
      <c r="CD128" s="19"/>
      <c r="CE128" s="19"/>
      <c r="CF128" s="19"/>
      <c r="CG128" s="19"/>
      <c r="CH128" s="19"/>
      <c r="CI128" s="19"/>
      <c r="CJ128" s="19"/>
      <c r="CK128" s="19"/>
      <c r="CL128" s="19"/>
      <c r="CM128" s="19"/>
      <c r="CN128" s="19"/>
      <c r="CO128" s="19"/>
      <c r="CP128" s="19"/>
      <c r="CQ128" s="19"/>
      <c r="CR128" s="19"/>
      <c r="CS128" s="19"/>
      <c r="CT128" s="19"/>
      <c r="CU128" s="19"/>
      <c r="CV128" s="19"/>
      <c r="CW128" s="19"/>
      <c r="CX128" s="19"/>
      <c r="CY128" s="19"/>
      <c r="CZ128" s="19"/>
      <c r="DA128" s="19"/>
      <c r="DB128" s="19"/>
      <c r="DC128" s="19"/>
      <c r="DD128" s="19"/>
      <c r="DE128" s="19"/>
      <c r="DF128" s="19"/>
      <c r="DG128" s="19"/>
      <c r="DH128" s="19"/>
      <c r="DI128" s="19"/>
      <c r="DJ128" s="19"/>
      <c r="DK128" s="19"/>
      <c r="DL128" s="19"/>
      <c r="DM128" s="19"/>
      <c r="DN128" s="19"/>
      <c r="DO128" s="19"/>
      <c r="DP128" s="19"/>
      <c r="DQ128" s="19"/>
      <c r="DR128" s="19"/>
      <c r="DS128" s="19"/>
      <c r="DT128" s="19"/>
      <c r="DU128" s="19"/>
      <c r="DV128" s="19"/>
      <c r="DW128" s="19"/>
      <c r="DX128" s="19"/>
      <c r="DY128" s="19"/>
      <c r="DZ128" s="19"/>
      <c r="EA128" s="19"/>
      <c r="EB128" s="19"/>
      <c r="EC128" s="19"/>
      <c r="ED128" s="19"/>
      <c r="EE128" s="19"/>
      <c r="EF128" s="19"/>
      <c r="EG128" s="19"/>
      <c r="EH128" s="19"/>
      <c r="EI128" s="19"/>
      <c r="EJ128" s="19"/>
      <c r="EK128" s="19"/>
      <c r="EL128" s="19"/>
      <c r="EM128" s="19"/>
      <c r="EN128" s="19"/>
      <c r="EO128" s="19"/>
      <c r="EP128" s="19"/>
      <c r="EQ128" s="19"/>
      <c r="ER128" s="19"/>
      <c r="ES128" s="19"/>
      <c r="ET128" s="19"/>
      <c r="EU128" s="19"/>
      <c r="EV128" s="19"/>
      <c r="EW128" s="19"/>
      <c r="EX128" s="19"/>
      <c r="EY128" s="19"/>
      <c r="EZ128" s="19"/>
      <c r="FA128" s="19"/>
      <c r="FB128" s="19"/>
      <c r="FC128" s="19"/>
      <c r="FD128" s="19"/>
      <c r="FE128" s="19"/>
      <c r="FF128" s="19"/>
      <c r="FG128" s="19"/>
      <c r="FH128" s="19"/>
      <c r="FI128" s="19"/>
      <c r="FJ128" s="19"/>
      <c r="FK128" s="19"/>
      <c r="FL128" s="19"/>
      <c r="FM128" s="19"/>
      <c r="FN128" s="19"/>
      <c r="FO128" s="19"/>
      <c r="FP128" s="19"/>
      <c r="FQ128" s="19"/>
      <c r="FR128" s="19"/>
      <c r="FS128" s="19"/>
      <c r="FT128" s="19"/>
      <c r="FU128" s="19"/>
      <c r="FV128" s="19"/>
      <c r="FW128" s="19"/>
      <c r="FX128" s="19"/>
      <c r="FY128" s="19"/>
      <c r="FZ128" s="19"/>
      <c r="GA128" s="19"/>
      <c r="GB128" s="19"/>
      <c r="GC128" s="19"/>
      <c r="GD128" s="19"/>
      <c r="GE128" s="19"/>
      <c r="GF128" s="19"/>
      <c r="GG128" s="19"/>
      <c r="GH128" s="19"/>
      <c r="GI128" s="19"/>
      <c r="GJ128" s="19"/>
      <c r="GK128" s="19"/>
      <c r="GL128" s="19"/>
      <c r="GM128" s="19"/>
      <c r="GN128" s="19"/>
      <c r="GO128" s="19"/>
      <c r="GP128" s="19"/>
      <c r="GQ128" s="19"/>
      <c r="GR128" s="19"/>
      <c r="GS128" s="19"/>
      <c r="GT128" s="19"/>
      <c r="GU128" s="19"/>
      <c r="GV128" s="19"/>
      <c r="GW128" s="19"/>
      <c r="GX128" s="19"/>
      <c r="GY128" s="19"/>
      <c r="GZ128" s="19"/>
      <c r="HA128" s="19"/>
      <c r="HB128" s="19"/>
    </row>
    <row r="129" spans="1:210" x14ac:dyDescent="0.25">
      <c r="A129" s="113">
        <f t="shared" si="17"/>
        <v>1</v>
      </c>
      <c r="B129" s="163"/>
      <c r="C129" s="172" t="str">
        <f t="shared" si="20"/>
        <v>RTH at 1 °C</v>
      </c>
      <c r="D129" s="196">
        <f t="shared" si="19"/>
        <v>2.04</v>
      </c>
      <c r="E129" s="197">
        <v>25.62</v>
      </c>
      <c r="F129" s="198">
        <v>26.13</v>
      </c>
      <c r="G129" s="199">
        <v>26.65</v>
      </c>
      <c r="H129" s="128" t="s">
        <v>18</v>
      </c>
      <c r="I129" s="29"/>
      <c r="J129" s="29">
        <v>26.65</v>
      </c>
      <c r="K129" s="29">
        <v>26.13</v>
      </c>
      <c r="L129" s="29">
        <v>25.62</v>
      </c>
      <c r="M129" s="29"/>
      <c r="N129" s="29"/>
      <c r="O129" s="29"/>
      <c r="P129" s="29"/>
      <c r="Q129" s="29"/>
      <c r="R129" s="29"/>
      <c r="S129" s="29"/>
      <c r="T129" s="29"/>
      <c r="U129" s="29"/>
      <c r="V129" s="29"/>
      <c r="W129" s="29"/>
      <c r="X129" s="29"/>
      <c r="Y129" s="30"/>
      <c r="Z129" s="18"/>
      <c r="AA129" s="19"/>
      <c r="AB129" s="19"/>
      <c r="AC129" s="20">
        <f t="shared" si="21"/>
        <v>1</v>
      </c>
      <c r="AD129" s="20">
        <f t="shared" si="22"/>
        <v>25.62</v>
      </c>
      <c r="AE129" s="20">
        <f t="shared" si="23"/>
        <v>26.13</v>
      </c>
      <c r="AF129" s="20">
        <f t="shared" si="24"/>
        <v>26.65</v>
      </c>
      <c r="AG129" s="20">
        <f>Table9[[#This Row],[RTH(min) (kΩ)]]*RT2_TH_MIN/(RT2_TH_MIN+Table9[[#This Row],[RTH(min) (kΩ)]])</f>
        <v>13.918653197133374</v>
      </c>
      <c r="AH129" s="20">
        <f>Table9[[#This Row],[RTH(nom) (kΩ)]]*RT2_TH_S/(RT2_TH_S+Table9[[#This Row],[RTH(nom) (kΩ)]])</f>
        <v>14.074318219508086</v>
      </c>
      <c r="AI129" s="20">
        <f>Table9[[#This Row],[RTH(max) (kΩ)]]*RT2_TH_S_MAX/(RT2_TH_S_MAX+Table9[[#This Row],[RTH(max) (kΩ)]])</f>
        <v>14.230436114245746</v>
      </c>
      <c r="AJ129" s="20">
        <f>Table9[[#This Row],[RLower(min) (kΩ)]]/(Table9[[#This Row],[RLower(min) (kΩ)]]+RT1_TH_S_MAX)*100</f>
        <v>72.65616913271451</v>
      </c>
      <c r="AK129" s="20">
        <f>Table9[[#This Row],[RLower(nom) (kΩ)]]/(Table9[[#This Row],[RLower(nom) (kΩ)]]+RT1_TH_S)*100</f>
        <v>72.896321038173014</v>
      </c>
      <c r="AL129" s="20">
        <f>Table9[[#This Row],[RLower(max) (kΩ)]]/(Table9[[#This Row],[RLower(max) (kΩ)]]+RT1_TH_S_MIN)*100</f>
        <v>73.133384921789713</v>
      </c>
      <c r="AM129" s="20">
        <f>IF(Table9[[#This Row],[Vmin (%)]]&lt;$BA$14, 0, IF(Table9[[#This Row],[Vmin (%)]]&lt;$BA$12, 4, IF(Table9[[#This Row],[Vmin (%)]]&lt;$BA$9, 3, IF(Table9[[#This Row],[Vmin (%)]]&lt;$BA$7, 2, 0))))</f>
        <v>2</v>
      </c>
      <c r="AN129" s="20">
        <f>IF(Table9[[#This Row],[Vmin (%)]]&lt;$BA$13, 0, IF(Table9[[#This Row],[Vmin (%)]]&lt;$BA$11, 4, IF(Table9[[#This Row],[Vmin (%)]]&lt;$BA$10, 3, IF(Table9[[#This Row],[Vmin (%)]]&lt;$BA$8, 2, 0))))</f>
        <v>2</v>
      </c>
      <c r="AO129" s="76" t="str">
        <f>IF(Table9[[#This Row],[Vmin (%)]]&lt;$BA$14, "Hot", IF(Table9[[#This Row],[Vmin (%)]]&lt;$BA$12, "Warm", IF(Table9[[#This Row],[Vmin (%)]]&lt;$BA$9, "Normal", IF(Table9[[#This Row],[Vmin (%)]]&lt;$BA$7, "Cool", "Cold"))))</f>
        <v>Cool</v>
      </c>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c r="BP129" s="19"/>
      <c r="BQ129" s="19"/>
      <c r="BR129" s="19"/>
      <c r="BS129" s="19"/>
      <c r="BT129" s="19"/>
      <c r="BU129" s="19"/>
      <c r="BV129" s="19"/>
      <c r="BW129" s="19"/>
      <c r="BX129" s="19"/>
      <c r="BY129" s="19"/>
      <c r="BZ129" s="19"/>
      <c r="CA129" s="19"/>
      <c r="CB129" s="19"/>
      <c r="CC129" s="19"/>
      <c r="CD129" s="19"/>
      <c r="CE129" s="19"/>
      <c r="CF129" s="19"/>
      <c r="CG129" s="19"/>
      <c r="CH129" s="19"/>
      <c r="CI129" s="19"/>
      <c r="CJ129" s="19"/>
      <c r="CK129" s="19"/>
      <c r="CL129" s="19"/>
      <c r="CM129" s="19"/>
      <c r="CN129" s="19"/>
      <c r="CO129" s="19"/>
      <c r="CP129" s="19"/>
      <c r="CQ129" s="19"/>
      <c r="CR129" s="19"/>
      <c r="CS129" s="19"/>
      <c r="CT129" s="19"/>
      <c r="CU129" s="19"/>
      <c r="CV129" s="19"/>
      <c r="CW129" s="19"/>
      <c r="CX129" s="19"/>
      <c r="CY129" s="19"/>
      <c r="CZ129" s="19"/>
      <c r="DA129" s="19"/>
      <c r="DB129" s="19"/>
      <c r="DC129" s="19"/>
      <c r="DD129" s="19"/>
      <c r="DE129" s="19"/>
      <c r="DF129" s="19"/>
      <c r="DG129" s="19"/>
      <c r="DH129" s="19"/>
      <c r="DI129" s="19"/>
      <c r="DJ129" s="19"/>
      <c r="DK129" s="19"/>
      <c r="DL129" s="19"/>
      <c r="DM129" s="19"/>
      <c r="DN129" s="19"/>
      <c r="DO129" s="19"/>
      <c r="DP129" s="19"/>
      <c r="DQ129" s="19"/>
      <c r="DR129" s="19"/>
      <c r="DS129" s="19"/>
      <c r="DT129" s="19"/>
      <c r="DU129" s="19"/>
      <c r="DV129" s="19"/>
      <c r="DW129" s="19"/>
      <c r="DX129" s="19"/>
      <c r="DY129" s="19"/>
      <c r="DZ129" s="19"/>
      <c r="EA129" s="19"/>
      <c r="EB129" s="19"/>
      <c r="EC129" s="19"/>
      <c r="ED129" s="19"/>
      <c r="EE129" s="19"/>
      <c r="EF129" s="19"/>
      <c r="EG129" s="19"/>
      <c r="EH129" s="19"/>
      <c r="EI129" s="19"/>
      <c r="EJ129" s="19"/>
      <c r="EK129" s="19"/>
      <c r="EL129" s="19"/>
      <c r="EM129" s="19"/>
      <c r="EN129" s="19"/>
      <c r="EO129" s="19"/>
      <c r="EP129" s="19"/>
      <c r="EQ129" s="19"/>
      <c r="ER129" s="19"/>
      <c r="ES129" s="19"/>
      <c r="ET129" s="19"/>
      <c r="EU129" s="19"/>
      <c r="EV129" s="19"/>
      <c r="EW129" s="19"/>
      <c r="EX129" s="19"/>
      <c r="EY129" s="19"/>
      <c r="EZ129" s="19"/>
      <c r="FA129" s="19"/>
      <c r="FB129" s="19"/>
      <c r="FC129" s="19"/>
      <c r="FD129" s="19"/>
      <c r="FE129" s="19"/>
      <c r="FF129" s="19"/>
      <c r="FG129" s="19"/>
      <c r="FH129" s="19"/>
      <c r="FI129" s="19"/>
      <c r="FJ129" s="19"/>
      <c r="FK129" s="19"/>
      <c r="FL129" s="19"/>
      <c r="FM129" s="19"/>
      <c r="FN129" s="19"/>
      <c r="FO129" s="19"/>
      <c r="FP129" s="19"/>
      <c r="FQ129" s="19"/>
      <c r="FR129" s="19"/>
      <c r="FS129" s="19"/>
      <c r="FT129" s="19"/>
      <c r="FU129" s="19"/>
      <c r="FV129" s="19"/>
      <c r="FW129" s="19"/>
      <c r="FX129" s="19"/>
      <c r="FY129" s="19"/>
      <c r="FZ129" s="19"/>
      <c r="GA129" s="19"/>
      <c r="GB129" s="19"/>
      <c r="GC129" s="19"/>
      <c r="GD129" s="19"/>
      <c r="GE129" s="19"/>
      <c r="GF129" s="19"/>
      <c r="GG129" s="19"/>
      <c r="GH129" s="19"/>
      <c r="GI129" s="19"/>
      <c r="GJ129" s="19"/>
      <c r="GK129" s="19"/>
      <c r="GL129" s="19"/>
      <c r="GM129" s="19"/>
      <c r="GN129" s="19"/>
      <c r="GO129" s="19"/>
      <c r="GP129" s="19"/>
      <c r="GQ129" s="19"/>
      <c r="GR129" s="19"/>
      <c r="GS129" s="19"/>
      <c r="GT129" s="19"/>
      <c r="GU129" s="19"/>
      <c r="GV129" s="19"/>
      <c r="GW129" s="19"/>
      <c r="GX129" s="19"/>
      <c r="GY129" s="19"/>
      <c r="GZ129" s="19"/>
      <c r="HA129" s="19"/>
      <c r="HB129" s="19"/>
    </row>
    <row r="130" spans="1:210" x14ac:dyDescent="0.25">
      <c r="A130" s="113">
        <f t="shared" si="17"/>
        <v>0</v>
      </c>
      <c r="B130" s="163"/>
      <c r="C130" s="172" t="str">
        <f t="shared" si="20"/>
        <v>RTH at 0 °C</v>
      </c>
      <c r="D130" s="196">
        <f t="shared" si="19"/>
        <v>2.083333333333333</v>
      </c>
      <c r="E130" s="197">
        <v>26.74</v>
      </c>
      <c r="F130" s="198">
        <v>27.28</v>
      </c>
      <c r="G130" s="199">
        <v>27.83</v>
      </c>
      <c r="H130" s="128" t="s">
        <v>18</v>
      </c>
      <c r="I130" s="29"/>
      <c r="J130" s="29">
        <v>27.83</v>
      </c>
      <c r="K130" s="29">
        <v>27.28</v>
      </c>
      <c r="L130" s="29">
        <v>26.74</v>
      </c>
      <c r="M130" s="29"/>
      <c r="N130" s="29"/>
      <c r="O130" s="29"/>
      <c r="P130" s="29"/>
      <c r="Q130" s="29"/>
      <c r="R130" s="29"/>
      <c r="S130" s="29"/>
      <c r="T130" s="29"/>
      <c r="U130" s="29"/>
      <c r="V130" s="29"/>
      <c r="W130" s="29"/>
      <c r="X130" s="29"/>
      <c r="Y130" s="30"/>
      <c r="Z130" s="18"/>
      <c r="AA130" s="19"/>
      <c r="AB130" s="19"/>
      <c r="AC130" s="20">
        <f t="shared" si="21"/>
        <v>0</v>
      </c>
      <c r="AD130" s="20">
        <f t="shared" si="22"/>
        <v>26.74</v>
      </c>
      <c r="AE130" s="20">
        <f t="shared" si="23"/>
        <v>27.28</v>
      </c>
      <c r="AF130" s="20">
        <f t="shared" si="24"/>
        <v>27.83</v>
      </c>
      <c r="AG130" s="20">
        <f>Table9[[#This Row],[RTH(min) (kΩ)]]*RT2_TH_MIN/(RT2_TH_MIN+Table9[[#This Row],[RTH(min) (kΩ)]])</f>
        <v>14.242745275164902</v>
      </c>
      <c r="AH130" s="20">
        <f>Table9[[#This Row],[RTH(nom) (kΩ)]]*RT2_TH_S/(RT2_TH_S+Table9[[#This Row],[RTH(nom) (kΩ)]])</f>
        <v>14.401315080031384</v>
      </c>
      <c r="AI130" s="20">
        <f>Table9[[#This Row],[RTH(max) (kΩ)]]*RT2_TH_S_MAX/(RT2_TH_S_MAX+Table9[[#This Row],[RTH(max) (kΩ)]])</f>
        <v>14.560086627628559</v>
      </c>
      <c r="AJ130" s="20">
        <f>Table9[[#This Row],[RLower(min) (kΩ)]]/(Table9[[#This Row],[RLower(min) (kΩ)]]+RT1_TH_S_MAX)*100</f>
        <v>73.111070466379644</v>
      </c>
      <c r="AK130" s="20">
        <f>Table9[[#This Row],[RLower(nom) (kΩ)]]/(Table9[[#This Row],[RLower(nom) (kΩ)]]+RT1_TH_S)*100</f>
        <v>73.347715542605783</v>
      </c>
      <c r="AL130" s="20">
        <f>Table9[[#This Row],[RLower(max) (kΩ)]]/(Table9[[#This Row],[RLower(max) (kΩ)]]+RT1_TH_S_MIN)*100</f>
        <v>73.580962389188613</v>
      </c>
      <c r="AM130" s="20">
        <f>IF(Table9[[#This Row],[Vmin (%)]]&lt;$BA$14, 0, IF(Table9[[#This Row],[Vmin (%)]]&lt;$BA$12, 4, IF(Table9[[#This Row],[Vmin (%)]]&lt;$BA$9, 3, IF(Table9[[#This Row],[Vmin (%)]]&lt;$BA$7, 2, 0))))</f>
        <v>2</v>
      </c>
      <c r="AN130" s="20">
        <f>IF(Table9[[#This Row],[Vmin (%)]]&lt;$BA$13, 0, IF(Table9[[#This Row],[Vmin (%)]]&lt;$BA$11, 4, IF(Table9[[#This Row],[Vmin (%)]]&lt;$BA$10, 3, IF(Table9[[#This Row],[Vmin (%)]]&lt;$BA$8, 2, 0))))</f>
        <v>2</v>
      </c>
      <c r="AO130" s="76" t="str">
        <f>IF(Table9[[#This Row],[Vmin (%)]]&lt;$BA$14, "Hot", IF(Table9[[#This Row],[Vmin (%)]]&lt;$BA$12, "Warm", IF(Table9[[#This Row],[Vmin (%)]]&lt;$BA$9, "Normal", IF(Table9[[#This Row],[Vmin (%)]]&lt;$BA$7, "Cool", "Cold"))))</f>
        <v>Cool</v>
      </c>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c r="BP130" s="19"/>
      <c r="BQ130" s="19"/>
      <c r="BR130" s="19"/>
      <c r="BS130" s="19"/>
      <c r="BT130" s="19"/>
      <c r="BU130" s="19"/>
      <c r="BV130" s="19"/>
      <c r="BW130" s="19"/>
      <c r="BX130" s="19"/>
      <c r="BY130" s="19"/>
      <c r="BZ130" s="19"/>
      <c r="CA130" s="19"/>
      <c r="CB130" s="19"/>
      <c r="CC130" s="19"/>
      <c r="CD130" s="19"/>
      <c r="CE130" s="19"/>
      <c r="CF130" s="19"/>
      <c r="CG130" s="19"/>
      <c r="CH130" s="19"/>
      <c r="CI130" s="19"/>
      <c r="CJ130" s="19"/>
      <c r="CK130" s="19"/>
      <c r="CL130" s="19"/>
      <c r="CM130" s="19"/>
      <c r="CN130" s="19"/>
      <c r="CO130" s="19"/>
      <c r="CP130" s="19"/>
      <c r="CQ130" s="19"/>
      <c r="CR130" s="19"/>
      <c r="CS130" s="19"/>
      <c r="CT130" s="19"/>
      <c r="CU130" s="19"/>
      <c r="CV130" s="19"/>
      <c r="CW130" s="19"/>
      <c r="CX130" s="19"/>
      <c r="CY130" s="19"/>
      <c r="CZ130" s="19"/>
      <c r="DA130" s="19"/>
      <c r="DB130" s="19"/>
      <c r="DC130" s="19"/>
      <c r="DD130" s="19"/>
      <c r="DE130" s="19"/>
      <c r="DF130" s="19"/>
      <c r="DG130" s="19"/>
      <c r="DH130" s="19"/>
      <c r="DI130" s="19"/>
      <c r="DJ130" s="19"/>
      <c r="DK130" s="19"/>
      <c r="DL130" s="19"/>
      <c r="DM130" s="19"/>
      <c r="DN130" s="19"/>
      <c r="DO130" s="19"/>
      <c r="DP130" s="19"/>
      <c r="DQ130" s="19"/>
      <c r="DR130" s="19"/>
      <c r="DS130" s="19"/>
      <c r="DT130" s="19"/>
      <c r="DU130" s="19"/>
      <c r="DV130" s="19"/>
      <c r="DW130" s="19"/>
      <c r="DX130" s="19"/>
      <c r="DY130" s="19"/>
      <c r="DZ130" s="19"/>
      <c r="EA130" s="19"/>
      <c r="EB130" s="19"/>
      <c r="EC130" s="19"/>
      <c r="ED130" s="19"/>
      <c r="EE130" s="19"/>
      <c r="EF130" s="19"/>
      <c r="EG130" s="19"/>
      <c r="EH130" s="19"/>
      <c r="EI130" s="19"/>
      <c r="EJ130" s="19"/>
      <c r="EK130" s="19"/>
      <c r="EL130" s="19"/>
      <c r="EM130" s="19"/>
      <c r="EN130" s="19"/>
      <c r="EO130" s="19"/>
      <c r="EP130" s="19"/>
      <c r="EQ130" s="19"/>
      <c r="ER130" s="19"/>
      <c r="ES130" s="19"/>
      <c r="ET130" s="19"/>
      <c r="EU130" s="19"/>
      <c r="EV130" s="19"/>
      <c r="EW130" s="19"/>
      <c r="EX130" s="19"/>
      <c r="EY130" s="19"/>
      <c r="EZ130" s="19"/>
      <c r="FA130" s="19"/>
      <c r="FB130" s="19"/>
      <c r="FC130" s="19"/>
      <c r="FD130" s="19"/>
      <c r="FE130" s="19"/>
      <c r="FF130" s="19"/>
      <c r="FG130" s="19"/>
      <c r="FH130" s="19"/>
      <c r="FI130" s="19"/>
      <c r="FJ130" s="19"/>
      <c r="FK130" s="19"/>
      <c r="FL130" s="19"/>
      <c r="FM130" s="19"/>
      <c r="FN130" s="19"/>
      <c r="FO130" s="19"/>
      <c r="FP130" s="19"/>
      <c r="FQ130" s="19"/>
      <c r="FR130" s="19"/>
      <c r="FS130" s="19"/>
      <c r="FT130" s="19"/>
      <c r="FU130" s="19"/>
      <c r="FV130" s="19"/>
      <c r="FW130" s="19"/>
      <c r="FX130" s="19"/>
      <c r="FY130" s="19"/>
      <c r="FZ130" s="19"/>
      <c r="GA130" s="19"/>
      <c r="GB130" s="19"/>
      <c r="GC130" s="19"/>
      <c r="GD130" s="19"/>
      <c r="GE130" s="19"/>
      <c r="GF130" s="19"/>
      <c r="GG130" s="19"/>
      <c r="GH130" s="19"/>
      <c r="GI130" s="19"/>
      <c r="GJ130" s="19"/>
      <c r="GK130" s="19"/>
      <c r="GL130" s="19"/>
      <c r="GM130" s="19"/>
      <c r="GN130" s="19"/>
      <c r="GO130" s="19"/>
      <c r="GP130" s="19"/>
      <c r="GQ130" s="19"/>
      <c r="GR130" s="19"/>
      <c r="GS130" s="19"/>
      <c r="GT130" s="19"/>
      <c r="GU130" s="19"/>
      <c r="GV130" s="19"/>
      <c r="GW130" s="19"/>
      <c r="GX130" s="19"/>
      <c r="GY130" s="19"/>
      <c r="GZ130" s="19"/>
      <c r="HA130" s="19"/>
      <c r="HB130" s="19"/>
    </row>
    <row r="131" spans="1:210" x14ac:dyDescent="0.25">
      <c r="A131" s="113">
        <f t="shared" si="17"/>
        <v>-1</v>
      </c>
      <c r="B131" s="163"/>
      <c r="C131" s="172" t="str">
        <f t="shared" si="20"/>
        <v>RTH at -1 °C</v>
      </c>
      <c r="D131" s="196">
        <f t="shared" si="19"/>
        <v>2.1266666666666669</v>
      </c>
      <c r="E131" s="197">
        <v>27.89</v>
      </c>
      <c r="F131" s="198">
        <v>28.48</v>
      </c>
      <c r="G131" s="199">
        <v>29.06</v>
      </c>
      <c r="H131" s="128" t="s">
        <v>18</v>
      </c>
      <c r="I131" s="29"/>
      <c r="J131" s="29">
        <v>29.06</v>
      </c>
      <c r="K131" s="29">
        <v>28.48</v>
      </c>
      <c r="L131" s="29">
        <v>27.89</v>
      </c>
      <c r="M131" s="29"/>
      <c r="N131" s="29"/>
      <c r="O131" s="29"/>
      <c r="P131" s="29"/>
      <c r="Q131" s="29"/>
      <c r="R131" s="29"/>
      <c r="S131" s="29"/>
      <c r="T131" s="29"/>
      <c r="U131" s="29"/>
      <c r="V131" s="29"/>
      <c r="W131" s="29"/>
      <c r="X131" s="29"/>
      <c r="Y131" s="30"/>
      <c r="Z131" s="18"/>
      <c r="AA131" s="19"/>
      <c r="AB131" s="19"/>
      <c r="AC131" s="20">
        <f t="shared" si="21"/>
        <v>-1</v>
      </c>
      <c r="AD131" s="20">
        <f t="shared" si="22"/>
        <v>27.89</v>
      </c>
      <c r="AE131" s="20">
        <f t="shared" si="23"/>
        <v>28.48</v>
      </c>
      <c r="AF131" s="20">
        <f t="shared" si="24"/>
        <v>29.06</v>
      </c>
      <c r="AG131" s="20">
        <f>Table9[[#This Row],[RTH(min) (kΩ)]]*RT2_TH_MIN/(RT2_TH_MIN+Table9[[#This Row],[RTH(min) (kΩ)]])</f>
        <v>14.562575738677424</v>
      </c>
      <c r="AH131" s="20">
        <f>Table9[[#This Row],[RTH(nom) (kΩ)]]*RT2_TH_S/(RT2_TH_S+Table9[[#This Row],[RTH(nom) (kΩ)]])</f>
        <v>14.728935071776338</v>
      </c>
      <c r="AI131" s="20">
        <f>Table9[[#This Row],[RTH(max) (kΩ)]]*RT2_TH_S_MAX/(RT2_TH_S_MAX+Table9[[#This Row],[RTH(max) (kΩ)]])</f>
        <v>14.889809749174921</v>
      </c>
      <c r="AJ131" s="20">
        <f>Table9[[#This Row],[RLower(min) (kΩ)]]/(Table9[[#This Row],[RLower(min) (kΩ)]]+RT1_TH_S_MAX)*100</f>
        <v>73.545391243806407</v>
      </c>
      <c r="AK131" s="20">
        <f>Table9[[#This Row],[RLower(nom) (kΩ)]]/(Table9[[#This Row],[RLower(nom) (kΩ)]]+RT1_TH_S)*100</f>
        <v>73.785139322169869</v>
      </c>
      <c r="AL131" s="20">
        <f>Table9[[#This Row],[RLower(max) (kΩ)]]/(Table9[[#This Row],[RLower(max) (kΩ)]]+RT1_TH_S_MIN)*100</f>
        <v>74.013965403792099</v>
      </c>
      <c r="AM131" s="20">
        <f>IF(Table9[[#This Row],[Vmin (%)]]&lt;$BA$14, 0, IF(Table9[[#This Row],[Vmin (%)]]&lt;$BA$12, 4, IF(Table9[[#This Row],[Vmin (%)]]&lt;$BA$9, 3, IF(Table9[[#This Row],[Vmin (%)]]&lt;$BA$7, 2, 0))))</f>
        <v>2</v>
      </c>
      <c r="AN131" s="20">
        <f>IF(Table9[[#This Row],[Vmin (%)]]&lt;$BA$13, 0, IF(Table9[[#This Row],[Vmin (%)]]&lt;$BA$11, 4, IF(Table9[[#This Row],[Vmin (%)]]&lt;$BA$10, 3, IF(Table9[[#This Row],[Vmin (%)]]&lt;$BA$8, 2, 0))))</f>
        <v>2</v>
      </c>
      <c r="AO131" s="76" t="str">
        <f>IF(Table9[[#This Row],[Vmin (%)]]&lt;$BA$14, "Hot", IF(Table9[[#This Row],[Vmin (%)]]&lt;$BA$12, "Warm", IF(Table9[[#This Row],[Vmin (%)]]&lt;$BA$9, "Normal", IF(Table9[[#This Row],[Vmin (%)]]&lt;$BA$7, "Cool", "Cold"))))</f>
        <v>Cool</v>
      </c>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c r="BP131" s="19"/>
      <c r="BQ131" s="19"/>
      <c r="BR131" s="19"/>
      <c r="BS131" s="19"/>
      <c r="BT131" s="19"/>
      <c r="BU131" s="19"/>
      <c r="BV131" s="19"/>
      <c r="BW131" s="19"/>
      <c r="BX131" s="19"/>
      <c r="BY131" s="19"/>
      <c r="BZ131" s="19"/>
      <c r="CA131" s="19"/>
      <c r="CB131" s="19"/>
      <c r="CC131" s="19"/>
      <c r="CD131" s="19"/>
      <c r="CE131" s="19"/>
      <c r="CF131" s="19"/>
      <c r="CG131" s="19"/>
      <c r="CH131" s="19"/>
      <c r="CI131" s="19"/>
      <c r="CJ131" s="19"/>
      <c r="CK131" s="19"/>
      <c r="CL131" s="19"/>
      <c r="CM131" s="19"/>
      <c r="CN131" s="19"/>
      <c r="CO131" s="19"/>
      <c r="CP131" s="19"/>
      <c r="CQ131" s="19"/>
      <c r="CR131" s="19"/>
      <c r="CS131" s="19"/>
      <c r="CT131" s="19"/>
      <c r="CU131" s="19"/>
      <c r="CV131" s="19"/>
      <c r="CW131" s="19"/>
      <c r="CX131" s="19"/>
      <c r="CY131" s="19"/>
      <c r="CZ131" s="19"/>
      <c r="DA131" s="19"/>
      <c r="DB131" s="19"/>
      <c r="DC131" s="19"/>
      <c r="DD131" s="19"/>
      <c r="DE131" s="19"/>
      <c r="DF131" s="19"/>
      <c r="DG131" s="19"/>
      <c r="DH131" s="19"/>
      <c r="DI131" s="19"/>
      <c r="DJ131" s="19"/>
      <c r="DK131" s="19"/>
      <c r="DL131" s="19"/>
      <c r="DM131" s="19"/>
      <c r="DN131" s="19"/>
      <c r="DO131" s="19"/>
      <c r="DP131" s="19"/>
      <c r="DQ131" s="19"/>
      <c r="DR131" s="19"/>
      <c r="DS131" s="19"/>
      <c r="DT131" s="19"/>
      <c r="DU131" s="19"/>
      <c r="DV131" s="19"/>
      <c r="DW131" s="19"/>
      <c r="DX131" s="19"/>
      <c r="DY131" s="19"/>
      <c r="DZ131" s="19"/>
      <c r="EA131" s="19"/>
      <c r="EB131" s="19"/>
      <c r="EC131" s="19"/>
      <c r="ED131" s="19"/>
      <c r="EE131" s="19"/>
      <c r="EF131" s="19"/>
      <c r="EG131" s="19"/>
      <c r="EH131" s="19"/>
      <c r="EI131" s="19"/>
      <c r="EJ131" s="19"/>
      <c r="EK131" s="19"/>
      <c r="EL131" s="19"/>
      <c r="EM131" s="19"/>
      <c r="EN131" s="19"/>
      <c r="EO131" s="19"/>
      <c r="EP131" s="19"/>
      <c r="EQ131" s="19"/>
      <c r="ER131" s="19"/>
      <c r="ES131" s="19"/>
      <c r="ET131" s="19"/>
      <c r="EU131" s="19"/>
      <c r="EV131" s="19"/>
      <c r="EW131" s="19"/>
      <c r="EX131" s="19"/>
      <c r="EY131" s="19"/>
      <c r="EZ131" s="19"/>
      <c r="FA131" s="19"/>
      <c r="FB131" s="19"/>
      <c r="FC131" s="19"/>
      <c r="FD131" s="19"/>
      <c r="FE131" s="19"/>
      <c r="FF131" s="19"/>
      <c r="FG131" s="19"/>
      <c r="FH131" s="19"/>
      <c r="FI131" s="19"/>
      <c r="FJ131" s="19"/>
      <c r="FK131" s="19"/>
      <c r="FL131" s="19"/>
      <c r="FM131" s="19"/>
      <c r="FN131" s="19"/>
      <c r="FO131" s="19"/>
      <c r="FP131" s="19"/>
      <c r="FQ131" s="19"/>
      <c r="FR131" s="19"/>
      <c r="FS131" s="19"/>
      <c r="FT131" s="19"/>
      <c r="FU131" s="19"/>
      <c r="FV131" s="19"/>
      <c r="FW131" s="19"/>
      <c r="FX131" s="19"/>
      <c r="FY131" s="19"/>
      <c r="FZ131" s="19"/>
      <c r="GA131" s="19"/>
      <c r="GB131" s="19"/>
      <c r="GC131" s="19"/>
      <c r="GD131" s="19"/>
      <c r="GE131" s="19"/>
      <c r="GF131" s="19"/>
      <c r="GG131" s="19"/>
      <c r="GH131" s="19"/>
      <c r="GI131" s="19"/>
      <c r="GJ131" s="19"/>
      <c r="GK131" s="19"/>
      <c r="GL131" s="19"/>
      <c r="GM131" s="19"/>
      <c r="GN131" s="19"/>
      <c r="GO131" s="19"/>
      <c r="GP131" s="19"/>
      <c r="GQ131" s="19"/>
      <c r="GR131" s="19"/>
      <c r="GS131" s="19"/>
      <c r="GT131" s="19"/>
      <c r="GU131" s="19"/>
      <c r="GV131" s="19"/>
      <c r="GW131" s="19"/>
      <c r="GX131" s="19"/>
      <c r="GY131" s="19"/>
      <c r="GZ131" s="19"/>
      <c r="HA131" s="19"/>
      <c r="HB131" s="19"/>
    </row>
    <row r="132" spans="1:210" x14ac:dyDescent="0.25">
      <c r="A132" s="113">
        <f t="shared" si="17"/>
        <v>-2</v>
      </c>
      <c r="B132" s="163"/>
      <c r="C132" s="172" t="str">
        <f t="shared" si="20"/>
        <v>RTH at -2 °C</v>
      </c>
      <c r="D132" s="196">
        <f t="shared" si="19"/>
        <v>2.17</v>
      </c>
      <c r="E132" s="197">
        <v>29.11</v>
      </c>
      <c r="F132" s="198">
        <v>29.73</v>
      </c>
      <c r="G132" s="199">
        <v>30.36</v>
      </c>
      <c r="H132" s="128" t="s">
        <v>18</v>
      </c>
      <c r="I132" s="29"/>
      <c r="J132" s="29">
        <v>30.36</v>
      </c>
      <c r="K132" s="29">
        <v>29.73</v>
      </c>
      <c r="L132" s="29">
        <v>29.11</v>
      </c>
      <c r="M132" s="29"/>
      <c r="N132" s="29"/>
      <c r="O132" s="29"/>
      <c r="P132" s="29"/>
      <c r="Q132" s="29"/>
      <c r="R132" s="29"/>
      <c r="S132" s="29"/>
      <c r="T132" s="29"/>
      <c r="U132" s="29"/>
      <c r="V132" s="29"/>
      <c r="W132" s="29"/>
      <c r="X132" s="29"/>
      <c r="Y132" s="30"/>
      <c r="Z132" s="18"/>
      <c r="AA132" s="19"/>
      <c r="AB132" s="19"/>
      <c r="AC132" s="20">
        <f t="shared" si="21"/>
        <v>-2</v>
      </c>
      <c r="AD132" s="20">
        <f t="shared" si="22"/>
        <v>29.11</v>
      </c>
      <c r="AE132" s="20">
        <f t="shared" si="23"/>
        <v>29.73</v>
      </c>
      <c r="AF132" s="20">
        <f t="shared" si="24"/>
        <v>30.36</v>
      </c>
      <c r="AG132" s="20">
        <f>Table9[[#This Row],[RTH(min) (kΩ)]]*RT2_TH_MIN/(RT2_TH_MIN+Table9[[#This Row],[RTH(min) (kΩ)]])</f>
        <v>14.888378460399379</v>
      </c>
      <c r="AH132" s="20">
        <f>Table9[[#This Row],[RTH(nom) (kΩ)]]*RT2_TH_S/(RT2_TH_S+Table9[[#This Row],[RTH(nom) (kΩ)]])</f>
        <v>15.05632510213516</v>
      </c>
      <c r="AI132" s="20">
        <f>Table9[[#This Row],[RTH(max) (kΩ)]]*RT2_TH_S_MAX/(RT2_TH_S_MAX+Table9[[#This Row],[RTH(max) (kΩ)]])</f>
        <v>15.223819188998709</v>
      </c>
      <c r="AJ132" s="20">
        <f>Table9[[#This Row],[RLower(min) (kΩ)]]/(Table9[[#This Row],[RLower(min) (kΩ)]]+RT1_TH_S_MAX)*100</f>
        <v>73.973629616017263</v>
      </c>
      <c r="AK132" s="20">
        <f>Table9[[#This Row],[RLower(nom) (kΩ)]]/(Table9[[#This Row],[RLower(nom) (kΩ)]]+RT1_TH_S)*100</f>
        <v>74.208144411541056</v>
      </c>
      <c r="AL132" s="20">
        <f>Table9[[#This Row],[RLower(max) (kΩ)]]/(Table9[[#This Row],[RLower(max) (kΩ)]]+RT1_TH_S_MIN)*100</f>
        <v>74.438362051172675</v>
      </c>
      <c r="AM132" s="20">
        <f>IF(Table9[[#This Row],[Vmin (%)]]&lt;$BA$14, 0, IF(Table9[[#This Row],[Vmin (%)]]&lt;$BA$12, 4, IF(Table9[[#This Row],[Vmin (%)]]&lt;$BA$9, 3, IF(Table9[[#This Row],[Vmin (%)]]&lt;$BA$7, 2, 0))))</f>
        <v>2</v>
      </c>
      <c r="AN132" s="20">
        <f>IF(Table9[[#This Row],[Vmin (%)]]&lt;$BA$13, 0, IF(Table9[[#This Row],[Vmin (%)]]&lt;$BA$11, 4, IF(Table9[[#This Row],[Vmin (%)]]&lt;$BA$10, 3, IF(Table9[[#This Row],[Vmin (%)]]&lt;$BA$8, 2, 0))))</f>
        <v>2</v>
      </c>
      <c r="AO132" s="76" t="str">
        <f>IF(Table9[[#This Row],[Vmin (%)]]&lt;$BA$14, "Hot", IF(Table9[[#This Row],[Vmin (%)]]&lt;$BA$12, "Warm", IF(Table9[[#This Row],[Vmin (%)]]&lt;$BA$9, "Normal", IF(Table9[[#This Row],[Vmin (%)]]&lt;$BA$7, "Cool", "Cold"))))</f>
        <v>Cool</v>
      </c>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c r="BP132" s="19"/>
      <c r="BQ132" s="19"/>
      <c r="BR132" s="19"/>
      <c r="BS132" s="19"/>
      <c r="BT132" s="19"/>
      <c r="BU132" s="19"/>
      <c r="BV132" s="19"/>
      <c r="BW132" s="19"/>
      <c r="BX132" s="19"/>
      <c r="BY132" s="19"/>
      <c r="BZ132" s="19"/>
      <c r="CA132" s="19"/>
      <c r="CB132" s="19"/>
      <c r="CC132" s="19"/>
      <c r="CD132" s="19"/>
      <c r="CE132" s="19"/>
      <c r="CF132" s="19"/>
      <c r="CG132" s="19"/>
      <c r="CH132" s="19"/>
      <c r="CI132" s="19"/>
      <c r="CJ132" s="19"/>
      <c r="CK132" s="19"/>
      <c r="CL132" s="19"/>
      <c r="CM132" s="19"/>
      <c r="CN132" s="19"/>
      <c r="CO132" s="19"/>
      <c r="CP132" s="19"/>
      <c r="CQ132" s="19"/>
      <c r="CR132" s="19"/>
      <c r="CS132" s="19"/>
      <c r="CT132" s="19"/>
      <c r="CU132" s="19"/>
      <c r="CV132" s="19"/>
      <c r="CW132" s="19"/>
      <c r="CX132" s="19"/>
      <c r="CY132" s="19"/>
      <c r="CZ132" s="19"/>
      <c r="DA132" s="19"/>
      <c r="DB132" s="19"/>
      <c r="DC132" s="19"/>
      <c r="DD132" s="19"/>
      <c r="DE132" s="19"/>
      <c r="DF132" s="19"/>
      <c r="DG132" s="19"/>
      <c r="DH132" s="19"/>
      <c r="DI132" s="19"/>
      <c r="DJ132" s="19"/>
      <c r="DK132" s="19"/>
      <c r="DL132" s="19"/>
      <c r="DM132" s="19"/>
      <c r="DN132" s="19"/>
      <c r="DO132" s="19"/>
      <c r="DP132" s="19"/>
      <c r="DQ132" s="19"/>
      <c r="DR132" s="19"/>
      <c r="DS132" s="19"/>
      <c r="DT132" s="19"/>
      <c r="DU132" s="19"/>
      <c r="DV132" s="19"/>
      <c r="DW132" s="19"/>
      <c r="DX132" s="19"/>
      <c r="DY132" s="19"/>
      <c r="DZ132" s="19"/>
      <c r="EA132" s="19"/>
      <c r="EB132" s="19"/>
      <c r="EC132" s="19"/>
      <c r="ED132" s="19"/>
      <c r="EE132" s="19"/>
      <c r="EF132" s="19"/>
      <c r="EG132" s="19"/>
      <c r="EH132" s="19"/>
      <c r="EI132" s="19"/>
      <c r="EJ132" s="19"/>
      <c r="EK132" s="19"/>
      <c r="EL132" s="19"/>
      <c r="EM132" s="19"/>
      <c r="EN132" s="19"/>
      <c r="EO132" s="19"/>
      <c r="EP132" s="19"/>
      <c r="EQ132" s="19"/>
      <c r="ER132" s="19"/>
      <c r="ES132" s="19"/>
      <c r="ET132" s="19"/>
      <c r="EU132" s="19"/>
      <c r="EV132" s="19"/>
      <c r="EW132" s="19"/>
      <c r="EX132" s="19"/>
      <c r="EY132" s="19"/>
      <c r="EZ132" s="19"/>
      <c r="FA132" s="19"/>
      <c r="FB132" s="19"/>
      <c r="FC132" s="19"/>
      <c r="FD132" s="19"/>
      <c r="FE132" s="19"/>
      <c r="FF132" s="19"/>
      <c r="FG132" s="19"/>
      <c r="FH132" s="19"/>
      <c r="FI132" s="19"/>
      <c r="FJ132" s="19"/>
      <c r="FK132" s="19"/>
      <c r="FL132" s="19"/>
      <c r="FM132" s="19"/>
      <c r="FN132" s="19"/>
      <c r="FO132" s="19"/>
      <c r="FP132" s="19"/>
      <c r="FQ132" s="19"/>
      <c r="FR132" s="19"/>
      <c r="FS132" s="19"/>
      <c r="FT132" s="19"/>
      <c r="FU132" s="19"/>
      <c r="FV132" s="19"/>
      <c r="FW132" s="19"/>
      <c r="FX132" s="19"/>
      <c r="FY132" s="19"/>
      <c r="FZ132" s="19"/>
      <c r="GA132" s="19"/>
      <c r="GB132" s="19"/>
      <c r="GC132" s="19"/>
      <c r="GD132" s="19"/>
      <c r="GE132" s="19"/>
      <c r="GF132" s="19"/>
      <c r="GG132" s="19"/>
      <c r="GH132" s="19"/>
      <c r="GI132" s="19"/>
      <c r="GJ132" s="19"/>
      <c r="GK132" s="19"/>
      <c r="GL132" s="19"/>
      <c r="GM132" s="19"/>
      <c r="GN132" s="19"/>
      <c r="GO132" s="19"/>
      <c r="GP132" s="19"/>
      <c r="GQ132" s="19"/>
      <c r="GR132" s="19"/>
      <c r="GS132" s="19"/>
      <c r="GT132" s="19"/>
      <c r="GU132" s="19"/>
      <c r="GV132" s="19"/>
      <c r="GW132" s="19"/>
      <c r="GX132" s="19"/>
      <c r="GY132" s="19"/>
      <c r="GZ132" s="19"/>
      <c r="HA132" s="19"/>
      <c r="HB132" s="19"/>
    </row>
    <row r="133" spans="1:210" x14ac:dyDescent="0.25">
      <c r="A133" s="113">
        <f t="shared" si="17"/>
        <v>-3</v>
      </c>
      <c r="B133" s="163"/>
      <c r="C133" s="172" t="str">
        <f t="shared" si="20"/>
        <v>RTH at -3 °C</v>
      </c>
      <c r="D133" s="196">
        <f t="shared" si="19"/>
        <v>2.2133333333333334</v>
      </c>
      <c r="E133" s="197">
        <v>30.39</v>
      </c>
      <c r="F133" s="198">
        <v>31.05</v>
      </c>
      <c r="G133" s="199">
        <v>31.72</v>
      </c>
      <c r="H133" s="128" t="s">
        <v>18</v>
      </c>
      <c r="I133" s="29"/>
      <c r="J133" s="29">
        <v>31.72</v>
      </c>
      <c r="K133" s="29">
        <v>31.05</v>
      </c>
      <c r="L133" s="29">
        <v>30.39</v>
      </c>
      <c r="M133" s="29"/>
      <c r="N133" s="29"/>
      <c r="O133" s="29"/>
      <c r="P133" s="29"/>
      <c r="Q133" s="29"/>
      <c r="R133" s="29"/>
      <c r="S133" s="29"/>
      <c r="T133" s="29"/>
      <c r="U133" s="29"/>
      <c r="V133" s="29"/>
      <c r="W133" s="29"/>
      <c r="X133" s="29"/>
      <c r="Y133" s="30"/>
      <c r="Z133" s="18"/>
      <c r="AA133" s="19"/>
      <c r="AB133" s="19"/>
      <c r="AC133" s="20">
        <f t="shared" si="21"/>
        <v>-3</v>
      </c>
      <c r="AD133" s="20">
        <f t="shared" si="22"/>
        <v>30.39</v>
      </c>
      <c r="AE133" s="20">
        <f t="shared" si="23"/>
        <v>31.05</v>
      </c>
      <c r="AF133" s="20">
        <f t="shared" si="24"/>
        <v>31.72</v>
      </c>
      <c r="AG133" s="20">
        <f>Table9[[#This Row],[RTH(min) (kΩ)]]*RT2_TH_MIN/(RT2_TH_MIN+Table9[[#This Row],[RTH(min) (kΩ)]])</f>
        <v>15.216163887359722</v>
      </c>
      <c r="AH133" s="20">
        <f>Table9[[#This Row],[RTH(nom) (kΩ)]]*RT2_TH_S/(RT2_TH_S+Table9[[#This Row],[RTH(nom) (kΩ)]])</f>
        <v>15.387614625637292</v>
      </c>
      <c r="AI133" s="20">
        <f>Table9[[#This Row],[RTH(max) (kΩ)]]*RT2_TH_S_MAX/(RT2_TH_S_MAX+Table9[[#This Row],[RTH(max) (kΩ)]])</f>
        <v>15.558314572257645</v>
      </c>
      <c r="AJ133" s="20">
        <f>Table9[[#This Row],[RLower(min) (kΩ)]]/(Table9[[#This Row],[RLower(min) (kΩ)]]+RT1_TH_S_MAX)*100</f>
        <v>74.390707111466199</v>
      </c>
      <c r="AK133" s="20">
        <f>Table9[[#This Row],[RLower(nom) (kΩ)]]/(Table9[[#This Row],[RLower(nom) (kΩ)]]+RT1_TH_S)*100</f>
        <v>74.622514951496356</v>
      </c>
      <c r="AL133" s="20">
        <f>Table9[[#This Row],[RLower(max) (kΩ)]]/(Table9[[#This Row],[RLower(max) (kΩ)]]+RT1_TH_S_MIN)*100</f>
        <v>74.849707185693063</v>
      </c>
      <c r="AM133" s="20">
        <f>IF(Table9[[#This Row],[Vmin (%)]]&lt;$BA$14, 0, IF(Table9[[#This Row],[Vmin (%)]]&lt;$BA$12, 4, IF(Table9[[#This Row],[Vmin (%)]]&lt;$BA$9, 3, IF(Table9[[#This Row],[Vmin (%)]]&lt;$BA$7, 2, 0))))</f>
        <v>2</v>
      </c>
      <c r="AN133" s="20">
        <f>IF(Table9[[#This Row],[Vmin (%)]]&lt;$BA$13, 0, IF(Table9[[#This Row],[Vmin (%)]]&lt;$BA$11, 4, IF(Table9[[#This Row],[Vmin (%)]]&lt;$BA$10, 3, IF(Table9[[#This Row],[Vmin (%)]]&lt;$BA$8, 2, 0))))</f>
        <v>2</v>
      </c>
      <c r="AO133" s="76" t="str">
        <f>IF(Table9[[#This Row],[Vmin (%)]]&lt;$BA$14, "Hot", IF(Table9[[#This Row],[Vmin (%)]]&lt;$BA$12, "Warm", IF(Table9[[#This Row],[Vmin (%)]]&lt;$BA$9, "Normal", IF(Table9[[#This Row],[Vmin (%)]]&lt;$BA$7, "Cool", "Cold"))))</f>
        <v>Cool</v>
      </c>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c r="BP133" s="19"/>
      <c r="BQ133" s="19"/>
      <c r="BR133" s="19"/>
      <c r="BS133" s="19"/>
      <c r="BT133" s="19"/>
      <c r="BU133" s="19"/>
      <c r="BV133" s="19"/>
      <c r="BW133" s="19"/>
      <c r="BX133" s="19"/>
      <c r="BY133" s="19"/>
      <c r="BZ133" s="19"/>
      <c r="CA133" s="19"/>
      <c r="CB133" s="19"/>
      <c r="CC133" s="19"/>
      <c r="CD133" s="19"/>
      <c r="CE133" s="19"/>
      <c r="CF133" s="19"/>
      <c r="CG133" s="19"/>
      <c r="CH133" s="19"/>
      <c r="CI133" s="19"/>
      <c r="CJ133" s="19"/>
      <c r="CK133" s="19"/>
      <c r="CL133" s="19"/>
      <c r="CM133" s="19"/>
      <c r="CN133" s="19"/>
      <c r="CO133" s="19"/>
      <c r="CP133" s="19"/>
      <c r="CQ133" s="19"/>
      <c r="CR133" s="19"/>
      <c r="CS133" s="19"/>
      <c r="CT133" s="19"/>
      <c r="CU133" s="19"/>
      <c r="CV133" s="19"/>
      <c r="CW133" s="19"/>
      <c r="CX133" s="19"/>
      <c r="CY133" s="19"/>
      <c r="CZ133" s="19"/>
      <c r="DA133" s="19"/>
      <c r="DB133" s="19"/>
      <c r="DC133" s="19"/>
      <c r="DD133" s="19"/>
      <c r="DE133" s="19"/>
      <c r="DF133" s="19"/>
      <c r="DG133" s="19"/>
      <c r="DH133" s="19"/>
      <c r="DI133" s="19"/>
      <c r="DJ133" s="19"/>
      <c r="DK133" s="19"/>
      <c r="DL133" s="19"/>
      <c r="DM133" s="19"/>
      <c r="DN133" s="19"/>
      <c r="DO133" s="19"/>
      <c r="DP133" s="19"/>
      <c r="DQ133" s="19"/>
      <c r="DR133" s="19"/>
      <c r="DS133" s="19"/>
      <c r="DT133" s="19"/>
      <c r="DU133" s="19"/>
      <c r="DV133" s="19"/>
      <c r="DW133" s="19"/>
      <c r="DX133" s="19"/>
      <c r="DY133" s="19"/>
      <c r="DZ133" s="19"/>
      <c r="EA133" s="19"/>
      <c r="EB133" s="19"/>
      <c r="EC133" s="19"/>
      <c r="ED133" s="19"/>
      <c r="EE133" s="19"/>
      <c r="EF133" s="19"/>
      <c r="EG133" s="19"/>
      <c r="EH133" s="19"/>
      <c r="EI133" s="19"/>
      <c r="EJ133" s="19"/>
      <c r="EK133" s="19"/>
      <c r="EL133" s="19"/>
      <c r="EM133" s="19"/>
      <c r="EN133" s="19"/>
      <c r="EO133" s="19"/>
      <c r="EP133" s="19"/>
      <c r="EQ133" s="19"/>
      <c r="ER133" s="19"/>
      <c r="ES133" s="19"/>
      <c r="ET133" s="19"/>
      <c r="EU133" s="19"/>
      <c r="EV133" s="19"/>
      <c r="EW133" s="19"/>
      <c r="EX133" s="19"/>
      <c r="EY133" s="19"/>
      <c r="EZ133" s="19"/>
      <c r="FA133" s="19"/>
      <c r="FB133" s="19"/>
      <c r="FC133" s="19"/>
      <c r="FD133" s="19"/>
      <c r="FE133" s="19"/>
      <c r="FF133" s="19"/>
      <c r="FG133" s="19"/>
      <c r="FH133" s="19"/>
      <c r="FI133" s="19"/>
      <c r="FJ133" s="19"/>
      <c r="FK133" s="19"/>
      <c r="FL133" s="19"/>
      <c r="FM133" s="19"/>
      <c r="FN133" s="19"/>
      <c r="FO133" s="19"/>
      <c r="FP133" s="19"/>
      <c r="FQ133" s="19"/>
      <c r="FR133" s="19"/>
      <c r="FS133" s="19"/>
      <c r="FT133" s="19"/>
      <c r="FU133" s="19"/>
      <c r="FV133" s="19"/>
      <c r="FW133" s="19"/>
      <c r="FX133" s="19"/>
      <c r="FY133" s="19"/>
      <c r="FZ133" s="19"/>
      <c r="GA133" s="19"/>
      <c r="GB133" s="19"/>
      <c r="GC133" s="19"/>
      <c r="GD133" s="19"/>
      <c r="GE133" s="19"/>
      <c r="GF133" s="19"/>
      <c r="GG133" s="19"/>
      <c r="GH133" s="19"/>
      <c r="GI133" s="19"/>
      <c r="GJ133" s="19"/>
      <c r="GK133" s="19"/>
      <c r="GL133" s="19"/>
      <c r="GM133" s="19"/>
      <c r="GN133" s="19"/>
      <c r="GO133" s="19"/>
      <c r="GP133" s="19"/>
      <c r="GQ133" s="19"/>
      <c r="GR133" s="19"/>
      <c r="GS133" s="19"/>
      <c r="GT133" s="19"/>
      <c r="GU133" s="19"/>
      <c r="GV133" s="19"/>
      <c r="GW133" s="19"/>
      <c r="GX133" s="19"/>
      <c r="GY133" s="19"/>
      <c r="GZ133" s="19"/>
      <c r="HA133" s="19"/>
      <c r="HB133" s="19"/>
    </row>
    <row r="134" spans="1:210" x14ac:dyDescent="0.25">
      <c r="A134" s="113">
        <f t="shared" si="17"/>
        <v>-4</v>
      </c>
      <c r="B134" s="163"/>
      <c r="C134" s="172" t="str">
        <f t="shared" si="20"/>
        <v>RTH at -4 °C</v>
      </c>
      <c r="D134" s="196">
        <f t="shared" si="19"/>
        <v>2.2566666666666668</v>
      </c>
      <c r="E134" s="197">
        <v>31.73</v>
      </c>
      <c r="F134" s="198">
        <v>32.44</v>
      </c>
      <c r="G134" s="199">
        <v>33.15</v>
      </c>
      <c r="H134" s="128" t="s">
        <v>18</v>
      </c>
      <c r="I134" s="29"/>
      <c r="J134" s="29">
        <v>33.15</v>
      </c>
      <c r="K134" s="29">
        <v>32.44</v>
      </c>
      <c r="L134" s="29">
        <v>31.73</v>
      </c>
      <c r="M134" s="29"/>
      <c r="N134" s="29"/>
      <c r="O134" s="29"/>
      <c r="P134" s="29"/>
      <c r="Q134" s="29"/>
      <c r="R134" s="29"/>
      <c r="S134" s="29"/>
      <c r="T134" s="29"/>
      <c r="U134" s="29"/>
      <c r="V134" s="29"/>
      <c r="W134" s="29"/>
      <c r="X134" s="29"/>
      <c r="Y134" s="30"/>
      <c r="Z134" s="18"/>
      <c r="AA134" s="19"/>
      <c r="AB134" s="19"/>
      <c r="AC134" s="20">
        <f t="shared" si="21"/>
        <v>-4</v>
      </c>
      <c r="AD134" s="20">
        <f t="shared" si="22"/>
        <v>31.73</v>
      </c>
      <c r="AE134" s="20">
        <f t="shared" si="23"/>
        <v>32.44</v>
      </c>
      <c r="AF134" s="20">
        <f t="shared" si="24"/>
        <v>33.15</v>
      </c>
      <c r="AG134" s="20">
        <f>Table9[[#This Row],[RTH(min) (kΩ)]]*RT2_TH_MIN/(RT2_TH_MIN+Table9[[#This Row],[RTH(min) (kΩ)]])</f>
        <v>15.544861121601794</v>
      </c>
      <c r="AH134" s="20">
        <f>Table9[[#This Row],[RTH(nom) (kΩ)]]*RT2_TH_S/(RT2_TH_S+Table9[[#This Row],[RTH(nom) (kΩ)]])</f>
        <v>15.721453059772569</v>
      </c>
      <c r="AI134" s="20">
        <f>Table9[[#This Row],[RTH(max) (kΩ)]]*RT2_TH_S_MAX/(RT2_TH_S_MAX+Table9[[#This Row],[RTH(max) (kΩ)]])</f>
        <v>15.894618534225943</v>
      </c>
      <c r="AJ134" s="20">
        <f>Table9[[#This Row],[RLower(min) (kΩ)]]/(Table9[[#This Row],[RLower(min) (kΩ)]]+RT1_TH_S_MAX)*100</f>
        <v>74.795733778018658</v>
      </c>
      <c r="AK134" s="20">
        <f>Table9[[#This Row],[RLower(nom) (kΩ)]]/(Table9[[#This Row],[RLower(nom) (kΩ)]]+RT1_TH_S)*100</f>
        <v>75.026819632038553</v>
      </c>
      <c r="AL134" s="20">
        <f>Table9[[#This Row],[RLower(max) (kΩ)]]/(Table9[[#This Row],[RLower(max) (kΩ)]]+RT1_TH_S_MIN)*100</f>
        <v>75.250142384927102</v>
      </c>
      <c r="AM134" s="20">
        <f>IF(Table9[[#This Row],[Vmin (%)]]&lt;$BA$14, 0, IF(Table9[[#This Row],[Vmin (%)]]&lt;$BA$12, 4, IF(Table9[[#This Row],[Vmin (%)]]&lt;$BA$9, 3, IF(Table9[[#This Row],[Vmin (%)]]&lt;$BA$7, 2, 0))))</f>
        <v>2</v>
      </c>
      <c r="AN134" s="20">
        <f>IF(Table9[[#This Row],[Vmin (%)]]&lt;$BA$13, 0, IF(Table9[[#This Row],[Vmin (%)]]&lt;$BA$11, 4, IF(Table9[[#This Row],[Vmin (%)]]&lt;$BA$10, 3, IF(Table9[[#This Row],[Vmin (%)]]&lt;$BA$8, 2, 0))))</f>
        <v>2</v>
      </c>
      <c r="AO134" s="76" t="str">
        <f>IF(Table9[[#This Row],[Vmin (%)]]&lt;$BA$14, "Hot", IF(Table9[[#This Row],[Vmin (%)]]&lt;$BA$12, "Warm", IF(Table9[[#This Row],[Vmin (%)]]&lt;$BA$9, "Normal", IF(Table9[[#This Row],[Vmin (%)]]&lt;$BA$7, "Cool", "Cold"))))</f>
        <v>Cool</v>
      </c>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c r="BP134" s="19"/>
      <c r="BQ134" s="19"/>
      <c r="BR134" s="19"/>
      <c r="BS134" s="19"/>
      <c r="BT134" s="19"/>
      <c r="BU134" s="19"/>
      <c r="BV134" s="19"/>
      <c r="BW134" s="19"/>
      <c r="BX134" s="19"/>
      <c r="BY134" s="19"/>
      <c r="BZ134" s="19"/>
      <c r="CA134" s="19"/>
      <c r="CB134" s="19"/>
      <c r="CC134" s="19"/>
      <c r="CD134" s="19"/>
      <c r="CE134" s="19"/>
      <c r="CF134" s="19"/>
      <c r="CG134" s="19"/>
      <c r="CH134" s="19"/>
      <c r="CI134" s="19"/>
      <c r="CJ134" s="19"/>
      <c r="CK134" s="19"/>
      <c r="CL134" s="19"/>
      <c r="CM134" s="19"/>
      <c r="CN134" s="19"/>
      <c r="CO134" s="19"/>
      <c r="CP134" s="19"/>
      <c r="CQ134" s="19"/>
      <c r="CR134" s="19"/>
      <c r="CS134" s="19"/>
      <c r="CT134" s="19"/>
      <c r="CU134" s="19"/>
      <c r="CV134" s="19"/>
      <c r="CW134" s="19"/>
      <c r="CX134" s="19"/>
      <c r="CY134" s="19"/>
      <c r="CZ134" s="19"/>
      <c r="DA134" s="19"/>
      <c r="DB134" s="19"/>
      <c r="DC134" s="19"/>
      <c r="DD134" s="19"/>
      <c r="DE134" s="19"/>
      <c r="DF134" s="19"/>
      <c r="DG134" s="19"/>
      <c r="DH134" s="19"/>
      <c r="DI134" s="19"/>
      <c r="DJ134" s="19"/>
      <c r="DK134" s="19"/>
      <c r="DL134" s="19"/>
      <c r="DM134" s="19"/>
      <c r="DN134" s="19"/>
      <c r="DO134" s="19"/>
      <c r="DP134" s="19"/>
      <c r="DQ134" s="19"/>
      <c r="DR134" s="19"/>
      <c r="DS134" s="19"/>
      <c r="DT134" s="19"/>
      <c r="DU134" s="19"/>
      <c r="DV134" s="19"/>
      <c r="DW134" s="19"/>
      <c r="DX134" s="19"/>
      <c r="DY134" s="19"/>
      <c r="DZ134" s="19"/>
      <c r="EA134" s="19"/>
      <c r="EB134" s="19"/>
      <c r="EC134" s="19"/>
      <c r="ED134" s="19"/>
      <c r="EE134" s="19"/>
      <c r="EF134" s="19"/>
      <c r="EG134" s="19"/>
      <c r="EH134" s="19"/>
      <c r="EI134" s="19"/>
      <c r="EJ134" s="19"/>
      <c r="EK134" s="19"/>
      <c r="EL134" s="19"/>
      <c r="EM134" s="19"/>
      <c r="EN134" s="19"/>
      <c r="EO134" s="19"/>
      <c r="EP134" s="19"/>
      <c r="EQ134" s="19"/>
      <c r="ER134" s="19"/>
      <c r="ES134" s="19"/>
      <c r="ET134" s="19"/>
      <c r="EU134" s="19"/>
      <c r="EV134" s="19"/>
      <c r="EW134" s="19"/>
      <c r="EX134" s="19"/>
      <c r="EY134" s="19"/>
      <c r="EZ134" s="19"/>
      <c r="FA134" s="19"/>
      <c r="FB134" s="19"/>
      <c r="FC134" s="19"/>
      <c r="FD134" s="19"/>
      <c r="FE134" s="19"/>
      <c r="FF134" s="19"/>
      <c r="FG134" s="19"/>
      <c r="FH134" s="19"/>
      <c r="FI134" s="19"/>
      <c r="FJ134" s="19"/>
      <c r="FK134" s="19"/>
      <c r="FL134" s="19"/>
      <c r="FM134" s="19"/>
      <c r="FN134" s="19"/>
      <c r="FO134" s="19"/>
      <c r="FP134" s="19"/>
      <c r="FQ134" s="19"/>
      <c r="FR134" s="19"/>
      <c r="FS134" s="19"/>
      <c r="FT134" s="19"/>
      <c r="FU134" s="19"/>
      <c r="FV134" s="19"/>
      <c r="FW134" s="19"/>
      <c r="FX134" s="19"/>
      <c r="FY134" s="19"/>
      <c r="FZ134" s="19"/>
      <c r="GA134" s="19"/>
      <c r="GB134" s="19"/>
      <c r="GC134" s="19"/>
      <c r="GD134" s="19"/>
      <c r="GE134" s="19"/>
      <c r="GF134" s="19"/>
      <c r="GG134" s="19"/>
      <c r="GH134" s="19"/>
      <c r="GI134" s="19"/>
      <c r="GJ134" s="19"/>
      <c r="GK134" s="19"/>
      <c r="GL134" s="19"/>
      <c r="GM134" s="19"/>
      <c r="GN134" s="19"/>
      <c r="GO134" s="19"/>
      <c r="GP134" s="19"/>
      <c r="GQ134" s="19"/>
      <c r="GR134" s="19"/>
      <c r="GS134" s="19"/>
      <c r="GT134" s="19"/>
      <c r="GU134" s="19"/>
      <c r="GV134" s="19"/>
      <c r="GW134" s="19"/>
      <c r="GX134" s="19"/>
      <c r="GY134" s="19"/>
      <c r="GZ134" s="19"/>
      <c r="HA134" s="19"/>
      <c r="HB134" s="19"/>
    </row>
    <row r="135" spans="1:210" x14ac:dyDescent="0.25">
      <c r="A135" s="113">
        <f t="shared" si="17"/>
        <v>-5</v>
      </c>
      <c r="B135" s="163"/>
      <c r="C135" s="172" t="str">
        <f t="shared" si="20"/>
        <v>RTH at -5 °C</v>
      </c>
      <c r="D135" s="196">
        <f t="shared" si="19"/>
        <v>2.2999999999999998</v>
      </c>
      <c r="E135" s="197">
        <v>33.15</v>
      </c>
      <c r="F135" s="198">
        <v>33.9</v>
      </c>
      <c r="G135" s="199">
        <v>34.659999999999997</v>
      </c>
      <c r="H135" s="128" t="s">
        <v>18</v>
      </c>
      <c r="I135" s="29"/>
      <c r="J135" s="29">
        <v>34.659999999999997</v>
      </c>
      <c r="K135" s="29">
        <v>33.9</v>
      </c>
      <c r="L135" s="29">
        <v>33.15</v>
      </c>
      <c r="M135" s="29"/>
      <c r="N135" s="29"/>
      <c r="O135" s="29"/>
      <c r="P135" s="29"/>
      <c r="Q135" s="29"/>
      <c r="R135" s="29"/>
      <c r="S135" s="29"/>
      <c r="T135" s="29"/>
      <c r="U135" s="29"/>
      <c r="V135" s="29"/>
      <c r="W135" s="29"/>
      <c r="X135" s="29"/>
      <c r="Y135" s="30"/>
      <c r="Z135" s="18"/>
      <c r="AA135" s="19"/>
      <c r="AB135" s="19"/>
      <c r="AC135" s="20">
        <f t="shared" si="21"/>
        <v>-5</v>
      </c>
      <c r="AD135" s="20">
        <f t="shared" si="22"/>
        <v>33.15</v>
      </c>
      <c r="AE135" s="20">
        <f t="shared" si="23"/>
        <v>33.9</v>
      </c>
      <c r="AF135" s="20">
        <f t="shared" si="24"/>
        <v>34.659999999999997</v>
      </c>
      <c r="AG135" s="20">
        <f>Table9[[#This Row],[RTH(min) (kΩ)]]*RT2_TH_MIN/(RT2_TH_MIN+Table9[[#This Row],[RTH(min) (kΩ)]])</f>
        <v>15.878072142177526</v>
      </c>
      <c r="AH135" s="20">
        <f>Table9[[#This Row],[RTH(nom) (kΩ)]]*RT2_TH_S/(RT2_TH_S+Table9[[#This Row],[RTH(nom) (kΩ)]])</f>
        <v>16.056586857783895</v>
      </c>
      <c r="AI135" s="20">
        <f>Table9[[#This Row],[RTH(max) (kΩ)]]*RT2_TH_S_MAX/(RT2_TH_S_MAX+Table9[[#This Row],[RTH(max) (kΩ)]])</f>
        <v>16.233722671173229</v>
      </c>
      <c r="AJ135" s="20">
        <f>Table9[[#This Row],[RLower(min) (kΩ)]]/(Table9[[#This Row],[RLower(min) (kΩ)]]+RT1_TH_S_MAX)*100</f>
        <v>75.193452163822315</v>
      </c>
      <c r="AK135" s="20">
        <f>Table9[[#This Row],[RLower(nom) (kΩ)]]/(Table9[[#This Row],[RLower(nom) (kΩ)]]+RT1_TH_S)*100</f>
        <v>75.419939532457846</v>
      </c>
      <c r="AL135" s="20">
        <f>Table9[[#This Row],[RLower(max) (kΩ)]]/(Table9[[#This Row],[RLower(max) (kΩ)]]+RT1_TH_S_MIN)*100</f>
        <v>75.641204827162241</v>
      </c>
      <c r="AM135" s="20">
        <f>IF(Table9[[#This Row],[Vmin (%)]]&lt;$BA$14, 0, IF(Table9[[#This Row],[Vmin (%)]]&lt;$BA$12, 4, IF(Table9[[#This Row],[Vmin (%)]]&lt;$BA$9, 3, IF(Table9[[#This Row],[Vmin (%)]]&lt;$BA$7, 2, 0))))</f>
        <v>2</v>
      </c>
      <c r="AN135" s="20">
        <f>IF(Table9[[#This Row],[Vmin (%)]]&lt;$BA$13, 0, IF(Table9[[#This Row],[Vmin (%)]]&lt;$BA$11, 4, IF(Table9[[#This Row],[Vmin (%)]]&lt;$BA$10, 3, IF(Table9[[#This Row],[Vmin (%)]]&lt;$BA$8, 2, 0))))</f>
        <v>2</v>
      </c>
      <c r="AO135" s="76" t="str">
        <f>IF(Table9[[#This Row],[Vmin (%)]]&lt;$BA$14, "Hot", IF(Table9[[#This Row],[Vmin (%)]]&lt;$BA$12, "Warm", IF(Table9[[#This Row],[Vmin (%)]]&lt;$BA$9, "Normal", IF(Table9[[#This Row],[Vmin (%)]]&lt;$BA$7, "Cool", "Cold"))))</f>
        <v>Cool</v>
      </c>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c r="BP135" s="19"/>
      <c r="BQ135" s="19"/>
      <c r="BR135" s="19"/>
      <c r="BS135" s="19"/>
      <c r="BT135" s="19"/>
      <c r="BU135" s="19"/>
      <c r="BV135" s="19"/>
      <c r="BW135" s="19"/>
      <c r="BX135" s="19"/>
      <c r="BY135" s="19"/>
      <c r="BZ135" s="19"/>
      <c r="CA135" s="19"/>
      <c r="CB135" s="19"/>
      <c r="CC135" s="19"/>
      <c r="CD135" s="19"/>
      <c r="CE135" s="19"/>
      <c r="CF135" s="19"/>
      <c r="CG135" s="19"/>
      <c r="CH135" s="19"/>
      <c r="CI135" s="19"/>
      <c r="CJ135" s="19"/>
      <c r="CK135" s="19"/>
      <c r="CL135" s="19"/>
      <c r="CM135" s="19"/>
      <c r="CN135" s="19"/>
      <c r="CO135" s="19"/>
      <c r="CP135" s="19"/>
      <c r="CQ135" s="19"/>
      <c r="CR135" s="19"/>
      <c r="CS135" s="19"/>
      <c r="CT135" s="19"/>
      <c r="CU135" s="19"/>
      <c r="CV135" s="19"/>
      <c r="CW135" s="19"/>
      <c r="CX135" s="19"/>
      <c r="CY135" s="19"/>
      <c r="CZ135" s="19"/>
      <c r="DA135" s="19"/>
      <c r="DB135" s="19"/>
      <c r="DC135" s="19"/>
      <c r="DD135" s="19"/>
      <c r="DE135" s="19"/>
      <c r="DF135" s="19"/>
      <c r="DG135" s="19"/>
      <c r="DH135" s="19"/>
      <c r="DI135" s="19"/>
      <c r="DJ135" s="19"/>
      <c r="DK135" s="19"/>
      <c r="DL135" s="19"/>
      <c r="DM135" s="19"/>
      <c r="DN135" s="19"/>
      <c r="DO135" s="19"/>
      <c r="DP135" s="19"/>
      <c r="DQ135" s="19"/>
      <c r="DR135" s="19"/>
      <c r="DS135" s="19"/>
      <c r="DT135" s="19"/>
      <c r="DU135" s="19"/>
      <c r="DV135" s="19"/>
      <c r="DW135" s="19"/>
      <c r="DX135" s="19"/>
      <c r="DY135" s="19"/>
      <c r="DZ135" s="19"/>
      <c r="EA135" s="19"/>
      <c r="EB135" s="19"/>
      <c r="EC135" s="19"/>
      <c r="ED135" s="19"/>
      <c r="EE135" s="19"/>
      <c r="EF135" s="19"/>
      <c r="EG135" s="19"/>
      <c r="EH135" s="19"/>
      <c r="EI135" s="19"/>
      <c r="EJ135" s="19"/>
      <c r="EK135" s="19"/>
      <c r="EL135" s="19"/>
      <c r="EM135" s="19"/>
      <c r="EN135" s="19"/>
      <c r="EO135" s="19"/>
      <c r="EP135" s="19"/>
      <c r="EQ135" s="19"/>
      <c r="ER135" s="19"/>
      <c r="ES135" s="19"/>
      <c r="ET135" s="19"/>
      <c r="EU135" s="19"/>
      <c r="EV135" s="19"/>
      <c r="EW135" s="19"/>
      <c r="EX135" s="19"/>
      <c r="EY135" s="19"/>
      <c r="EZ135" s="19"/>
      <c r="FA135" s="19"/>
      <c r="FB135" s="19"/>
      <c r="FC135" s="19"/>
      <c r="FD135" s="19"/>
      <c r="FE135" s="19"/>
      <c r="FF135" s="19"/>
      <c r="FG135" s="19"/>
      <c r="FH135" s="19"/>
      <c r="FI135" s="19"/>
      <c r="FJ135" s="19"/>
      <c r="FK135" s="19"/>
      <c r="FL135" s="19"/>
      <c r="FM135" s="19"/>
      <c r="FN135" s="19"/>
      <c r="FO135" s="19"/>
      <c r="FP135" s="19"/>
      <c r="FQ135" s="19"/>
      <c r="FR135" s="19"/>
      <c r="FS135" s="19"/>
      <c r="FT135" s="19"/>
      <c r="FU135" s="19"/>
      <c r="FV135" s="19"/>
      <c r="FW135" s="19"/>
      <c r="FX135" s="19"/>
      <c r="FY135" s="19"/>
      <c r="FZ135" s="19"/>
      <c r="GA135" s="19"/>
      <c r="GB135" s="19"/>
      <c r="GC135" s="19"/>
      <c r="GD135" s="19"/>
      <c r="GE135" s="19"/>
      <c r="GF135" s="19"/>
      <c r="GG135" s="19"/>
      <c r="GH135" s="19"/>
      <c r="GI135" s="19"/>
      <c r="GJ135" s="19"/>
      <c r="GK135" s="19"/>
      <c r="GL135" s="19"/>
      <c r="GM135" s="19"/>
      <c r="GN135" s="19"/>
      <c r="GO135" s="19"/>
      <c r="GP135" s="19"/>
      <c r="GQ135" s="19"/>
      <c r="GR135" s="19"/>
      <c r="GS135" s="19"/>
      <c r="GT135" s="19"/>
      <c r="GU135" s="19"/>
      <c r="GV135" s="19"/>
      <c r="GW135" s="19"/>
      <c r="GX135" s="19"/>
      <c r="GY135" s="19"/>
      <c r="GZ135" s="19"/>
      <c r="HA135" s="19"/>
      <c r="HB135" s="19"/>
    </row>
    <row r="136" spans="1:210" x14ac:dyDescent="0.25">
      <c r="A136" s="113">
        <f t="shared" si="17"/>
        <v>-6</v>
      </c>
      <c r="B136" s="163"/>
      <c r="C136" s="172" t="str">
        <f t="shared" si="20"/>
        <v>RTH at -6 °C</v>
      </c>
      <c r="D136" s="196">
        <f t="shared" si="19"/>
        <v>2.3433333333333333</v>
      </c>
      <c r="E136" s="197">
        <v>34.64</v>
      </c>
      <c r="F136" s="198">
        <v>35.44</v>
      </c>
      <c r="G136" s="199">
        <v>36.25</v>
      </c>
      <c r="H136" s="128" t="s">
        <v>18</v>
      </c>
      <c r="I136" s="29"/>
      <c r="J136" s="29">
        <v>36.25</v>
      </c>
      <c r="K136" s="29">
        <v>35.44</v>
      </c>
      <c r="L136" s="29">
        <v>34.64</v>
      </c>
      <c r="M136" s="29"/>
      <c r="N136" s="29"/>
      <c r="O136" s="29"/>
      <c r="P136" s="29"/>
      <c r="Q136" s="29"/>
      <c r="R136" s="29"/>
      <c r="S136" s="29"/>
      <c r="T136" s="29"/>
      <c r="U136" s="29"/>
      <c r="V136" s="29"/>
      <c r="W136" s="29"/>
      <c r="X136" s="29"/>
      <c r="Y136" s="30"/>
      <c r="Z136" s="18"/>
      <c r="AA136" s="19"/>
      <c r="AB136" s="19"/>
      <c r="AC136" s="20">
        <f t="shared" si="21"/>
        <v>-6</v>
      </c>
      <c r="AD136" s="20">
        <f t="shared" si="22"/>
        <v>34.64</v>
      </c>
      <c r="AE136" s="20">
        <f t="shared" si="23"/>
        <v>35.44</v>
      </c>
      <c r="AF136" s="20">
        <f t="shared" si="24"/>
        <v>36.25</v>
      </c>
      <c r="AG136" s="20">
        <f>Table9[[#This Row],[RTH(min) (kΩ)]]*RT2_TH_MIN/(RT2_TH_MIN+Table9[[#This Row],[RTH(min) (kΩ)]])</f>
        <v>16.21208367285158</v>
      </c>
      <c r="AH136" s="20">
        <f>Table9[[#This Row],[RTH(nom) (kΩ)]]*RT2_TH_S/(RT2_TH_S+Table9[[#This Row],[RTH(nom) (kΩ)]])</f>
        <v>16.394002759564607</v>
      </c>
      <c r="AI136" s="20">
        <f>Table9[[#This Row],[RTH(max) (kΩ)]]*RT2_TH_S_MAX/(RT2_TH_S_MAX+Table9[[#This Row],[RTH(max) (kΩ)]])</f>
        <v>16.574218453025708</v>
      </c>
      <c r="AJ136" s="20">
        <f>Table9[[#This Row],[RLower(min) (kΩ)]]/(Table9[[#This Row],[RLower(min) (kΩ)]]+RT1_TH_S_MAX)*100</f>
        <v>75.579725082914123</v>
      </c>
      <c r="AK136" s="20">
        <f>Table9[[#This Row],[RLower(nom) (kΩ)]]/(Table9[[#This Row],[RLower(nom) (kΩ)]]+RT1_TH_S)*100</f>
        <v>75.80342802394135</v>
      </c>
      <c r="AL136" s="20">
        <f>Table9[[#This Row],[RLower(max) (kΩ)]]/(Table9[[#This Row],[RLower(max) (kΩ)]]+RT1_TH_S_MIN)*100</f>
        <v>76.021632123100744</v>
      </c>
      <c r="AM136" s="20">
        <f>IF(Table9[[#This Row],[Vmin (%)]]&lt;$BA$14, 0, IF(Table9[[#This Row],[Vmin (%)]]&lt;$BA$12, 4, IF(Table9[[#This Row],[Vmin (%)]]&lt;$BA$9, 3, IF(Table9[[#This Row],[Vmin (%)]]&lt;$BA$7, 2, 0))))</f>
        <v>2</v>
      </c>
      <c r="AN136" s="20">
        <f>IF(Table9[[#This Row],[Vmin (%)]]&lt;$BA$13, 0, IF(Table9[[#This Row],[Vmin (%)]]&lt;$BA$11, 4, IF(Table9[[#This Row],[Vmin (%)]]&lt;$BA$10, 3, IF(Table9[[#This Row],[Vmin (%)]]&lt;$BA$8, 2, 0))))</f>
        <v>2</v>
      </c>
      <c r="AO136" s="76" t="str">
        <f>IF(Table9[[#This Row],[Vmin (%)]]&lt;$BA$14, "Hot", IF(Table9[[#This Row],[Vmin (%)]]&lt;$BA$12, "Warm", IF(Table9[[#This Row],[Vmin (%)]]&lt;$BA$9, "Normal", IF(Table9[[#This Row],[Vmin (%)]]&lt;$BA$7, "Cool", "Cold"))))</f>
        <v>Cool</v>
      </c>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c r="BP136" s="19"/>
      <c r="BQ136" s="19"/>
      <c r="BR136" s="19"/>
      <c r="BS136" s="19"/>
      <c r="BT136" s="19"/>
      <c r="BU136" s="19"/>
      <c r="BV136" s="19"/>
      <c r="BW136" s="19"/>
      <c r="BX136" s="19"/>
      <c r="BY136" s="19"/>
      <c r="BZ136" s="19"/>
      <c r="CA136" s="19"/>
      <c r="CB136" s="19"/>
      <c r="CC136" s="19"/>
      <c r="CD136" s="19"/>
      <c r="CE136" s="19"/>
      <c r="CF136" s="19"/>
      <c r="CG136" s="19"/>
      <c r="CH136" s="19"/>
      <c r="CI136" s="19"/>
      <c r="CJ136" s="19"/>
      <c r="CK136" s="19"/>
      <c r="CL136" s="19"/>
      <c r="CM136" s="19"/>
      <c r="CN136" s="19"/>
      <c r="CO136" s="19"/>
      <c r="CP136" s="19"/>
      <c r="CQ136" s="19"/>
      <c r="CR136" s="19"/>
      <c r="CS136" s="19"/>
      <c r="CT136" s="19"/>
      <c r="CU136" s="19"/>
      <c r="CV136" s="19"/>
      <c r="CW136" s="19"/>
      <c r="CX136" s="19"/>
      <c r="CY136" s="19"/>
      <c r="CZ136" s="19"/>
      <c r="DA136" s="19"/>
      <c r="DB136" s="19"/>
      <c r="DC136" s="19"/>
      <c r="DD136" s="19"/>
      <c r="DE136" s="19"/>
      <c r="DF136" s="19"/>
      <c r="DG136" s="19"/>
      <c r="DH136" s="19"/>
      <c r="DI136" s="19"/>
      <c r="DJ136" s="19"/>
      <c r="DK136" s="19"/>
      <c r="DL136" s="19"/>
      <c r="DM136" s="19"/>
      <c r="DN136" s="19"/>
      <c r="DO136" s="19"/>
      <c r="DP136" s="19"/>
      <c r="DQ136" s="19"/>
      <c r="DR136" s="19"/>
      <c r="DS136" s="19"/>
      <c r="DT136" s="19"/>
      <c r="DU136" s="19"/>
      <c r="DV136" s="19"/>
      <c r="DW136" s="19"/>
      <c r="DX136" s="19"/>
      <c r="DY136" s="19"/>
      <c r="DZ136" s="19"/>
      <c r="EA136" s="19"/>
      <c r="EB136" s="19"/>
      <c r="EC136" s="19"/>
      <c r="ED136" s="19"/>
      <c r="EE136" s="19"/>
      <c r="EF136" s="19"/>
      <c r="EG136" s="19"/>
      <c r="EH136" s="19"/>
      <c r="EI136" s="19"/>
      <c r="EJ136" s="19"/>
      <c r="EK136" s="19"/>
      <c r="EL136" s="19"/>
      <c r="EM136" s="19"/>
      <c r="EN136" s="19"/>
      <c r="EO136" s="19"/>
      <c r="EP136" s="19"/>
      <c r="EQ136" s="19"/>
      <c r="ER136" s="19"/>
      <c r="ES136" s="19"/>
      <c r="ET136" s="19"/>
      <c r="EU136" s="19"/>
      <c r="EV136" s="19"/>
      <c r="EW136" s="19"/>
      <c r="EX136" s="19"/>
      <c r="EY136" s="19"/>
      <c r="EZ136" s="19"/>
      <c r="FA136" s="19"/>
      <c r="FB136" s="19"/>
      <c r="FC136" s="19"/>
      <c r="FD136" s="19"/>
      <c r="FE136" s="19"/>
      <c r="FF136" s="19"/>
      <c r="FG136" s="19"/>
      <c r="FH136" s="19"/>
      <c r="FI136" s="19"/>
      <c r="FJ136" s="19"/>
      <c r="FK136" s="19"/>
      <c r="FL136" s="19"/>
      <c r="FM136" s="19"/>
      <c r="FN136" s="19"/>
      <c r="FO136" s="19"/>
      <c r="FP136" s="19"/>
      <c r="FQ136" s="19"/>
      <c r="FR136" s="19"/>
      <c r="FS136" s="19"/>
      <c r="FT136" s="19"/>
      <c r="FU136" s="19"/>
      <c r="FV136" s="19"/>
      <c r="FW136" s="19"/>
      <c r="FX136" s="19"/>
      <c r="FY136" s="19"/>
      <c r="FZ136" s="19"/>
      <c r="GA136" s="19"/>
      <c r="GB136" s="19"/>
      <c r="GC136" s="19"/>
      <c r="GD136" s="19"/>
      <c r="GE136" s="19"/>
      <c r="GF136" s="19"/>
      <c r="GG136" s="19"/>
      <c r="GH136" s="19"/>
      <c r="GI136" s="19"/>
      <c r="GJ136" s="19"/>
      <c r="GK136" s="19"/>
      <c r="GL136" s="19"/>
      <c r="GM136" s="19"/>
      <c r="GN136" s="19"/>
      <c r="GO136" s="19"/>
      <c r="GP136" s="19"/>
      <c r="GQ136" s="19"/>
      <c r="GR136" s="19"/>
      <c r="GS136" s="19"/>
      <c r="GT136" s="19"/>
      <c r="GU136" s="19"/>
      <c r="GV136" s="19"/>
      <c r="GW136" s="19"/>
      <c r="GX136" s="19"/>
      <c r="GY136" s="19"/>
      <c r="GZ136" s="19"/>
      <c r="HA136" s="19"/>
      <c r="HB136" s="19"/>
    </row>
    <row r="137" spans="1:210" x14ac:dyDescent="0.25">
      <c r="A137" s="113">
        <f t="shared" si="17"/>
        <v>-7</v>
      </c>
      <c r="B137" s="163"/>
      <c r="C137" s="172" t="str">
        <f t="shared" si="20"/>
        <v>RTH at -7 °C</v>
      </c>
      <c r="D137" s="196">
        <f t="shared" si="19"/>
        <v>2.3866666666666667</v>
      </c>
      <c r="E137" s="197">
        <v>36.21</v>
      </c>
      <c r="F137" s="198">
        <v>37.06</v>
      </c>
      <c r="G137" s="199">
        <v>37.92</v>
      </c>
      <c r="H137" s="128" t="s">
        <v>18</v>
      </c>
      <c r="I137" s="29"/>
      <c r="J137" s="29">
        <v>37.92</v>
      </c>
      <c r="K137" s="29">
        <v>37.06</v>
      </c>
      <c r="L137" s="29">
        <v>36.21</v>
      </c>
      <c r="M137" s="29"/>
      <c r="N137" s="29"/>
      <c r="O137" s="29"/>
      <c r="P137" s="29"/>
      <c r="Q137" s="29"/>
      <c r="R137" s="29"/>
      <c r="S137" s="29"/>
      <c r="T137" s="29"/>
      <c r="U137" s="29"/>
      <c r="V137" s="29"/>
      <c r="W137" s="29"/>
      <c r="X137" s="29"/>
      <c r="Y137" s="30"/>
      <c r="Z137" s="18"/>
      <c r="AA137" s="19"/>
      <c r="AB137" s="19"/>
      <c r="AC137" s="20">
        <f t="shared" si="21"/>
        <v>-7</v>
      </c>
      <c r="AD137" s="20">
        <f t="shared" si="22"/>
        <v>36.21</v>
      </c>
      <c r="AE137" s="20">
        <f t="shared" si="23"/>
        <v>37.06</v>
      </c>
      <c r="AF137" s="20">
        <f t="shared" si="24"/>
        <v>37.92</v>
      </c>
      <c r="AG137" s="20">
        <f>Table9[[#This Row],[RTH(min) (kΩ)]]*RT2_TH_MIN/(RT2_TH_MIN+Table9[[#This Row],[RTH(min) (kΩ)]])</f>
        <v>16.547878817771398</v>
      </c>
      <c r="AH137" s="20">
        <f>Table9[[#This Row],[RTH(nom) (kΩ)]]*RT2_TH_S/(RT2_TH_S+Table9[[#This Row],[RTH(nom) (kΩ)]])</f>
        <v>16.732346176821302</v>
      </c>
      <c r="AI137" s="20">
        <f>Table9[[#This Row],[RTH(max) (kΩ)]]*RT2_TH_S_MAX/(RT2_TH_S_MAX+Table9[[#This Row],[RTH(max) (kΩ)]])</f>
        <v>16.914815161476682</v>
      </c>
      <c r="AJ137" s="20">
        <f>Table9[[#This Row],[RLower(min) (kΩ)]]/(Table9[[#This Row],[RLower(min) (kΩ)]]+RT1_TH_S_MAX)*100</f>
        <v>75.956121438491195</v>
      </c>
      <c r="AK137" s="20">
        <f>Table9[[#This Row],[RLower(nom) (kΩ)]]/(Table9[[#This Row],[RLower(nom) (kΩ)]]+RT1_TH_S)*100</f>
        <v>76.176140299088971</v>
      </c>
      <c r="AL137" s="20">
        <f>Table9[[#This Row],[RLower(max) (kΩ)]]/(Table9[[#This Row],[RLower(max) (kΩ)]]+RT1_TH_S_MIN)*100</f>
        <v>76.390466994094481</v>
      </c>
      <c r="AM137" s="20">
        <f>IF(Table9[[#This Row],[Vmin (%)]]&lt;$BA$14, 0, IF(Table9[[#This Row],[Vmin (%)]]&lt;$BA$12, 4, IF(Table9[[#This Row],[Vmin (%)]]&lt;$BA$9, 3, IF(Table9[[#This Row],[Vmin (%)]]&lt;$BA$7, 2, 0))))</f>
        <v>2</v>
      </c>
      <c r="AN137" s="20">
        <f>IF(Table9[[#This Row],[Vmin (%)]]&lt;$BA$13, 0, IF(Table9[[#This Row],[Vmin (%)]]&lt;$BA$11, 4, IF(Table9[[#This Row],[Vmin (%)]]&lt;$BA$10, 3, IF(Table9[[#This Row],[Vmin (%)]]&lt;$BA$8, 2, 0))))</f>
        <v>2</v>
      </c>
      <c r="AO137" s="76" t="str">
        <f>IF(Table9[[#This Row],[Vmin (%)]]&lt;$BA$14, "Hot", IF(Table9[[#This Row],[Vmin (%)]]&lt;$BA$12, "Warm", IF(Table9[[#This Row],[Vmin (%)]]&lt;$BA$9, "Normal", IF(Table9[[#This Row],[Vmin (%)]]&lt;$BA$7, "Cool", "Cold"))))</f>
        <v>Cool</v>
      </c>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c r="BP137" s="19"/>
      <c r="BQ137" s="19"/>
      <c r="BR137" s="19"/>
      <c r="BS137" s="19"/>
      <c r="BT137" s="19"/>
      <c r="BU137" s="19"/>
      <c r="BV137" s="19"/>
      <c r="BW137" s="19"/>
      <c r="BX137" s="19"/>
      <c r="BY137" s="19"/>
      <c r="BZ137" s="19"/>
      <c r="CA137" s="19"/>
      <c r="CB137" s="19"/>
      <c r="CC137" s="19"/>
      <c r="CD137" s="19"/>
      <c r="CE137" s="19"/>
      <c r="CF137" s="19"/>
      <c r="CG137" s="19"/>
      <c r="CH137" s="19"/>
      <c r="CI137" s="19"/>
      <c r="CJ137" s="19"/>
      <c r="CK137" s="19"/>
      <c r="CL137" s="19"/>
      <c r="CM137" s="19"/>
      <c r="CN137" s="19"/>
      <c r="CO137" s="19"/>
      <c r="CP137" s="19"/>
      <c r="CQ137" s="19"/>
      <c r="CR137" s="19"/>
      <c r="CS137" s="19"/>
      <c r="CT137" s="19"/>
      <c r="CU137" s="19"/>
      <c r="CV137" s="19"/>
      <c r="CW137" s="19"/>
      <c r="CX137" s="19"/>
      <c r="CY137" s="19"/>
      <c r="CZ137" s="19"/>
      <c r="DA137" s="19"/>
      <c r="DB137" s="19"/>
      <c r="DC137" s="19"/>
      <c r="DD137" s="19"/>
      <c r="DE137" s="19"/>
      <c r="DF137" s="19"/>
      <c r="DG137" s="19"/>
      <c r="DH137" s="19"/>
      <c r="DI137" s="19"/>
      <c r="DJ137" s="19"/>
      <c r="DK137" s="19"/>
      <c r="DL137" s="19"/>
      <c r="DM137" s="19"/>
      <c r="DN137" s="19"/>
      <c r="DO137" s="19"/>
      <c r="DP137" s="19"/>
      <c r="DQ137" s="19"/>
      <c r="DR137" s="19"/>
      <c r="DS137" s="19"/>
      <c r="DT137" s="19"/>
      <c r="DU137" s="19"/>
      <c r="DV137" s="19"/>
      <c r="DW137" s="19"/>
      <c r="DX137" s="19"/>
      <c r="DY137" s="19"/>
      <c r="DZ137" s="19"/>
      <c r="EA137" s="19"/>
      <c r="EB137" s="19"/>
      <c r="EC137" s="19"/>
      <c r="ED137" s="19"/>
      <c r="EE137" s="19"/>
      <c r="EF137" s="19"/>
      <c r="EG137" s="19"/>
      <c r="EH137" s="19"/>
      <c r="EI137" s="19"/>
      <c r="EJ137" s="19"/>
      <c r="EK137" s="19"/>
      <c r="EL137" s="19"/>
      <c r="EM137" s="19"/>
      <c r="EN137" s="19"/>
      <c r="EO137" s="19"/>
      <c r="EP137" s="19"/>
      <c r="EQ137" s="19"/>
      <c r="ER137" s="19"/>
      <c r="ES137" s="19"/>
      <c r="ET137" s="19"/>
      <c r="EU137" s="19"/>
      <c r="EV137" s="19"/>
      <c r="EW137" s="19"/>
      <c r="EX137" s="19"/>
      <c r="EY137" s="19"/>
      <c r="EZ137" s="19"/>
      <c r="FA137" s="19"/>
      <c r="FB137" s="19"/>
      <c r="FC137" s="19"/>
      <c r="FD137" s="19"/>
      <c r="FE137" s="19"/>
      <c r="FF137" s="19"/>
      <c r="FG137" s="19"/>
      <c r="FH137" s="19"/>
      <c r="FI137" s="19"/>
      <c r="FJ137" s="19"/>
      <c r="FK137" s="19"/>
      <c r="FL137" s="19"/>
      <c r="FM137" s="19"/>
      <c r="FN137" s="19"/>
      <c r="FO137" s="19"/>
      <c r="FP137" s="19"/>
      <c r="FQ137" s="19"/>
      <c r="FR137" s="19"/>
      <c r="FS137" s="19"/>
      <c r="FT137" s="19"/>
      <c r="FU137" s="19"/>
      <c r="FV137" s="19"/>
      <c r="FW137" s="19"/>
      <c r="FX137" s="19"/>
      <c r="FY137" s="19"/>
      <c r="FZ137" s="19"/>
      <c r="GA137" s="19"/>
      <c r="GB137" s="19"/>
      <c r="GC137" s="19"/>
      <c r="GD137" s="19"/>
      <c r="GE137" s="19"/>
      <c r="GF137" s="19"/>
      <c r="GG137" s="19"/>
      <c r="GH137" s="19"/>
      <c r="GI137" s="19"/>
      <c r="GJ137" s="19"/>
      <c r="GK137" s="19"/>
      <c r="GL137" s="19"/>
      <c r="GM137" s="19"/>
      <c r="GN137" s="19"/>
      <c r="GO137" s="19"/>
      <c r="GP137" s="19"/>
      <c r="GQ137" s="19"/>
      <c r="GR137" s="19"/>
      <c r="GS137" s="19"/>
      <c r="GT137" s="19"/>
      <c r="GU137" s="19"/>
      <c r="GV137" s="19"/>
      <c r="GW137" s="19"/>
      <c r="GX137" s="19"/>
      <c r="GY137" s="19"/>
      <c r="GZ137" s="19"/>
      <c r="HA137" s="19"/>
      <c r="HB137" s="19"/>
    </row>
    <row r="138" spans="1:210" x14ac:dyDescent="0.25">
      <c r="A138" s="113">
        <f t="shared" si="17"/>
        <v>-8</v>
      </c>
      <c r="B138" s="163"/>
      <c r="C138" s="172" t="str">
        <f t="shared" si="20"/>
        <v>RTH at -8 °C</v>
      </c>
      <c r="D138" s="196">
        <f t="shared" si="19"/>
        <v>2.4299999999999997</v>
      </c>
      <c r="E138" s="197">
        <v>37.86</v>
      </c>
      <c r="F138" s="198">
        <v>38.770000000000003</v>
      </c>
      <c r="G138" s="199">
        <v>39.69</v>
      </c>
      <c r="H138" s="128" t="s">
        <v>18</v>
      </c>
      <c r="I138" s="29"/>
      <c r="J138" s="29">
        <v>39.69</v>
      </c>
      <c r="K138" s="29">
        <v>38.770000000000003</v>
      </c>
      <c r="L138" s="29">
        <v>37.86</v>
      </c>
      <c r="M138" s="29"/>
      <c r="N138" s="29"/>
      <c r="O138" s="29"/>
      <c r="P138" s="29"/>
      <c r="Q138" s="29"/>
      <c r="R138" s="29"/>
      <c r="S138" s="29"/>
      <c r="T138" s="29"/>
      <c r="U138" s="29"/>
      <c r="V138" s="29"/>
      <c r="W138" s="29"/>
      <c r="X138" s="29"/>
      <c r="Y138" s="30"/>
      <c r="Z138" s="18"/>
      <c r="AA138" s="19"/>
      <c r="AB138" s="19"/>
      <c r="AC138" s="20">
        <f t="shared" si="21"/>
        <v>-8</v>
      </c>
      <c r="AD138" s="20">
        <f t="shared" si="22"/>
        <v>37.86</v>
      </c>
      <c r="AE138" s="20">
        <f t="shared" si="23"/>
        <v>38.770000000000003</v>
      </c>
      <c r="AF138" s="20">
        <f t="shared" si="24"/>
        <v>39.69</v>
      </c>
      <c r="AG138" s="20">
        <f>Table9[[#This Row],[RTH(min) (kΩ)]]*RT2_TH_MIN/(RT2_TH_MIN+Table9[[#This Row],[RTH(min) (kΩ)]])</f>
        <v>16.884155287441313</v>
      </c>
      <c r="AH138" s="20">
        <f>Table9[[#This Row],[RTH(nom) (kΩ)]]*RT2_TH_S/(RT2_TH_S+Table9[[#This Row],[RTH(nom) (kΩ)]])</f>
        <v>17.072319040651863</v>
      </c>
      <c r="AI138" s="20">
        <f>Table9[[#This Row],[RTH(max) (kΩ)]]*RT2_TH_S_MAX/(RT2_TH_S_MAX+Table9[[#This Row],[RTH(max) (kΩ)]])</f>
        <v>17.258123754560309</v>
      </c>
      <c r="AJ138" s="20">
        <f>Table9[[#This Row],[RLower(min) (kΩ)]]/(Table9[[#This Row],[RLower(min) (kΩ)]]+RT1_TH_S_MAX)*100</f>
        <v>76.321606111019307</v>
      </c>
      <c r="AK138" s="20">
        <f>Table9[[#This Row],[RLower(nom) (kΩ)]]/(Table9[[#This Row],[RLower(nom) (kΩ)]]+RT1_TH_S)*100</f>
        <v>76.539258576393493</v>
      </c>
      <c r="AL138" s="20">
        <f>Table9[[#This Row],[RLower(max) (kΩ)]]/(Table9[[#This Row],[RLower(max) (kΩ)]]+RT1_TH_S_MIN)*100</f>
        <v>76.750931199678163</v>
      </c>
      <c r="AM138" s="20">
        <f>IF(Table9[[#This Row],[Vmin (%)]]&lt;$BA$14, 0, IF(Table9[[#This Row],[Vmin (%)]]&lt;$BA$12, 4, IF(Table9[[#This Row],[Vmin (%)]]&lt;$BA$9, 3, IF(Table9[[#This Row],[Vmin (%)]]&lt;$BA$7, 2, 0))))</f>
        <v>2</v>
      </c>
      <c r="AN138" s="20">
        <f>IF(Table9[[#This Row],[Vmin (%)]]&lt;$BA$13, 0, IF(Table9[[#This Row],[Vmin (%)]]&lt;$BA$11, 4, IF(Table9[[#This Row],[Vmin (%)]]&lt;$BA$10, 3, IF(Table9[[#This Row],[Vmin (%)]]&lt;$BA$8, 2, 0))))</f>
        <v>0</v>
      </c>
      <c r="AO138" s="76" t="str">
        <f>IF(Table9[[#This Row],[Vmin (%)]]&lt;$BA$14, "Hot", IF(Table9[[#This Row],[Vmin (%)]]&lt;$BA$12, "Warm", IF(Table9[[#This Row],[Vmin (%)]]&lt;$BA$9, "Normal", IF(Table9[[#This Row],[Vmin (%)]]&lt;$BA$7, "Cool", "Cold"))))</f>
        <v>Cool</v>
      </c>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c r="BP138" s="19"/>
      <c r="BQ138" s="19"/>
      <c r="BR138" s="19"/>
      <c r="BS138" s="19"/>
      <c r="BT138" s="19"/>
      <c r="BU138" s="19"/>
      <c r="BV138" s="19"/>
      <c r="BW138" s="19"/>
      <c r="BX138" s="19"/>
      <c r="BY138" s="19"/>
      <c r="BZ138" s="19"/>
      <c r="CA138" s="19"/>
      <c r="CB138" s="19"/>
      <c r="CC138" s="19"/>
      <c r="CD138" s="19"/>
      <c r="CE138" s="19"/>
      <c r="CF138" s="19"/>
      <c r="CG138" s="19"/>
      <c r="CH138" s="19"/>
      <c r="CI138" s="19"/>
      <c r="CJ138" s="19"/>
      <c r="CK138" s="19"/>
      <c r="CL138" s="19"/>
      <c r="CM138" s="19"/>
      <c r="CN138" s="19"/>
      <c r="CO138" s="19"/>
      <c r="CP138" s="19"/>
      <c r="CQ138" s="19"/>
      <c r="CR138" s="19"/>
      <c r="CS138" s="19"/>
      <c r="CT138" s="19"/>
      <c r="CU138" s="19"/>
      <c r="CV138" s="19"/>
      <c r="CW138" s="19"/>
      <c r="CX138" s="19"/>
      <c r="CY138" s="19"/>
      <c r="CZ138" s="19"/>
      <c r="DA138" s="19"/>
      <c r="DB138" s="19"/>
      <c r="DC138" s="19"/>
      <c r="DD138" s="19"/>
      <c r="DE138" s="19"/>
      <c r="DF138" s="19"/>
      <c r="DG138" s="19"/>
      <c r="DH138" s="19"/>
      <c r="DI138" s="19"/>
      <c r="DJ138" s="19"/>
      <c r="DK138" s="19"/>
      <c r="DL138" s="19"/>
      <c r="DM138" s="19"/>
      <c r="DN138" s="19"/>
      <c r="DO138" s="19"/>
      <c r="DP138" s="19"/>
      <c r="DQ138" s="19"/>
      <c r="DR138" s="19"/>
      <c r="DS138" s="19"/>
      <c r="DT138" s="19"/>
      <c r="DU138" s="19"/>
      <c r="DV138" s="19"/>
      <c r="DW138" s="19"/>
      <c r="DX138" s="19"/>
      <c r="DY138" s="19"/>
      <c r="DZ138" s="19"/>
      <c r="EA138" s="19"/>
      <c r="EB138" s="19"/>
      <c r="EC138" s="19"/>
      <c r="ED138" s="19"/>
      <c r="EE138" s="19"/>
      <c r="EF138" s="19"/>
      <c r="EG138" s="19"/>
      <c r="EH138" s="19"/>
      <c r="EI138" s="19"/>
      <c r="EJ138" s="19"/>
      <c r="EK138" s="19"/>
      <c r="EL138" s="19"/>
      <c r="EM138" s="19"/>
      <c r="EN138" s="19"/>
      <c r="EO138" s="19"/>
      <c r="EP138" s="19"/>
      <c r="EQ138" s="19"/>
      <c r="ER138" s="19"/>
      <c r="ES138" s="19"/>
      <c r="ET138" s="19"/>
      <c r="EU138" s="19"/>
      <c r="EV138" s="19"/>
      <c r="EW138" s="19"/>
      <c r="EX138" s="19"/>
      <c r="EY138" s="19"/>
      <c r="EZ138" s="19"/>
      <c r="FA138" s="19"/>
      <c r="FB138" s="19"/>
      <c r="FC138" s="19"/>
      <c r="FD138" s="19"/>
      <c r="FE138" s="19"/>
      <c r="FF138" s="19"/>
      <c r="FG138" s="19"/>
      <c r="FH138" s="19"/>
      <c r="FI138" s="19"/>
      <c r="FJ138" s="19"/>
      <c r="FK138" s="19"/>
      <c r="FL138" s="19"/>
      <c r="FM138" s="19"/>
      <c r="FN138" s="19"/>
      <c r="FO138" s="19"/>
      <c r="FP138" s="19"/>
      <c r="FQ138" s="19"/>
      <c r="FR138" s="19"/>
      <c r="FS138" s="19"/>
      <c r="FT138" s="19"/>
      <c r="FU138" s="19"/>
      <c r="FV138" s="19"/>
      <c r="FW138" s="19"/>
      <c r="FX138" s="19"/>
      <c r="FY138" s="19"/>
      <c r="FZ138" s="19"/>
      <c r="GA138" s="19"/>
      <c r="GB138" s="19"/>
      <c r="GC138" s="19"/>
      <c r="GD138" s="19"/>
      <c r="GE138" s="19"/>
      <c r="GF138" s="19"/>
      <c r="GG138" s="19"/>
      <c r="GH138" s="19"/>
      <c r="GI138" s="19"/>
      <c r="GJ138" s="19"/>
      <c r="GK138" s="19"/>
      <c r="GL138" s="19"/>
      <c r="GM138" s="19"/>
      <c r="GN138" s="19"/>
      <c r="GO138" s="19"/>
      <c r="GP138" s="19"/>
      <c r="GQ138" s="19"/>
      <c r="GR138" s="19"/>
      <c r="GS138" s="19"/>
      <c r="GT138" s="19"/>
      <c r="GU138" s="19"/>
      <c r="GV138" s="19"/>
      <c r="GW138" s="19"/>
      <c r="GX138" s="19"/>
      <c r="GY138" s="19"/>
      <c r="GZ138" s="19"/>
      <c r="HA138" s="19"/>
      <c r="HB138" s="19"/>
    </row>
    <row r="139" spans="1:210" x14ac:dyDescent="0.25">
      <c r="A139" s="113">
        <f t="shared" si="17"/>
        <v>-9</v>
      </c>
      <c r="B139" s="163"/>
      <c r="C139" s="172" t="str">
        <f t="shared" si="20"/>
        <v>RTH at -9 °C</v>
      </c>
      <c r="D139" s="196">
        <f t="shared" si="19"/>
        <v>2.4733333333333336</v>
      </c>
      <c r="E139" s="197">
        <v>39.6</v>
      </c>
      <c r="F139" s="198">
        <v>40.57</v>
      </c>
      <c r="G139" s="199">
        <v>41.55</v>
      </c>
      <c r="H139" s="128" t="s">
        <v>18</v>
      </c>
      <c r="I139" s="29"/>
      <c r="J139" s="29">
        <v>41.55</v>
      </c>
      <c r="K139" s="29">
        <v>40.57</v>
      </c>
      <c r="L139" s="29">
        <v>39.6</v>
      </c>
      <c r="M139" s="29"/>
      <c r="N139" s="29"/>
      <c r="O139" s="29"/>
      <c r="P139" s="29"/>
      <c r="Q139" s="29"/>
      <c r="R139" s="29"/>
      <c r="S139" s="29"/>
      <c r="T139" s="29"/>
      <c r="U139" s="29"/>
      <c r="V139" s="29"/>
      <c r="W139" s="29"/>
      <c r="X139" s="29"/>
      <c r="Y139" s="30"/>
      <c r="Z139" s="18"/>
      <c r="AA139" s="19"/>
      <c r="AB139" s="19"/>
      <c r="AC139" s="20">
        <f t="shared" si="21"/>
        <v>-9</v>
      </c>
      <c r="AD139" s="20">
        <f t="shared" si="22"/>
        <v>39.6</v>
      </c>
      <c r="AE139" s="20">
        <f t="shared" si="23"/>
        <v>40.57</v>
      </c>
      <c r="AF139" s="20">
        <f t="shared" si="24"/>
        <v>41.55</v>
      </c>
      <c r="AG139" s="20">
        <f>Table9[[#This Row],[RTH(min) (kΩ)]]*RT2_TH_MIN/(RT2_TH_MIN+Table9[[#This Row],[RTH(min) (kΩ)]])</f>
        <v>17.221618752284918</v>
      </c>
      <c r="AH139" s="20">
        <f>Table9[[#This Row],[RTH(nom) (kΩ)]]*RT2_TH_S/(RT2_TH_S+Table9[[#This Row],[RTH(nom) (kΩ)]])</f>
        <v>17.412512257265817</v>
      </c>
      <c r="AI139" s="20">
        <f>Table9[[#This Row],[RTH(max) (kΩ)]]*RT2_TH_S_MAX/(RT2_TH_S_MAX+Table9[[#This Row],[RTH(max) (kΩ)]])</f>
        <v>17.600721794862359</v>
      </c>
      <c r="AJ139" s="20">
        <f>Table9[[#This Row],[RLower(min) (kΩ)]]/(Table9[[#This Row],[RLower(min) (kΩ)]]+RT1_TH_S_MAX)*100</f>
        <v>76.677378539292945</v>
      </c>
      <c r="AK139" s="20">
        <f>Table9[[#This Row],[RLower(nom) (kΩ)]]/(Table9[[#This Row],[RLower(nom) (kΩ)]]+RT1_TH_S)*100</f>
        <v>76.891698747257919</v>
      </c>
      <c r="AL139" s="20">
        <f>Table9[[#This Row],[RLower(max) (kΩ)]]/(Table9[[#This Row],[RLower(max) (kΩ)]]+RT1_TH_S_MIN)*100</f>
        <v>77.099841220279544</v>
      </c>
      <c r="AM139" s="20">
        <f>IF(Table9[[#This Row],[Vmin (%)]]&lt;$BA$14, 0, IF(Table9[[#This Row],[Vmin (%)]]&lt;$BA$12, 4, IF(Table9[[#This Row],[Vmin (%)]]&lt;$BA$9, 3, IF(Table9[[#This Row],[Vmin (%)]]&lt;$BA$7, 2, 0))))</f>
        <v>2</v>
      </c>
      <c r="AN139" s="20">
        <f>IF(Table9[[#This Row],[Vmin (%)]]&lt;$BA$13, 0, IF(Table9[[#This Row],[Vmin (%)]]&lt;$BA$11, 4, IF(Table9[[#This Row],[Vmin (%)]]&lt;$BA$10, 3, IF(Table9[[#This Row],[Vmin (%)]]&lt;$BA$8, 2, 0))))</f>
        <v>0</v>
      </c>
      <c r="AO139" s="76" t="str">
        <f>IF(Table9[[#This Row],[Vmin (%)]]&lt;$BA$14, "Hot", IF(Table9[[#This Row],[Vmin (%)]]&lt;$BA$12, "Warm", IF(Table9[[#This Row],[Vmin (%)]]&lt;$BA$9, "Normal", IF(Table9[[#This Row],[Vmin (%)]]&lt;$BA$7, "Cool", "Cold"))))</f>
        <v>Cool</v>
      </c>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c r="BP139" s="19"/>
      <c r="BQ139" s="19"/>
      <c r="BR139" s="19"/>
      <c r="BS139" s="19"/>
      <c r="BT139" s="19"/>
      <c r="BU139" s="19"/>
      <c r="BV139" s="19"/>
      <c r="BW139" s="19"/>
      <c r="BX139" s="19"/>
      <c r="BY139" s="19"/>
      <c r="BZ139" s="19"/>
      <c r="CA139" s="19"/>
      <c r="CB139" s="19"/>
      <c r="CC139" s="19"/>
      <c r="CD139" s="19"/>
      <c r="CE139" s="19"/>
      <c r="CF139" s="19"/>
      <c r="CG139" s="19"/>
      <c r="CH139" s="19"/>
      <c r="CI139" s="19"/>
      <c r="CJ139" s="19"/>
      <c r="CK139" s="19"/>
      <c r="CL139" s="19"/>
      <c r="CM139" s="19"/>
      <c r="CN139" s="19"/>
      <c r="CO139" s="19"/>
      <c r="CP139" s="19"/>
      <c r="CQ139" s="19"/>
      <c r="CR139" s="19"/>
      <c r="CS139" s="19"/>
      <c r="CT139" s="19"/>
      <c r="CU139" s="19"/>
      <c r="CV139" s="19"/>
      <c r="CW139" s="19"/>
      <c r="CX139" s="19"/>
      <c r="CY139" s="19"/>
      <c r="CZ139" s="19"/>
      <c r="DA139" s="19"/>
      <c r="DB139" s="19"/>
      <c r="DC139" s="19"/>
      <c r="DD139" s="19"/>
      <c r="DE139" s="19"/>
      <c r="DF139" s="19"/>
      <c r="DG139" s="19"/>
      <c r="DH139" s="19"/>
      <c r="DI139" s="19"/>
      <c r="DJ139" s="19"/>
      <c r="DK139" s="19"/>
      <c r="DL139" s="19"/>
      <c r="DM139" s="19"/>
      <c r="DN139" s="19"/>
      <c r="DO139" s="19"/>
      <c r="DP139" s="19"/>
      <c r="DQ139" s="19"/>
      <c r="DR139" s="19"/>
      <c r="DS139" s="19"/>
      <c r="DT139" s="19"/>
      <c r="DU139" s="19"/>
      <c r="DV139" s="19"/>
      <c r="DW139" s="19"/>
      <c r="DX139" s="19"/>
      <c r="DY139" s="19"/>
      <c r="DZ139" s="19"/>
      <c r="EA139" s="19"/>
      <c r="EB139" s="19"/>
      <c r="EC139" s="19"/>
      <c r="ED139" s="19"/>
      <c r="EE139" s="19"/>
      <c r="EF139" s="19"/>
      <c r="EG139" s="19"/>
      <c r="EH139" s="19"/>
      <c r="EI139" s="19"/>
      <c r="EJ139" s="19"/>
      <c r="EK139" s="19"/>
      <c r="EL139" s="19"/>
      <c r="EM139" s="19"/>
      <c r="EN139" s="19"/>
      <c r="EO139" s="19"/>
      <c r="EP139" s="19"/>
      <c r="EQ139" s="19"/>
      <c r="ER139" s="19"/>
      <c r="ES139" s="19"/>
      <c r="ET139" s="19"/>
      <c r="EU139" s="19"/>
      <c r="EV139" s="19"/>
      <c r="EW139" s="19"/>
      <c r="EX139" s="19"/>
      <c r="EY139" s="19"/>
      <c r="EZ139" s="19"/>
      <c r="FA139" s="19"/>
      <c r="FB139" s="19"/>
      <c r="FC139" s="19"/>
      <c r="FD139" s="19"/>
      <c r="FE139" s="19"/>
      <c r="FF139" s="19"/>
      <c r="FG139" s="19"/>
      <c r="FH139" s="19"/>
      <c r="FI139" s="19"/>
      <c r="FJ139" s="19"/>
      <c r="FK139" s="19"/>
      <c r="FL139" s="19"/>
      <c r="FM139" s="19"/>
      <c r="FN139" s="19"/>
      <c r="FO139" s="19"/>
      <c r="FP139" s="19"/>
      <c r="FQ139" s="19"/>
      <c r="FR139" s="19"/>
      <c r="FS139" s="19"/>
      <c r="FT139" s="19"/>
      <c r="FU139" s="19"/>
      <c r="FV139" s="19"/>
      <c r="FW139" s="19"/>
      <c r="FX139" s="19"/>
      <c r="FY139" s="19"/>
      <c r="FZ139" s="19"/>
      <c r="GA139" s="19"/>
      <c r="GB139" s="19"/>
      <c r="GC139" s="19"/>
      <c r="GD139" s="19"/>
      <c r="GE139" s="19"/>
      <c r="GF139" s="19"/>
      <c r="GG139" s="19"/>
      <c r="GH139" s="19"/>
      <c r="GI139" s="19"/>
      <c r="GJ139" s="19"/>
      <c r="GK139" s="19"/>
      <c r="GL139" s="19"/>
      <c r="GM139" s="19"/>
      <c r="GN139" s="19"/>
      <c r="GO139" s="19"/>
      <c r="GP139" s="19"/>
      <c r="GQ139" s="19"/>
      <c r="GR139" s="19"/>
      <c r="GS139" s="19"/>
      <c r="GT139" s="19"/>
      <c r="GU139" s="19"/>
      <c r="GV139" s="19"/>
      <c r="GW139" s="19"/>
      <c r="GX139" s="19"/>
      <c r="GY139" s="19"/>
      <c r="GZ139" s="19"/>
      <c r="HA139" s="19"/>
      <c r="HB139" s="19"/>
    </row>
    <row r="140" spans="1:210" x14ac:dyDescent="0.25">
      <c r="A140" s="113">
        <f t="shared" si="17"/>
        <v>-10</v>
      </c>
      <c r="B140" s="163"/>
      <c r="C140" s="172" t="str">
        <f t="shared" si="20"/>
        <v>RTH at -10 °C</v>
      </c>
      <c r="D140" s="196">
        <f t="shared" si="19"/>
        <v>2.5166666666666666</v>
      </c>
      <c r="E140" s="197">
        <v>41.43</v>
      </c>
      <c r="F140" s="198">
        <v>42.47</v>
      </c>
      <c r="G140" s="199">
        <v>43.52</v>
      </c>
      <c r="H140" s="128" t="s">
        <v>18</v>
      </c>
      <c r="I140" s="29"/>
      <c r="J140" s="29">
        <v>43.52</v>
      </c>
      <c r="K140" s="29">
        <v>42.47</v>
      </c>
      <c r="L140" s="29">
        <v>41.43</v>
      </c>
      <c r="M140" s="29"/>
      <c r="N140" s="29"/>
      <c r="O140" s="29"/>
      <c r="P140" s="29"/>
      <c r="Q140" s="29"/>
      <c r="R140" s="29"/>
      <c r="S140" s="29"/>
      <c r="T140" s="29"/>
      <c r="U140" s="29"/>
      <c r="V140" s="29"/>
      <c r="W140" s="29"/>
      <c r="X140" s="29"/>
      <c r="Y140" s="30"/>
      <c r="Z140" s="18"/>
      <c r="AA140" s="19"/>
      <c r="AB140" s="19"/>
      <c r="AC140" s="20">
        <f t="shared" si="21"/>
        <v>-10</v>
      </c>
      <c r="AD140" s="20">
        <f t="shared" si="22"/>
        <v>41.43</v>
      </c>
      <c r="AE140" s="20">
        <f t="shared" si="23"/>
        <v>42.47</v>
      </c>
      <c r="AF140" s="20">
        <f t="shared" si="24"/>
        <v>43.52</v>
      </c>
      <c r="AG140" s="20">
        <f>Table9[[#This Row],[RTH(min) (kΩ)]]*RT2_TH_MIN/(RT2_TH_MIN+Table9[[#This Row],[RTH(min) (kΩ)]])</f>
        <v>17.558915877253497</v>
      </c>
      <c r="AH140" s="20">
        <f>Table9[[#This Row],[RTH(nom) (kΩ)]]*RT2_TH_S/(RT2_TH_S+Table9[[#This Row],[RTH(nom) (kΩ)]])</f>
        <v>17.753398335405329</v>
      </c>
      <c r="AI140" s="20">
        <f>Table9[[#This Row],[RTH(max) (kΩ)]]*RT2_TH_S_MAX/(RT2_TH_S_MAX+Table9[[#This Row],[RTH(max) (kΩ)]])</f>
        <v>17.944814740247175</v>
      </c>
      <c r="AJ140" s="20">
        <f>Table9[[#This Row],[RLower(min) (kΩ)]]/(Table9[[#This Row],[RLower(min) (kΩ)]]+RT1_TH_S_MAX)*100</f>
        <v>77.022450472008032</v>
      </c>
      <c r="AK140" s="20">
        <f>Table9[[#This Row],[RLower(nom) (kΩ)]]/(Table9[[#This Row],[RLower(nom) (kΩ)]]+RT1_TH_S)*100</f>
        <v>77.234392765933919</v>
      </c>
      <c r="AL140" s="20">
        <f>Table9[[#This Row],[RLower(max) (kΩ)]]/(Table9[[#This Row],[RLower(max) (kΩ)]]+RT1_TH_S_MIN)*100</f>
        <v>77.439889048360072</v>
      </c>
      <c r="AM140" s="20">
        <f>IF(Table9[[#This Row],[Vmin (%)]]&lt;$BA$14, 0, IF(Table9[[#This Row],[Vmin (%)]]&lt;$BA$12, 4, IF(Table9[[#This Row],[Vmin (%)]]&lt;$BA$9, 3, IF(Table9[[#This Row],[Vmin (%)]]&lt;$BA$7, 2, 0))))</f>
        <v>2</v>
      </c>
      <c r="AN140" s="20">
        <f>IF(Table9[[#This Row],[Vmin (%)]]&lt;$BA$13, 0, IF(Table9[[#This Row],[Vmin (%)]]&lt;$BA$11, 4, IF(Table9[[#This Row],[Vmin (%)]]&lt;$BA$10, 3, IF(Table9[[#This Row],[Vmin (%)]]&lt;$BA$8, 2, 0))))</f>
        <v>0</v>
      </c>
      <c r="AO140" s="76" t="str">
        <f>IF(Table9[[#This Row],[Vmin (%)]]&lt;$BA$14, "Hot", IF(Table9[[#This Row],[Vmin (%)]]&lt;$BA$12, "Warm", IF(Table9[[#This Row],[Vmin (%)]]&lt;$BA$9, "Normal", IF(Table9[[#This Row],[Vmin (%)]]&lt;$BA$7, "Cool", "Cold"))))</f>
        <v>Cool</v>
      </c>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c r="BP140" s="19"/>
      <c r="BQ140" s="19"/>
      <c r="BR140" s="19"/>
      <c r="BS140" s="19"/>
      <c r="BT140" s="19"/>
      <c r="BU140" s="19"/>
      <c r="BV140" s="19"/>
      <c r="BW140" s="19"/>
      <c r="BX140" s="19"/>
      <c r="BY140" s="19"/>
      <c r="BZ140" s="19"/>
      <c r="CA140" s="19"/>
      <c r="CB140" s="19"/>
      <c r="CC140" s="19"/>
      <c r="CD140" s="19"/>
      <c r="CE140" s="19"/>
      <c r="CF140" s="19"/>
      <c r="CG140" s="19"/>
      <c r="CH140" s="19"/>
      <c r="CI140" s="19"/>
      <c r="CJ140" s="19"/>
      <c r="CK140" s="19"/>
      <c r="CL140" s="19"/>
      <c r="CM140" s="19"/>
      <c r="CN140" s="19"/>
      <c r="CO140" s="19"/>
      <c r="CP140" s="19"/>
      <c r="CQ140" s="19"/>
      <c r="CR140" s="19"/>
      <c r="CS140" s="19"/>
      <c r="CT140" s="19"/>
      <c r="CU140" s="19"/>
      <c r="CV140" s="19"/>
      <c r="CW140" s="19"/>
      <c r="CX140" s="19"/>
      <c r="CY140" s="19"/>
      <c r="CZ140" s="19"/>
      <c r="DA140" s="19"/>
      <c r="DB140" s="19"/>
      <c r="DC140" s="19"/>
      <c r="DD140" s="19"/>
      <c r="DE140" s="19"/>
      <c r="DF140" s="19"/>
      <c r="DG140" s="19"/>
      <c r="DH140" s="19"/>
      <c r="DI140" s="19"/>
      <c r="DJ140" s="19"/>
      <c r="DK140" s="19"/>
      <c r="DL140" s="19"/>
      <c r="DM140" s="19"/>
      <c r="DN140" s="19"/>
      <c r="DO140" s="19"/>
      <c r="DP140" s="19"/>
      <c r="DQ140" s="19"/>
      <c r="DR140" s="19"/>
      <c r="DS140" s="19"/>
      <c r="DT140" s="19"/>
      <c r="DU140" s="19"/>
      <c r="DV140" s="19"/>
      <c r="DW140" s="19"/>
      <c r="DX140" s="19"/>
      <c r="DY140" s="19"/>
      <c r="DZ140" s="19"/>
      <c r="EA140" s="19"/>
      <c r="EB140" s="19"/>
      <c r="EC140" s="19"/>
      <c r="ED140" s="19"/>
      <c r="EE140" s="19"/>
      <c r="EF140" s="19"/>
      <c r="EG140" s="19"/>
      <c r="EH140" s="19"/>
      <c r="EI140" s="19"/>
      <c r="EJ140" s="19"/>
      <c r="EK140" s="19"/>
      <c r="EL140" s="19"/>
      <c r="EM140" s="19"/>
      <c r="EN140" s="19"/>
      <c r="EO140" s="19"/>
      <c r="EP140" s="19"/>
      <c r="EQ140" s="19"/>
      <c r="ER140" s="19"/>
      <c r="ES140" s="19"/>
      <c r="ET140" s="19"/>
      <c r="EU140" s="19"/>
      <c r="EV140" s="19"/>
      <c r="EW140" s="19"/>
      <c r="EX140" s="19"/>
      <c r="EY140" s="19"/>
      <c r="EZ140" s="19"/>
      <c r="FA140" s="19"/>
      <c r="FB140" s="19"/>
      <c r="FC140" s="19"/>
      <c r="FD140" s="19"/>
      <c r="FE140" s="19"/>
      <c r="FF140" s="19"/>
      <c r="FG140" s="19"/>
      <c r="FH140" s="19"/>
      <c r="FI140" s="19"/>
      <c r="FJ140" s="19"/>
      <c r="FK140" s="19"/>
      <c r="FL140" s="19"/>
      <c r="FM140" s="19"/>
      <c r="FN140" s="19"/>
      <c r="FO140" s="19"/>
      <c r="FP140" s="19"/>
      <c r="FQ140" s="19"/>
      <c r="FR140" s="19"/>
      <c r="FS140" s="19"/>
      <c r="FT140" s="19"/>
      <c r="FU140" s="19"/>
      <c r="FV140" s="19"/>
      <c r="FW140" s="19"/>
      <c r="FX140" s="19"/>
      <c r="FY140" s="19"/>
      <c r="FZ140" s="19"/>
      <c r="GA140" s="19"/>
      <c r="GB140" s="19"/>
      <c r="GC140" s="19"/>
      <c r="GD140" s="19"/>
      <c r="GE140" s="19"/>
      <c r="GF140" s="19"/>
      <c r="GG140" s="19"/>
      <c r="GH140" s="19"/>
      <c r="GI140" s="19"/>
      <c r="GJ140" s="19"/>
      <c r="GK140" s="19"/>
      <c r="GL140" s="19"/>
      <c r="GM140" s="19"/>
      <c r="GN140" s="19"/>
      <c r="GO140" s="19"/>
      <c r="GP140" s="19"/>
      <c r="GQ140" s="19"/>
      <c r="GR140" s="19"/>
      <c r="GS140" s="19"/>
      <c r="GT140" s="19"/>
      <c r="GU140" s="19"/>
      <c r="GV140" s="19"/>
      <c r="GW140" s="19"/>
      <c r="GX140" s="19"/>
      <c r="GY140" s="19"/>
      <c r="GZ140" s="19"/>
      <c r="HA140" s="19"/>
      <c r="HB140" s="19"/>
    </row>
    <row r="141" spans="1:210" x14ac:dyDescent="0.25">
      <c r="A141" s="113">
        <f t="shared" si="17"/>
        <v>-11</v>
      </c>
      <c r="B141" s="163"/>
      <c r="C141" s="172" t="str">
        <f t="shared" si="20"/>
        <v>RTH at -11 °C</v>
      </c>
      <c r="D141" s="196">
        <f t="shared" si="19"/>
        <v>2.56</v>
      </c>
      <c r="E141" s="197">
        <v>43.33</v>
      </c>
      <c r="F141" s="198">
        <v>44.43</v>
      </c>
      <c r="G141" s="199">
        <v>45.55</v>
      </c>
      <c r="H141" s="128" t="s">
        <v>18</v>
      </c>
      <c r="I141" s="29"/>
      <c r="J141" s="29">
        <v>45.55</v>
      </c>
      <c r="K141" s="29">
        <v>44.43</v>
      </c>
      <c r="L141" s="29">
        <v>43.33</v>
      </c>
      <c r="M141" s="29"/>
      <c r="N141" s="29"/>
      <c r="O141" s="29"/>
      <c r="P141" s="29"/>
      <c r="Q141" s="29"/>
      <c r="R141" s="29"/>
      <c r="S141" s="29"/>
      <c r="T141" s="29"/>
      <c r="U141" s="29"/>
      <c r="V141" s="29"/>
      <c r="W141" s="29"/>
      <c r="X141" s="29"/>
      <c r="Y141" s="30"/>
      <c r="Z141" s="18"/>
      <c r="AA141" s="19"/>
      <c r="AB141" s="19"/>
      <c r="AC141" s="20">
        <f t="shared" si="21"/>
        <v>-11</v>
      </c>
      <c r="AD141" s="20">
        <f t="shared" si="22"/>
        <v>43.33</v>
      </c>
      <c r="AE141" s="20">
        <f t="shared" si="23"/>
        <v>44.43</v>
      </c>
      <c r="AF141" s="20">
        <f t="shared" si="24"/>
        <v>45.55</v>
      </c>
      <c r="AG141" s="20">
        <f>Table9[[#This Row],[RTH(min) (kΩ)]]*RT2_TH_MIN/(RT2_TH_MIN+Table9[[#This Row],[RTH(min) (kΩ)]])</f>
        <v>17.891416452940838</v>
      </c>
      <c r="AH141" s="20">
        <f>Table9[[#This Row],[RTH(nom) (kΩ)]]*RT2_TH_S/(RT2_TH_S+Table9[[#This Row],[RTH(nom) (kΩ)]])</f>
        <v>18.086935305946298</v>
      </c>
      <c r="AI141" s="20">
        <f>Table9[[#This Row],[RTH(max) (kΩ)]]*RT2_TH_S_MAX/(RT2_TH_S_MAX+Table9[[#This Row],[RTH(max) (kΩ)]])</f>
        <v>18.280746980951893</v>
      </c>
      <c r="AJ141" s="20">
        <f>Table9[[#This Row],[RLower(min) (kΩ)]]/(Table9[[#This Row],[RLower(min) (kΩ)]]+RT1_TH_S_MAX)*100</f>
        <v>77.352764659810276</v>
      </c>
      <c r="AK141" s="20">
        <f>Table9[[#This Row],[RLower(nom) (kΩ)]]/(Table9[[#This Row],[RLower(nom) (kΩ)]]+RT1_TH_S)*100</f>
        <v>77.560001497366116</v>
      </c>
      <c r="AL141" s="20">
        <f>Table9[[#This Row],[RLower(max) (kΩ)]]/(Table9[[#This Row],[RLower(max) (kΩ)]]+RT1_TH_S_MIN)*100</f>
        <v>77.762268909541717</v>
      </c>
      <c r="AM141" s="20">
        <f>IF(Table9[[#This Row],[Vmin (%)]]&lt;$BA$14, 0, IF(Table9[[#This Row],[Vmin (%)]]&lt;$BA$12, 4, IF(Table9[[#This Row],[Vmin (%)]]&lt;$BA$9, 3, IF(Table9[[#This Row],[Vmin (%)]]&lt;$BA$7, 2, 0))))</f>
        <v>0</v>
      </c>
      <c r="AN141" s="20">
        <f>IF(Table9[[#This Row],[Vmin (%)]]&lt;$BA$13, 0, IF(Table9[[#This Row],[Vmin (%)]]&lt;$BA$11, 4, IF(Table9[[#This Row],[Vmin (%)]]&lt;$BA$10, 3, IF(Table9[[#This Row],[Vmin (%)]]&lt;$BA$8, 2, 0))))</f>
        <v>0</v>
      </c>
      <c r="AO141" s="76" t="str">
        <f>IF(Table9[[#This Row],[Vmin (%)]]&lt;$BA$14, "Hot", IF(Table9[[#This Row],[Vmin (%)]]&lt;$BA$12, "Warm", IF(Table9[[#This Row],[Vmin (%)]]&lt;$BA$9, "Normal", IF(Table9[[#This Row],[Vmin (%)]]&lt;$BA$7, "Cool", "Cold"))))</f>
        <v>Cold</v>
      </c>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c r="BP141" s="19"/>
      <c r="BQ141" s="19"/>
      <c r="BR141" s="19"/>
      <c r="BS141" s="19"/>
      <c r="BT141" s="19"/>
      <c r="BU141" s="19"/>
      <c r="BV141" s="19"/>
      <c r="BW141" s="19"/>
      <c r="BX141" s="19"/>
      <c r="BY141" s="19"/>
      <c r="BZ141" s="19"/>
      <c r="CA141" s="19"/>
      <c r="CB141" s="19"/>
      <c r="CC141" s="19"/>
      <c r="CD141" s="19"/>
      <c r="CE141" s="19"/>
      <c r="CF141" s="19"/>
      <c r="CG141" s="19"/>
      <c r="CH141" s="19"/>
      <c r="CI141" s="19"/>
      <c r="CJ141" s="19"/>
      <c r="CK141" s="19"/>
      <c r="CL141" s="19"/>
      <c r="CM141" s="19"/>
      <c r="CN141" s="19"/>
      <c r="CO141" s="19"/>
      <c r="CP141" s="19"/>
      <c r="CQ141" s="19"/>
      <c r="CR141" s="19"/>
      <c r="CS141" s="19"/>
      <c r="CT141" s="19"/>
      <c r="CU141" s="19"/>
      <c r="CV141" s="19"/>
      <c r="CW141" s="19"/>
      <c r="CX141" s="19"/>
      <c r="CY141" s="19"/>
      <c r="CZ141" s="19"/>
      <c r="DA141" s="19"/>
      <c r="DB141" s="19"/>
      <c r="DC141" s="19"/>
      <c r="DD141" s="19"/>
      <c r="DE141" s="19"/>
      <c r="DF141" s="19"/>
      <c r="DG141" s="19"/>
      <c r="DH141" s="19"/>
      <c r="DI141" s="19"/>
      <c r="DJ141" s="19"/>
      <c r="DK141" s="19"/>
      <c r="DL141" s="19"/>
      <c r="DM141" s="19"/>
      <c r="DN141" s="19"/>
      <c r="DO141" s="19"/>
      <c r="DP141" s="19"/>
      <c r="DQ141" s="19"/>
      <c r="DR141" s="19"/>
      <c r="DS141" s="19"/>
      <c r="DT141" s="19"/>
      <c r="DU141" s="19"/>
      <c r="DV141" s="19"/>
      <c r="DW141" s="19"/>
      <c r="DX141" s="19"/>
      <c r="DY141" s="19"/>
      <c r="DZ141" s="19"/>
      <c r="EA141" s="19"/>
      <c r="EB141" s="19"/>
      <c r="EC141" s="19"/>
      <c r="ED141" s="19"/>
      <c r="EE141" s="19"/>
      <c r="EF141" s="19"/>
      <c r="EG141" s="19"/>
      <c r="EH141" s="19"/>
      <c r="EI141" s="19"/>
      <c r="EJ141" s="19"/>
      <c r="EK141" s="19"/>
      <c r="EL141" s="19"/>
      <c r="EM141" s="19"/>
      <c r="EN141" s="19"/>
      <c r="EO141" s="19"/>
      <c r="EP141" s="19"/>
      <c r="EQ141" s="19"/>
      <c r="ER141" s="19"/>
      <c r="ES141" s="19"/>
      <c r="ET141" s="19"/>
      <c r="EU141" s="19"/>
      <c r="EV141" s="19"/>
      <c r="EW141" s="19"/>
      <c r="EX141" s="19"/>
      <c r="EY141" s="19"/>
      <c r="EZ141" s="19"/>
      <c r="FA141" s="19"/>
      <c r="FB141" s="19"/>
      <c r="FC141" s="19"/>
      <c r="FD141" s="19"/>
      <c r="FE141" s="19"/>
      <c r="FF141" s="19"/>
      <c r="FG141" s="19"/>
      <c r="FH141" s="19"/>
      <c r="FI141" s="19"/>
      <c r="FJ141" s="19"/>
      <c r="FK141" s="19"/>
      <c r="FL141" s="19"/>
      <c r="FM141" s="19"/>
      <c r="FN141" s="19"/>
      <c r="FO141" s="19"/>
      <c r="FP141" s="19"/>
      <c r="FQ141" s="19"/>
      <c r="FR141" s="19"/>
      <c r="FS141" s="19"/>
      <c r="FT141" s="19"/>
      <c r="FU141" s="19"/>
      <c r="FV141" s="19"/>
      <c r="FW141" s="19"/>
      <c r="FX141" s="19"/>
      <c r="FY141" s="19"/>
      <c r="FZ141" s="19"/>
      <c r="GA141" s="19"/>
      <c r="GB141" s="19"/>
      <c r="GC141" s="19"/>
      <c r="GD141" s="19"/>
      <c r="GE141" s="19"/>
      <c r="GF141" s="19"/>
      <c r="GG141" s="19"/>
      <c r="GH141" s="19"/>
      <c r="GI141" s="19"/>
      <c r="GJ141" s="19"/>
      <c r="GK141" s="19"/>
      <c r="GL141" s="19"/>
      <c r="GM141" s="19"/>
      <c r="GN141" s="19"/>
      <c r="GO141" s="19"/>
      <c r="GP141" s="19"/>
      <c r="GQ141" s="19"/>
      <c r="GR141" s="19"/>
      <c r="GS141" s="19"/>
      <c r="GT141" s="19"/>
      <c r="GU141" s="19"/>
      <c r="GV141" s="19"/>
      <c r="GW141" s="19"/>
      <c r="GX141" s="19"/>
      <c r="GY141" s="19"/>
      <c r="GZ141" s="19"/>
      <c r="HA141" s="19"/>
      <c r="HB141" s="19"/>
    </row>
    <row r="142" spans="1:210" x14ac:dyDescent="0.25">
      <c r="A142" s="113">
        <f t="shared" si="17"/>
        <v>-12</v>
      </c>
      <c r="B142" s="163"/>
      <c r="C142" s="172" t="str">
        <f t="shared" si="20"/>
        <v>RTH at -12 °C</v>
      </c>
      <c r="D142" s="196">
        <f t="shared" si="19"/>
        <v>2.6033333333333335</v>
      </c>
      <c r="E142" s="197">
        <v>45.32</v>
      </c>
      <c r="F142" s="198">
        <v>46.5</v>
      </c>
      <c r="G142" s="199">
        <v>47.69</v>
      </c>
      <c r="H142" s="128" t="s">
        <v>18</v>
      </c>
      <c r="I142" s="29"/>
      <c r="J142" s="29">
        <v>47.69</v>
      </c>
      <c r="K142" s="29">
        <v>46.5</v>
      </c>
      <c r="L142" s="29">
        <v>45.32</v>
      </c>
      <c r="M142" s="29"/>
      <c r="N142" s="29"/>
      <c r="O142" s="29"/>
      <c r="P142" s="29"/>
      <c r="Q142" s="29"/>
      <c r="R142" s="29"/>
      <c r="S142" s="29"/>
      <c r="T142" s="29"/>
      <c r="U142" s="29"/>
      <c r="V142" s="29"/>
      <c r="W142" s="29"/>
      <c r="X142" s="29"/>
      <c r="Y142" s="30"/>
      <c r="Z142" s="18"/>
      <c r="AA142" s="19"/>
      <c r="AB142" s="19"/>
      <c r="AC142" s="20">
        <f t="shared" si="21"/>
        <v>-12</v>
      </c>
      <c r="AD142" s="20">
        <f t="shared" si="22"/>
        <v>45.32</v>
      </c>
      <c r="AE142" s="20">
        <f t="shared" si="23"/>
        <v>46.5</v>
      </c>
      <c r="AF142" s="20">
        <f t="shared" si="24"/>
        <v>47.69</v>
      </c>
      <c r="AG142" s="20">
        <f>Table9[[#This Row],[RTH(min) (kΩ)]]*RT2_TH_MIN/(RT2_TH_MIN+Table9[[#This Row],[RTH(min) (kΩ)]])</f>
        <v>18.221793859887708</v>
      </c>
      <c r="AH142" s="20">
        <f>Table9[[#This Row],[RTH(nom) (kΩ)]]*RT2_TH_S/(RT2_TH_S+Table9[[#This Row],[RTH(nom) (kΩ)]])</f>
        <v>18.420756202533262</v>
      </c>
      <c r="AI142" s="20">
        <f>Table9[[#This Row],[RTH(max) (kΩ)]]*RT2_TH_S_MAX/(RT2_TH_S_MAX+Table9[[#This Row],[RTH(max) (kΩ)]])</f>
        <v>18.616004465216356</v>
      </c>
      <c r="AJ142" s="20">
        <f>Table9[[#This Row],[RLower(min) (kΩ)]]/(Table9[[#This Row],[RLower(min) (kΩ)]]+RT1_TH_S_MAX)*100</f>
        <v>77.671695995962409</v>
      </c>
      <c r="AK142" s="20">
        <f>Table9[[#This Row],[RLower(nom) (kΩ)]]/(Table9[[#This Row],[RLower(nom) (kΩ)]]+RT1_TH_S)*100</f>
        <v>77.876692984297293</v>
      </c>
      <c r="AL142" s="20">
        <f>Table9[[#This Row],[RLower(max) (kΩ)]]/(Table9[[#This Row],[RLower(max) (kΩ)]]+RT1_TH_S_MIN)*100</f>
        <v>78.074944635251498</v>
      </c>
      <c r="AM142" s="20">
        <f>IF(Table9[[#This Row],[Vmin (%)]]&lt;$BA$14, 0, IF(Table9[[#This Row],[Vmin (%)]]&lt;$BA$12, 4, IF(Table9[[#This Row],[Vmin (%)]]&lt;$BA$9, 3, IF(Table9[[#This Row],[Vmin (%)]]&lt;$BA$7, 2, 0))))</f>
        <v>0</v>
      </c>
      <c r="AN142" s="20">
        <f>IF(Table9[[#This Row],[Vmin (%)]]&lt;$BA$13, 0, IF(Table9[[#This Row],[Vmin (%)]]&lt;$BA$11, 4, IF(Table9[[#This Row],[Vmin (%)]]&lt;$BA$10, 3, IF(Table9[[#This Row],[Vmin (%)]]&lt;$BA$8, 2, 0))))</f>
        <v>0</v>
      </c>
      <c r="AO142" s="76" t="str">
        <f>IF(Table9[[#This Row],[Vmin (%)]]&lt;$BA$14, "Hot", IF(Table9[[#This Row],[Vmin (%)]]&lt;$BA$12, "Warm", IF(Table9[[#This Row],[Vmin (%)]]&lt;$BA$9, "Normal", IF(Table9[[#This Row],[Vmin (%)]]&lt;$BA$7, "Cool", "Cold"))))</f>
        <v>Cold</v>
      </c>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c r="BP142" s="19"/>
      <c r="BQ142" s="19"/>
      <c r="BR142" s="19"/>
      <c r="BS142" s="19"/>
      <c r="BT142" s="19"/>
      <c r="BU142" s="19"/>
      <c r="BV142" s="19"/>
      <c r="BW142" s="19"/>
      <c r="BX142" s="19"/>
      <c r="BY142" s="19"/>
      <c r="BZ142" s="19"/>
      <c r="CA142" s="19"/>
      <c r="CB142" s="19"/>
      <c r="CC142" s="19"/>
      <c r="CD142" s="19"/>
      <c r="CE142" s="19"/>
      <c r="CF142" s="19"/>
      <c r="CG142" s="19"/>
      <c r="CH142" s="19"/>
      <c r="CI142" s="19"/>
      <c r="CJ142" s="19"/>
      <c r="CK142" s="19"/>
      <c r="CL142" s="19"/>
      <c r="CM142" s="19"/>
      <c r="CN142" s="19"/>
      <c r="CO142" s="19"/>
      <c r="CP142" s="19"/>
      <c r="CQ142" s="19"/>
      <c r="CR142" s="19"/>
      <c r="CS142" s="19"/>
      <c r="CT142" s="19"/>
      <c r="CU142" s="19"/>
      <c r="CV142" s="19"/>
      <c r="CW142" s="19"/>
      <c r="CX142" s="19"/>
      <c r="CY142" s="19"/>
      <c r="CZ142" s="19"/>
      <c r="DA142" s="19"/>
      <c r="DB142" s="19"/>
      <c r="DC142" s="19"/>
      <c r="DD142" s="19"/>
      <c r="DE142" s="19"/>
      <c r="DF142" s="19"/>
      <c r="DG142" s="19"/>
      <c r="DH142" s="19"/>
      <c r="DI142" s="19"/>
      <c r="DJ142" s="19"/>
      <c r="DK142" s="19"/>
      <c r="DL142" s="19"/>
      <c r="DM142" s="19"/>
      <c r="DN142" s="19"/>
      <c r="DO142" s="19"/>
      <c r="DP142" s="19"/>
      <c r="DQ142" s="19"/>
      <c r="DR142" s="19"/>
      <c r="DS142" s="19"/>
      <c r="DT142" s="19"/>
      <c r="DU142" s="19"/>
      <c r="DV142" s="19"/>
      <c r="DW142" s="19"/>
      <c r="DX142" s="19"/>
      <c r="DY142" s="19"/>
      <c r="DZ142" s="19"/>
      <c r="EA142" s="19"/>
      <c r="EB142" s="19"/>
      <c r="EC142" s="19"/>
      <c r="ED142" s="19"/>
      <c r="EE142" s="19"/>
      <c r="EF142" s="19"/>
      <c r="EG142" s="19"/>
      <c r="EH142" s="19"/>
      <c r="EI142" s="19"/>
      <c r="EJ142" s="19"/>
      <c r="EK142" s="19"/>
      <c r="EL142" s="19"/>
      <c r="EM142" s="19"/>
      <c r="EN142" s="19"/>
      <c r="EO142" s="19"/>
      <c r="EP142" s="19"/>
      <c r="EQ142" s="19"/>
      <c r="ER142" s="19"/>
      <c r="ES142" s="19"/>
      <c r="ET142" s="19"/>
      <c r="EU142" s="19"/>
      <c r="EV142" s="19"/>
      <c r="EW142" s="19"/>
      <c r="EX142" s="19"/>
      <c r="EY142" s="19"/>
      <c r="EZ142" s="19"/>
      <c r="FA142" s="19"/>
      <c r="FB142" s="19"/>
      <c r="FC142" s="19"/>
      <c r="FD142" s="19"/>
      <c r="FE142" s="19"/>
      <c r="FF142" s="19"/>
      <c r="FG142" s="19"/>
      <c r="FH142" s="19"/>
      <c r="FI142" s="19"/>
      <c r="FJ142" s="19"/>
      <c r="FK142" s="19"/>
      <c r="FL142" s="19"/>
      <c r="FM142" s="19"/>
      <c r="FN142" s="19"/>
      <c r="FO142" s="19"/>
      <c r="FP142" s="19"/>
      <c r="FQ142" s="19"/>
      <c r="FR142" s="19"/>
      <c r="FS142" s="19"/>
      <c r="FT142" s="19"/>
      <c r="FU142" s="19"/>
      <c r="FV142" s="19"/>
      <c r="FW142" s="19"/>
      <c r="FX142" s="19"/>
      <c r="FY142" s="19"/>
      <c r="FZ142" s="19"/>
      <c r="GA142" s="19"/>
      <c r="GB142" s="19"/>
      <c r="GC142" s="19"/>
      <c r="GD142" s="19"/>
      <c r="GE142" s="19"/>
      <c r="GF142" s="19"/>
      <c r="GG142" s="19"/>
      <c r="GH142" s="19"/>
      <c r="GI142" s="19"/>
      <c r="GJ142" s="19"/>
      <c r="GK142" s="19"/>
      <c r="GL142" s="19"/>
      <c r="GM142" s="19"/>
      <c r="GN142" s="19"/>
      <c r="GO142" s="19"/>
      <c r="GP142" s="19"/>
      <c r="GQ142" s="19"/>
      <c r="GR142" s="19"/>
      <c r="GS142" s="19"/>
      <c r="GT142" s="19"/>
      <c r="GU142" s="19"/>
      <c r="GV142" s="19"/>
      <c r="GW142" s="19"/>
      <c r="GX142" s="19"/>
      <c r="GY142" s="19"/>
      <c r="GZ142" s="19"/>
      <c r="HA142" s="19"/>
      <c r="HB142" s="19"/>
    </row>
    <row r="143" spans="1:210" x14ac:dyDescent="0.25">
      <c r="A143" s="113">
        <f t="shared" si="17"/>
        <v>-13</v>
      </c>
      <c r="B143" s="163"/>
      <c r="C143" s="172" t="str">
        <f t="shared" si="20"/>
        <v>RTH at -13 °C</v>
      </c>
      <c r="D143" s="196">
        <f t="shared" si="19"/>
        <v>2.6466666666666665</v>
      </c>
      <c r="E143" s="197">
        <v>47.43</v>
      </c>
      <c r="F143" s="198">
        <v>48.68</v>
      </c>
      <c r="G143" s="199">
        <v>49.95</v>
      </c>
      <c r="H143" s="128" t="s">
        <v>18</v>
      </c>
      <c r="I143" s="29"/>
      <c r="J143" s="29">
        <v>49.95</v>
      </c>
      <c r="K143" s="29">
        <v>48.68</v>
      </c>
      <c r="L143" s="29">
        <v>47.43</v>
      </c>
      <c r="M143" s="29"/>
      <c r="N143" s="29"/>
      <c r="O143" s="29"/>
      <c r="P143" s="29"/>
      <c r="Q143" s="29"/>
      <c r="R143" s="29"/>
      <c r="S143" s="29"/>
      <c r="T143" s="29"/>
      <c r="U143" s="29"/>
      <c r="V143" s="29"/>
      <c r="W143" s="29"/>
      <c r="X143" s="29"/>
      <c r="Y143" s="30"/>
      <c r="Z143" s="18"/>
      <c r="AA143" s="19"/>
      <c r="AB143" s="19"/>
      <c r="AC143" s="20">
        <f t="shared" si="21"/>
        <v>-13</v>
      </c>
      <c r="AD143" s="20">
        <f t="shared" si="22"/>
        <v>47.43</v>
      </c>
      <c r="AE143" s="20">
        <f t="shared" si="23"/>
        <v>48.68</v>
      </c>
      <c r="AF143" s="20">
        <f t="shared" si="24"/>
        <v>49.95</v>
      </c>
      <c r="AG143" s="20">
        <f>Table9[[#This Row],[RTH(min) (kΩ)]]*RT2_TH_MIN/(RT2_TH_MIN+Table9[[#This Row],[RTH(min) (kΩ)]])</f>
        <v>18.553657827898764</v>
      </c>
      <c r="AH143" s="20">
        <f>Table9[[#This Row],[RTH(nom) (kΩ)]]*RT2_TH_S/(RT2_TH_S+Table9[[#This Row],[RTH(nom) (kΩ)]])</f>
        <v>18.753447579660055</v>
      </c>
      <c r="AI143" s="20">
        <f>Table9[[#This Row],[RTH(max) (kΩ)]]*RT2_TH_S_MAX/(RT2_TH_S_MAX+Table9[[#This Row],[RTH(max) (kΩ)]])</f>
        <v>18.950705834320164</v>
      </c>
      <c r="AJ143" s="20">
        <f>Table9[[#This Row],[RLower(min) (kΩ)]]/(Table9[[#This Row],[RLower(min) (kΩ)]]+RT1_TH_S_MAX)*100</f>
        <v>77.983145068228737</v>
      </c>
      <c r="AK143" s="20">
        <f>Table9[[#This Row],[RLower(nom) (kΩ)]]/(Table9[[#This Row],[RLower(nom) (kΩ)]]+RT1_TH_S)*100</f>
        <v>78.183542765608465</v>
      </c>
      <c r="AL143" s="20">
        <f>Table9[[#This Row],[RLower(max) (kΩ)]]/(Table9[[#This Row],[RLower(max) (kΩ)]]+RT1_TH_S_MIN)*100</f>
        <v>78.378452172012175</v>
      </c>
      <c r="AM143" s="20">
        <f>IF(Table9[[#This Row],[Vmin (%)]]&lt;$BA$14, 0, IF(Table9[[#This Row],[Vmin (%)]]&lt;$BA$12, 4, IF(Table9[[#This Row],[Vmin (%)]]&lt;$BA$9, 3, IF(Table9[[#This Row],[Vmin (%)]]&lt;$BA$7, 2, 0))))</f>
        <v>0</v>
      </c>
      <c r="AN143" s="20">
        <f>IF(Table9[[#This Row],[Vmin (%)]]&lt;$BA$13, 0, IF(Table9[[#This Row],[Vmin (%)]]&lt;$BA$11, 4, IF(Table9[[#This Row],[Vmin (%)]]&lt;$BA$10, 3, IF(Table9[[#This Row],[Vmin (%)]]&lt;$BA$8, 2, 0))))</f>
        <v>0</v>
      </c>
      <c r="AO143" s="76" t="str">
        <f>IF(Table9[[#This Row],[Vmin (%)]]&lt;$BA$14, "Hot", IF(Table9[[#This Row],[Vmin (%)]]&lt;$BA$12, "Warm", IF(Table9[[#This Row],[Vmin (%)]]&lt;$BA$9, "Normal", IF(Table9[[#This Row],[Vmin (%)]]&lt;$BA$7, "Cool", "Cold"))))</f>
        <v>Cold</v>
      </c>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c r="BP143" s="19"/>
      <c r="BQ143" s="19"/>
      <c r="BR143" s="19"/>
      <c r="BS143" s="19"/>
      <c r="BT143" s="19"/>
      <c r="BU143" s="19"/>
      <c r="BV143" s="19"/>
      <c r="BW143" s="19"/>
      <c r="BX143" s="19"/>
      <c r="BY143" s="19"/>
      <c r="BZ143" s="19"/>
      <c r="CA143" s="19"/>
      <c r="CB143" s="19"/>
      <c r="CC143" s="19"/>
      <c r="CD143" s="19"/>
      <c r="CE143" s="19"/>
      <c r="CF143" s="19"/>
      <c r="CG143" s="19"/>
      <c r="CH143" s="19"/>
      <c r="CI143" s="19"/>
      <c r="CJ143" s="19"/>
      <c r="CK143" s="19"/>
      <c r="CL143" s="19"/>
      <c r="CM143" s="19"/>
      <c r="CN143" s="19"/>
      <c r="CO143" s="19"/>
      <c r="CP143" s="19"/>
      <c r="CQ143" s="19"/>
      <c r="CR143" s="19"/>
      <c r="CS143" s="19"/>
      <c r="CT143" s="19"/>
      <c r="CU143" s="19"/>
      <c r="CV143" s="19"/>
      <c r="CW143" s="19"/>
      <c r="CX143" s="19"/>
      <c r="CY143" s="19"/>
      <c r="CZ143" s="19"/>
      <c r="DA143" s="19"/>
      <c r="DB143" s="19"/>
      <c r="DC143" s="19"/>
      <c r="DD143" s="19"/>
      <c r="DE143" s="19"/>
      <c r="DF143" s="19"/>
      <c r="DG143" s="19"/>
      <c r="DH143" s="19"/>
      <c r="DI143" s="19"/>
      <c r="DJ143" s="19"/>
      <c r="DK143" s="19"/>
      <c r="DL143" s="19"/>
      <c r="DM143" s="19"/>
      <c r="DN143" s="19"/>
      <c r="DO143" s="19"/>
      <c r="DP143" s="19"/>
      <c r="DQ143" s="19"/>
      <c r="DR143" s="19"/>
      <c r="DS143" s="19"/>
      <c r="DT143" s="19"/>
      <c r="DU143" s="19"/>
      <c r="DV143" s="19"/>
      <c r="DW143" s="19"/>
      <c r="DX143" s="19"/>
      <c r="DY143" s="19"/>
      <c r="DZ143" s="19"/>
      <c r="EA143" s="19"/>
      <c r="EB143" s="19"/>
      <c r="EC143" s="19"/>
      <c r="ED143" s="19"/>
      <c r="EE143" s="19"/>
      <c r="EF143" s="19"/>
      <c r="EG143" s="19"/>
      <c r="EH143" s="19"/>
      <c r="EI143" s="19"/>
      <c r="EJ143" s="19"/>
      <c r="EK143" s="19"/>
      <c r="EL143" s="19"/>
      <c r="EM143" s="19"/>
      <c r="EN143" s="19"/>
      <c r="EO143" s="19"/>
      <c r="EP143" s="19"/>
      <c r="EQ143" s="19"/>
      <c r="ER143" s="19"/>
      <c r="ES143" s="19"/>
      <c r="ET143" s="19"/>
      <c r="EU143" s="19"/>
      <c r="EV143" s="19"/>
      <c r="EW143" s="19"/>
      <c r="EX143" s="19"/>
      <c r="EY143" s="19"/>
      <c r="EZ143" s="19"/>
      <c r="FA143" s="19"/>
      <c r="FB143" s="19"/>
      <c r="FC143" s="19"/>
      <c r="FD143" s="19"/>
      <c r="FE143" s="19"/>
      <c r="FF143" s="19"/>
      <c r="FG143" s="19"/>
      <c r="FH143" s="19"/>
      <c r="FI143" s="19"/>
      <c r="FJ143" s="19"/>
      <c r="FK143" s="19"/>
      <c r="FL143" s="19"/>
      <c r="FM143" s="19"/>
      <c r="FN143" s="19"/>
      <c r="FO143" s="19"/>
      <c r="FP143" s="19"/>
      <c r="FQ143" s="19"/>
      <c r="FR143" s="19"/>
      <c r="FS143" s="19"/>
      <c r="FT143" s="19"/>
      <c r="FU143" s="19"/>
      <c r="FV143" s="19"/>
      <c r="FW143" s="19"/>
      <c r="FX143" s="19"/>
      <c r="FY143" s="19"/>
      <c r="FZ143" s="19"/>
      <c r="GA143" s="19"/>
      <c r="GB143" s="19"/>
      <c r="GC143" s="19"/>
      <c r="GD143" s="19"/>
      <c r="GE143" s="19"/>
      <c r="GF143" s="19"/>
      <c r="GG143" s="19"/>
      <c r="GH143" s="19"/>
      <c r="GI143" s="19"/>
      <c r="GJ143" s="19"/>
      <c r="GK143" s="19"/>
      <c r="GL143" s="19"/>
      <c r="GM143" s="19"/>
      <c r="GN143" s="19"/>
      <c r="GO143" s="19"/>
      <c r="GP143" s="19"/>
      <c r="GQ143" s="19"/>
      <c r="GR143" s="19"/>
      <c r="GS143" s="19"/>
      <c r="GT143" s="19"/>
      <c r="GU143" s="19"/>
      <c r="GV143" s="19"/>
      <c r="GW143" s="19"/>
      <c r="GX143" s="19"/>
      <c r="GY143" s="19"/>
      <c r="GZ143" s="19"/>
      <c r="HA143" s="19"/>
      <c r="HB143" s="19"/>
    </row>
    <row r="144" spans="1:210" x14ac:dyDescent="0.25">
      <c r="A144" s="113">
        <f t="shared" si="17"/>
        <v>-14</v>
      </c>
      <c r="B144" s="163"/>
      <c r="C144" s="172" t="str">
        <f t="shared" si="20"/>
        <v>RTH at -14 °C</v>
      </c>
      <c r="D144" s="196">
        <f t="shared" si="19"/>
        <v>2.69</v>
      </c>
      <c r="E144" s="197">
        <v>49.65</v>
      </c>
      <c r="F144" s="198">
        <v>50.98</v>
      </c>
      <c r="G144" s="199">
        <v>52.33</v>
      </c>
      <c r="H144" s="128" t="s">
        <v>18</v>
      </c>
      <c r="I144" s="29"/>
      <c r="J144" s="29">
        <v>52.33</v>
      </c>
      <c r="K144" s="29">
        <v>50.98</v>
      </c>
      <c r="L144" s="29">
        <v>49.65</v>
      </c>
      <c r="M144" s="29"/>
      <c r="N144" s="29"/>
      <c r="O144" s="29"/>
      <c r="P144" s="29"/>
      <c r="Q144" s="29"/>
      <c r="R144" s="29"/>
      <c r="S144" s="29"/>
      <c r="T144" s="29"/>
      <c r="U144" s="29"/>
      <c r="V144" s="29"/>
      <c r="W144" s="29"/>
      <c r="X144" s="29"/>
      <c r="Y144" s="30"/>
      <c r="Z144" s="18"/>
      <c r="AA144" s="19"/>
      <c r="AB144" s="19"/>
      <c r="AC144" s="20">
        <f t="shared" si="21"/>
        <v>-14</v>
      </c>
      <c r="AD144" s="20">
        <f t="shared" si="22"/>
        <v>49.65</v>
      </c>
      <c r="AE144" s="20">
        <f t="shared" si="23"/>
        <v>50.98</v>
      </c>
      <c r="AF144" s="20">
        <f t="shared" si="24"/>
        <v>52.33</v>
      </c>
      <c r="AG144" s="20">
        <f>Table9[[#This Row],[RTH(min) (kΩ)]]*RT2_TH_MIN/(RT2_TH_MIN+Table9[[#This Row],[RTH(min) (kΩ)]])</f>
        <v>18.88395363866881</v>
      </c>
      <c r="AH144" s="20">
        <f>Table9[[#This Row],[RTH(nom) (kΩ)]]*RT2_TH_S/(RT2_TH_S+Table9[[#This Row],[RTH(nom) (kΩ)]])</f>
        <v>19.085154268364018</v>
      </c>
      <c r="AI144" s="20">
        <f>Table9[[#This Row],[RTH(max) (kΩ)]]*RT2_TH_S_MAX/(RT2_TH_S_MAX+Table9[[#This Row],[RTH(max) (kΩ)]])</f>
        <v>19.28344252098502</v>
      </c>
      <c r="AJ144" s="20">
        <f>Table9[[#This Row],[RLower(min) (kΩ)]]/(Table9[[#This Row],[RLower(min) (kΩ)]]+RT1_TH_S_MAX)*100</f>
        <v>78.284613493577169</v>
      </c>
      <c r="AK144" s="20">
        <f>Table9[[#This Row],[RLower(nom) (kΩ)]]/(Table9[[#This Row],[RLower(nom) (kΩ)]]+RT1_TH_S)*100</f>
        <v>78.48112568835694</v>
      </c>
      <c r="AL144" s="20">
        <f>Table9[[#This Row],[RLower(max) (kΩ)]]/(Table9[[#This Row],[RLower(max) (kΩ)]]+RT1_TH_S_MIN)*100</f>
        <v>78.671962158722167</v>
      </c>
      <c r="AM144" s="20">
        <f>IF(Table9[[#This Row],[Vmin (%)]]&lt;$BA$14, 0, IF(Table9[[#This Row],[Vmin (%)]]&lt;$BA$12, 4, IF(Table9[[#This Row],[Vmin (%)]]&lt;$BA$9, 3, IF(Table9[[#This Row],[Vmin (%)]]&lt;$BA$7, 2, 0))))</f>
        <v>0</v>
      </c>
      <c r="AN144" s="20">
        <f>IF(Table9[[#This Row],[Vmin (%)]]&lt;$BA$13, 0, IF(Table9[[#This Row],[Vmin (%)]]&lt;$BA$11, 4, IF(Table9[[#This Row],[Vmin (%)]]&lt;$BA$10, 3, IF(Table9[[#This Row],[Vmin (%)]]&lt;$BA$8, 2, 0))))</f>
        <v>0</v>
      </c>
      <c r="AO144" s="76" t="str">
        <f>IF(Table9[[#This Row],[Vmin (%)]]&lt;$BA$14, "Hot", IF(Table9[[#This Row],[Vmin (%)]]&lt;$BA$12, "Warm", IF(Table9[[#This Row],[Vmin (%)]]&lt;$BA$9, "Normal", IF(Table9[[#This Row],[Vmin (%)]]&lt;$BA$7, "Cool", "Cold"))))</f>
        <v>Cold</v>
      </c>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c r="BP144" s="19"/>
      <c r="BQ144" s="19"/>
      <c r="BR144" s="19"/>
      <c r="BS144" s="19"/>
      <c r="BT144" s="19"/>
      <c r="BU144" s="19"/>
      <c r="BV144" s="19"/>
      <c r="BW144" s="19"/>
      <c r="BX144" s="19"/>
      <c r="BY144" s="19"/>
      <c r="BZ144" s="19"/>
      <c r="CA144" s="19"/>
      <c r="CB144" s="19"/>
      <c r="CC144" s="19"/>
      <c r="CD144" s="19"/>
      <c r="CE144" s="19"/>
      <c r="CF144" s="19"/>
      <c r="CG144" s="19"/>
      <c r="CH144" s="19"/>
      <c r="CI144" s="19"/>
      <c r="CJ144" s="19"/>
      <c r="CK144" s="19"/>
      <c r="CL144" s="19"/>
      <c r="CM144" s="19"/>
      <c r="CN144" s="19"/>
      <c r="CO144" s="19"/>
      <c r="CP144" s="19"/>
      <c r="CQ144" s="19"/>
      <c r="CR144" s="19"/>
      <c r="CS144" s="19"/>
      <c r="CT144" s="19"/>
      <c r="CU144" s="19"/>
      <c r="CV144" s="19"/>
      <c r="CW144" s="19"/>
      <c r="CX144" s="19"/>
      <c r="CY144" s="19"/>
      <c r="CZ144" s="19"/>
      <c r="DA144" s="19"/>
      <c r="DB144" s="19"/>
      <c r="DC144" s="19"/>
      <c r="DD144" s="19"/>
      <c r="DE144" s="19"/>
      <c r="DF144" s="19"/>
      <c r="DG144" s="19"/>
      <c r="DH144" s="19"/>
      <c r="DI144" s="19"/>
      <c r="DJ144" s="19"/>
      <c r="DK144" s="19"/>
      <c r="DL144" s="19"/>
      <c r="DM144" s="19"/>
      <c r="DN144" s="19"/>
      <c r="DO144" s="19"/>
      <c r="DP144" s="19"/>
      <c r="DQ144" s="19"/>
      <c r="DR144" s="19"/>
      <c r="DS144" s="19"/>
      <c r="DT144" s="19"/>
      <c r="DU144" s="19"/>
      <c r="DV144" s="19"/>
      <c r="DW144" s="19"/>
      <c r="DX144" s="19"/>
      <c r="DY144" s="19"/>
      <c r="DZ144" s="19"/>
      <c r="EA144" s="19"/>
      <c r="EB144" s="19"/>
      <c r="EC144" s="19"/>
      <c r="ED144" s="19"/>
      <c r="EE144" s="19"/>
      <c r="EF144" s="19"/>
      <c r="EG144" s="19"/>
      <c r="EH144" s="19"/>
      <c r="EI144" s="19"/>
      <c r="EJ144" s="19"/>
      <c r="EK144" s="19"/>
      <c r="EL144" s="19"/>
      <c r="EM144" s="19"/>
      <c r="EN144" s="19"/>
      <c r="EO144" s="19"/>
      <c r="EP144" s="19"/>
      <c r="EQ144" s="19"/>
      <c r="ER144" s="19"/>
      <c r="ES144" s="19"/>
      <c r="ET144" s="19"/>
      <c r="EU144" s="19"/>
      <c r="EV144" s="19"/>
      <c r="EW144" s="19"/>
      <c r="EX144" s="19"/>
      <c r="EY144" s="19"/>
      <c r="EZ144" s="19"/>
      <c r="FA144" s="19"/>
      <c r="FB144" s="19"/>
      <c r="FC144" s="19"/>
      <c r="FD144" s="19"/>
      <c r="FE144" s="19"/>
      <c r="FF144" s="19"/>
      <c r="FG144" s="19"/>
      <c r="FH144" s="19"/>
      <c r="FI144" s="19"/>
      <c r="FJ144" s="19"/>
      <c r="FK144" s="19"/>
      <c r="FL144" s="19"/>
      <c r="FM144" s="19"/>
      <c r="FN144" s="19"/>
      <c r="FO144" s="19"/>
      <c r="FP144" s="19"/>
      <c r="FQ144" s="19"/>
      <c r="FR144" s="19"/>
      <c r="FS144" s="19"/>
      <c r="FT144" s="19"/>
      <c r="FU144" s="19"/>
      <c r="FV144" s="19"/>
      <c r="FW144" s="19"/>
      <c r="FX144" s="19"/>
      <c r="FY144" s="19"/>
      <c r="FZ144" s="19"/>
      <c r="GA144" s="19"/>
      <c r="GB144" s="19"/>
      <c r="GC144" s="19"/>
      <c r="GD144" s="19"/>
      <c r="GE144" s="19"/>
      <c r="GF144" s="19"/>
      <c r="GG144" s="19"/>
      <c r="GH144" s="19"/>
      <c r="GI144" s="19"/>
      <c r="GJ144" s="19"/>
      <c r="GK144" s="19"/>
      <c r="GL144" s="19"/>
      <c r="GM144" s="19"/>
      <c r="GN144" s="19"/>
      <c r="GO144" s="19"/>
      <c r="GP144" s="19"/>
      <c r="GQ144" s="19"/>
      <c r="GR144" s="19"/>
      <c r="GS144" s="19"/>
      <c r="GT144" s="19"/>
      <c r="GU144" s="19"/>
      <c r="GV144" s="19"/>
      <c r="GW144" s="19"/>
      <c r="GX144" s="19"/>
      <c r="GY144" s="19"/>
      <c r="GZ144" s="19"/>
      <c r="HA144" s="19"/>
      <c r="HB144" s="19"/>
    </row>
    <row r="145" spans="1:210" x14ac:dyDescent="0.25">
      <c r="A145" s="113">
        <f t="shared" si="17"/>
        <v>-15</v>
      </c>
      <c r="B145" s="163"/>
      <c r="C145" s="172" t="str">
        <f t="shared" si="20"/>
        <v>RTH at -15 °C</v>
      </c>
      <c r="D145" s="196">
        <f t="shared" si="19"/>
        <v>2.7333333333333334</v>
      </c>
      <c r="E145" s="197">
        <v>51.99</v>
      </c>
      <c r="F145" s="198">
        <v>53.41</v>
      </c>
      <c r="G145" s="199">
        <v>54.85</v>
      </c>
      <c r="H145" s="128" t="s">
        <v>18</v>
      </c>
      <c r="I145" s="29"/>
      <c r="J145" s="29">
        <v>54.85</v>
      </c>
      <c r="K145" s="29">
        <v>53.41</v>
      </c>
      <c r="L145" s="29">
        <v>51.99</v>
      </c>
      <c r="M145" s="29"/>
      <c r="N145" s="29"/>
      <c r="O145" s="29"/>
      <c r="P145" s="29"/>
      <c r="Q145" s="29"/>
      <c r="R145" s="29"/>
      <c r="S145" s="29"/>
      <c r="T145" s="29"/>
      <c r="U145" s="29"/>
      <c r="V145" s="29"/>
      <c r="W145" s="29"/>
      <c r="X145" s="29"/>
      <c r="Y145" s="30"/>
      <c r="Z145" s="18"/>
      <c r="AA145" s="19"/>
      <c r="AB145" s="19"/>
      <c r="AC145" s="20">
        <f t="shared" si="21"/>
        <v>-15</v>
      </c>
      <c r="AD145" s="20">
        <f t="shared" si="22"/>
        <v>51.99</v>
      </c>
      <c r="AE145" s="20">
        <f t="shared" si="23"/>
        <v>53.41</v>
      </c>
      <c r="AF145" s="20">
        <f t="shared" si="24"/>
        <v>54.85</v>
      </c>
      <c r="AG145" s="20">
        <f>Table9[[#This Row],[RTH(min) (kΩ)]]*RT2_TH_MIN/(RT2_TH_MIN+Table9[[#This Row],[RTH(min) (kΩ)]])</f>
        <v>19.212851876950207</v>
      </c>
      <c r="AH145" s="20">
        <f>Table9[[#This Row],[RTH(nom) (kΩ)]]*RT2_TH_S/(RT2_TH_S+Table9[[#This Row],[RTH(nom) (kΩ)]])</f>
        <v>19.415855699906075</v>
      </c>
      <c r="AI145" s="20">
        <f>Table9[[#This Row],[RTH(max) (kΩ)]]*RT2_TH_S_MAX/(RT2_TH_S_MAX+Table9[[#This Row],[RTH(max) (kΩ)]])</f>
        <v>19.615534112770167</v>
      </c>
      <c r="AJ145" s="20">
        <f>Table9[[#This Row],[RLower(min) (kΩ)]]/(Table9[[#This Row],[RLower(min) (kΩ)]]+RT1_TH_S_MAX)*100</f>
        <v>78.576713209810777</v>
      </c>
      <c r="AK145" s="20">
        <f>Table9[[#This Row],[RLower(nom) (kΩ)]]/(Table9[[#This Row],[RLower(nom) (kΩ)]]+RT1_TH_S)*100</f>
        <v>78.769833820801722</v>
      </c>
      <c r="AL145" s="20">
        <f>Table9[[#This Row],[RLower(max) (kΩ)]]/(Table9[[#This Row],[RLower(max) (kΩ)]]+RT1_TH_S_MIN)*100</f>
        <v>78.95706374509129</v>
      </c>
      <c r="AM145" s="20">
        <f>IF(Table9[[#This Row],[Vmin (%)]]&lt;$BA$14, 0, IF(Table9[[#This Row],[Vmin (%)]]&lt;$BA$12, 4, IF(Table9[[#This Row],[Vmin (%)]]&lt;$BA$9, 3, IF(Table9[[#This Row],[Vmin (%)]]&lt;$BA$7, 2, 0))))</f>
        <v>0</v>
      </c>
      <c r="AN145" s="20">
        <f>IF(Table9[[#This Row],[Vmin (%)]]&lt;$BA$13, 0, IF(Table9[[#This Row],[Vmin (%)]]&lt;$BA$11, 4, IF(Table9[[#This Row],[Vmin (%)]]&lt;$BA$10, 3, IF(Table9[[#This Row],[Vmin (%)]]&lt;$BA$8, 2, 0))))</f>
        <v>0</v>
      </c>
      <c r="AO145" s="76" t="str">
        <f>IF(Table9[[#This Row],[Vmin (%)]]&lt;$BA$14, "Hot", IF(Table9[[#This Row],[Vmin (%)]]&lt;$BA$12, "Warm", IF(Table9[[#This Row],[Vmin (%)]]&lt;$BA$9, "Normal", IF(Table9[[#This Row],[Vmin (%)]]&lt;$BA$7, "Cool", "Cold"))))</f>
        <v>Cold</v>
      </c>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c r="BP145" s="19"/>
      <c r="BQ145" s="19"/>
      <c r="BR145" s="19"/>
      <c r="BS145" s="19"/>
      <c r="BT145" s="19"/>
      <c r="BU145" s="19"/>
      <c r="BV145" s="19"/>
      <c r="BW145" s="19"/>
      <c r="BX145" s="19"/>
      <c r="BY145" s="19"/>
      <c r="BZ145" s="19"/>
      <c r="CA145" s="19"/>
      <c r="CB145" s="19"/>
      <c r="CC145" s="19"/>
      <c r="CD145" s="19"/>
      <c r="CE145" s="19"/>
      <c r="CF145" s="19"/>
      <c r="CG145" s="19"/>
      <c r="CH145" s="19"/>
      <c r="CI145" s="19"/>
      <c r="CJ145" s="19"/>
      <c r="CK145" s="19"/>
      <c r="CL145" s="19"/>
      <c r="CM145" s="19"/>
      <c r="CN145" s="19"/>
      <c r="CO145" s="19"/>
      <c r="CP145" s="19"/>
      <c r="CQ145" s="19"/>
      <c r="CR145" s="19"/>
      <c r="CS145" s="19"/>
      <c r="CT145" s="19"/>
      <c r="CU145" s="19"/>
      <c r="CV145" s="19"/>
      <c r="CW145" s="19"/>
      <c r="CX145" s="19"/>
      <c r="CY145" s="19"/>
      <c r="CZ145" s="19"/>
      <c r="DA145" s="19"/>
      <c r="DB145" s="19"/>
      <c r="DC145" s="19"/>
      <c r="DD145" s="19"/>
      <c r="DE145" s="19"/>
      <c r="DF145" s="19"/>
      <c r="DG145" s="19"/>
      <c r="DH145" s="19"/>
      <c r="DI145" s="19"/>
      <c r="DJ145" s="19"/>
      <c r="DK145" s="19"/>
      <c r="DL145" s="19"/>
      <c r="DM145" s="19"/>
      <c r="DN145" s="19"/>
      <c r="DO145" s="19"/>
      <c r="DP145" s="19"/>
      <c r="DQ145" s="19"/>
      <c r="DR145" s="19"/>
      <c r="DS145" s="19"/>
      <c r="DT145" s="19"/>
      <c r="DU145" s="19"/>
      <c r="DV145" s="19"/>
      <c r="DW145" s="19"/>
      <c r="DX145" s="19"/>
      <c r="DY145" s="19"/>
      <c r="DZ145" s="19"/>
      <c r="EA145" s="19"/>
      <c r="EB145" s="19"/>
      <c r="EC145" s="19"/>
      <c r="ED145" s="19"/>
      <c r="EE145" s="19"/>
      <c r="EF145" s="19"/>
      <c r="EG145" s="19"/>
      <c r="EH145" s="19"/>
      <c r="EI145" s="19"/>
      <c r="EJ145" s="19"/>
      <c r="EK145" s="19"/>
      <c r="EL145" s="19"/>
      <c r="EM145" s="19"/>
      <c r="EN145" s="19"/>
      <c r="EO145" s="19"/>
      <c r="EP145" s="19"/>
      <c r="EQ145" s="19"/>
      <c r="ER145" s="19"/>
      <c r="ES145" s="19"/>
      <c r="ET145" s="19"/>
      <c r="EU145" s="19"/>
      <c r="EV145" s="19"/>
      <c r="EW145" s="19"/>
      <c r="EX145" s="19"/>
      <c r="EY145" s="19"/>
      <c r="EZ145" s="19"/>
      <c r="FA145" s="19"/>
      <c r="FB145" s="19"/>
      <c r="FC145" s="19"/>
      <c r="FD145" s="19"/>
      <c r="FE145" s="19"/>
      <c r="FF145" s="19"/>
      <c r="FG145" s="19"/>
      <c r="FH145" s="19"/>
      <c r="FI145" s="19"/>
      <c r="FJ145" s="19"/>
      <c r="FK145" s="19"/>
      <c r="FL145" s="19"/>
      <c r="FM145" s="19"/>
      <c r="FN145" s="19"/>
      <c r="FO145" s="19"/>
      <c r="FP145" s="19"/>
      <c r="FQ145" s="19"/>
      <c r="FR145" s="19"/>
      <c r="FS145" s="19"/>
      <c r="FT145" s="19"/>
      <c r="FU145" s="19"/>
      <c r="FV145" s="19"/>
      <c r="FW145" s="19"/>
      <c r="FX145" s="19"/>
      <c r="FY145" s="19"/>
      <c r="FZ145" s="19"/>
      <c r="GA145" s="19"/>
      <c r="GB145" s="19"/>
      <c r="GC145" s="19"/>
      <c r="GD145" s="19"/>
      <c r="GE145" s="19"/>
      <c r="GF145" s="19"/>
      <c r="GG145" s="19"/>
      <c r="GH145" s="19"/>
      <c r="GI145" s="19"/>
      <c r="GJ145" s="19"/>
      <c r="GK145" s="19"/>
      <c r="GL145" s="19"/>
      <c r="GM145" s="19"/>
      <c r="GN145" s="19"/>
      <c r="GO145" s="19"/>
      <c r="GP145" s="19"/>
      <c r="GQ145" s="19"/>
      <c r="GR145" s="19"/>
      <c r="GS145" s="19"/>
      <c r="GT145" s="19"/>
      <c r="GU145" s="19"/>
      <c r="GV145" s="19"/>
      <c r="GW145" s="19"/>
      <c r="GX145" s="19"/>
      <c r="GY145" s="19"/>
      <c r="GZ145" s="19"/>
      <c r="HA145" s="19"/>
      <c r="HB145" s="19"/>
    </row>
    <row r="146" spans="1:210" x14ac:dyDescent="0.25">
      <c r="A146" s="113">
        <f t="shared" si="17"/>
        <v>-16</v>
      </c>
      <c r="B146" s="163"/>
      <c r="C146" s="172" t="str">
        <f t="shared" si="20"/>
        <v>RTH at -16 °C</v>
      </c>
      <c r="D146" s="196">
        <f t="shared" si="19"/>
        <v>2.7766666666666664</v>
      </c>
      <c r="E146" s="197">
        <v>54.46</v>
      </c>
      <c r="F146" s="198">
        <v>55.97</v>
      </c>
      <c r="G146" s="199">
        <v>57.51</v>
      </c>
      <c r="H146" s="128" t="s">
        <v>18</v>
      </c>
      <c r="I146" s="29"/>
      <c r="J146" s="29">
        <v>57.51</v>
      </c>
      <c r="K146" s="29">
        <v>55.97</v>
      </c>
      <c r="L146" s="29">
        <v>54.46</v>
      </c>
      <c r="M146" s="29"/>
      <c r="N146" s="29"/>
      <c r="O146" s="29"/>
      <c r="P146" s="29"/>
      <c r="Q146" s="29"/>
      <c r="R146" s="29"/>
      <c r="S146" s="29"/>
      <c r="T146" s="29"/>
      <c r="U146" s="29"/>
      <c r="V146" s="29"/>
      <c r="W146" s="29"/>
      <c r="X146" s="29"/>
      <c r="Y146" s="30"/>
      <c r="Z146" s="18"/>
      <c r="AA146" s="19"/>
      <c r="AB146" s="19"/>
      <c r="AC146" s="20">
        <f t="shared" si="21"/>
        <v>-16</v>
      </c>
      <c r="AD146" s="20">
        <f t="shared" si="22"/>
        <v>54.46</v>
      </c>
      <c r="AE146" s="20">
        <f t="shared" si="23"/>
        <v>55.97</v>
      </c>
      <c r="AF146" s="20">
        <f t="shared" si="24"/>
        <v>57.51</v>
      </c>
      <c r="AG146" s="20">
        <f>Table9[[#This Row],[RTH(min) (kΩ)]]*RT2_TH_MIN/(RT2_TH_MIN+Table9[[#This Row],[RTH(min) (kΩ)]])</f>
        <v>19.540361394287107</v>
      </c>
      <c r="AH146" s="20">
        <f>Table9[[#This Row],[RTH(nom) (kΩ)]]*RT2_TH_S/(RT2_TH_S+Table9[[#This Row],[RTH(nom) (kΩ)]])</f>
        <v>19.744145168981149</v>
      </c>
      <c r="AI146" s="20">
        <f>Table9[[#This Row],[RTH(max) (kΩ)]]*RT2_TH_S_MAX/(RT2_TH_S_MAX+Table9[[#This Row],[RTH(max) (kΩ)]])</f>
        <v>19.94545184197241</v>
      </c>
      <c r="AJ146" s="20">
        <f>Table9[[#This Row],[RLower(min) (kΩ)]]/(Table9[[#This Row],[RLower(min) (kΩ)]]+RT1_TH_S_MAX)*100</f>
        <v>78.859874260601714</v>
      </c>
      <c r="AK146" s="20">
        <f>Table9[[#This Row],[RLower(nom) (kΩ)]]/(Table9[[#This Row],[RLower(nom) (kΩ)]]+RT1_TH_S)*100</f>
        <v>79.048874616160518</v>
      </c>
      <c r="AL146" s="20">
        <f>Table9[[#This Row],[RLower(max) (kΩ)]]/(Table9[[#This Row],[RLower(max) (kΩ)]]+RT1_TH_S_MIN)*100</f>
        <v>79.232850494004836</v>
      </c>
      <c r="AM146" s="20">
        <f>IF(Table9[[#This Row],[Vmin (%)]]&lt;$BA$14, 0, IF(Table9[[#This Row],[Vmin (%)]]&lt;$BA$12, 4, IF(Table9[[#This Row],[Vmin (%)]]&lt;$BA$9, 3, IF(Table9[[#This Row],[Vmin (%)]]&lt;$BA$7, 2, 0))))</f>
        <v>0</v>
      </c>
      <c r="AN146" s="20">
        <f>IF(Table9[[#This Row],[Vmin (%)]]&lt;$BA$13, 0, IF(Table9[[#This Row],[Vmin (%)]]&lt;$BA$11, 4, IF(Table9[[#This Row],[Vmin (%)]]&lt;$BA$10, 3, IF(Table9[[#This Row],[Vmin (%)]]&lt;$BA$8, 2, 0))))</f>
        <v>0</v>
      </c>
      <c r="AO146" s="76" t="str">
        <f>IF(Table9[[#This Row],[Vmin (%)]]&lt;$BA$14, "Hot", IF(Table9[[#This Row],[Vmin (%)]]&lt;$BA$12, "Warm", IF(Table9[[#This Row],[Vmin (%)]]&lt;$BA$9, "Normal", IF(Table9[[#This Row],[Vmin (%)]]&lt;$BA$7, "Cool", "Cold"))))</f>
        <v>Cold</v>
      </c>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c r="BP146" s="19"/>
      <c r="BQ146" s="19"/>
      <c r="BR146" s="19"/>
      <c r="BS146" s="19"/>
      <c r="BT146" s="19"/>
      <c r="BU146" s="19"/>
      <c r="BV146" s="19"/>
      <c r="BW146" s="19"/>
      <c r="BX146" s="19"/>
      <c r="BY146" s="19"/>
      <c r="BZ146" s="19"/>
      <c r="CA146" s="19"/>
      <c r="CB146" s="19"/>
      <c r="CC146" s="19"/>
      <c r="CD146" s="19"/>
      <c r="CE146" s="19"/>
      <c r="CF146" s="19"/>
      <c r="CG146" s="19"/>
      <c r="CH146" s="19"/>
      <c r="CI146" s="19"/>
      <c r="CJ146" s="19"/>
      <c r="CK146" s="19"/>
      <c r="CL146" s="19"/>
      <c r="CM146" s="19"/>
      <c r="CN146" s="19"/>
      <c r="CO146" s="19"/>
      <c r="CP146" s="19"/>
      <c r="CQ146" s="19"/>
      <c r="CR146" s="19"/>
      <c r="CS146" s="19"/>
      <c r="CT146" s="19"/>
      <c r="CU146" s="19"/>
      <c r="CV146" s="19"/>
      <c r="CW146" s="19"/>
      <c r="CX146" s="19"/>
      <c r="CY146" s="19"/>
      <c r="CZ146" s="19"/>
      <c r="DA146" s="19"/>
      <c r="DB146" s="19"/>
      <c r="DC146" s="19"/>
      <c r="DD146" s="19"/>
      <c r="DE146" s="19"/>
      <c r="DF146" s="19"/>
      <c r="DG146" s="19"/>
      <c r="DH146" s="19"/>
      <c r="DI146" s="19"/>
      <c r="DJ146" s="19"/>
      <c r="DK146" s="19"/>
      <c r="DL146" s="19"/>
      <c r="DM146" s="19"/>
      <c r="DN146" s="19"/>
      <c r="DO146" s="19"/>
      <c r="DP146" s="19"/>
      <c r="DQ146" s="19"/>
      <c r="DR146" s="19"/>
      <c r="DS146" s="19"/>
      <c r="DT146" s="19"/>
      <c r="DU146" s="19"/>
      <c r="DV146" s="19"/>
      <c r="DW146" s="19"/>
      <c r="DX146" s="19"/>
      <c r="DY146" s="19"/>
      <c r="DZ146" s="19"/>
      <c r="EA146" s="19"/>
      <c r="EB146" s="19"/>
      <c r="EC146" s="19"/>
      <c r="ED146" s="19"/>
      <c r="EE146" s="19"/>
      <c r="EF146" s="19"/>
      <c r="EG146" s="19"/>
      <c r="EH146" s="19"/>
      <c r="EI146" s="19"/>
      <c r="EJ146" s="19"/>
      <c r="EK146" s="19"/>
      <c r="EL146" s="19"/>
      <c r="EM146" s="19"/>
      <c r="EN146" s="19"/>
      <c r="EO146" s="19"/>
      <c r="EP146" s="19"/>
      <c r="EQ146" s="19"/>
      <c r="ER146" s="19"/>
      <c r="ES146" s="19"/>
      <c r="ET146" s="19"/>
      <c r="EU146" s="19"/>
      <c r="EV146" s="19"/>
      <c r="EW146" s="19"/>
      <c r="EX146" s="19"/>
      <c r="EY146" s="19"/>
      <c r="EZ146" s="19"/>
      <c r="FA146" s="19"/>
      <c r="FB146" s="19"/>
      <c r="FC146" s="19"/>
      <c r="FD146" s="19"/>
      <c r="FE146" s="19"/>
      <c r="FF146" s="19"/>
      <c r="FG146" s="19"/>
      <c r="FH146" s="19"/>
      <c r="FI146" s="19"/>
      <c r="FJ146" s="19"/>
      <c r="FK146" s="19"/>
      <c r="FL146" s="19"/>
      <c r="FM146" s="19"/>
      <c r="FN146" s="19"/>
      <c r="FO146" s="19"/>
      <c r="FP146" s="19"/>
      <c r="FQ146" s="19"/>
      <c r="FR146" s="19"/>
      <c r="FS146" s="19"/>
      <c r="FT146" s="19"/>
      <c r="FU146" s="19"/>
      <c r="FV146" s="19"/>
      <c r="FW146" s="19"/>
      <c r="FX146" s="19"/>
      <c r="FY146" s="19"/>
      <c r="FZ146" s="19"/>
      <c r="GA146" s="19"/>
      <c r="GB146" s="19"/>
      <c r="GC146" s="19"/>
      <c r="GD146" s="19"/>
      <c r="GE146" s="19"/>
      <c r="GF146" s="19"/>
      <c r="GG146" s="19"/>
      <c r="GH146" s="19"/>
      <c r="GI146" s="19"/>
      <c r="GJ146" s="19"/>
      <c r="GK146" s="19"/>
      <c r="GL146" s="19"/>
      <c r="GM146" s="19"/>
      <c r="GN146" s="19"/>
      <c r="GO146" s="19"/>
      <c r="GP146" s="19"/>
      <c r="GQ146" s="19"/>
      <c r="GR146" s="19"/>
      <c r="GS146" s="19"/>
      <c r="GT146" s="19"/>
      <c r="GU146" s="19"/>
      <c r="GV146" s="19"/>
      <c r="GW146" s="19"/>
      <c r="GX146" s="19"/>
      <c r="GY146" s="19"/>
      <c r="GZ146" s="19"/>
      <c r="HA146" s="19"/>
      <c r="HB146" s="19"/>
    </row>
    <row r="147" spans="1:210" x14ac:dyDescent="0.25">
      <c r="A147" s="113">
        <f t="shared" si="17"/>
        <v>-17</v>
      </c>
      <c r="B147" s="163"/>
      <c r="C147" s="172" t="str">
        <f t="shared" si="20"/>
        <v>RTH at -17 °C</v>
      </c>
      <c r="D147" s="196">
        <f t="shared" si="19"/>
        <v>2.8200000000000003</v>
      </c>
      <c r="E147" s="197">
        <v>57.07</v>
      </c>
      <c r="F147" s="198">
        <v>58.68</v>
      </c>
      <c r="G147" s="199">
        <v>60.32</v>
      </c>
      <c r="H147" s="128" t="s">
        <v>18</v>
      </c>
      <c r="I147" s="29"/>
      <c r="J147" s="29">
        <v>60.32</v>
      </c>
      <c r="K147" s="29">
        <v>58.68</v>
      </c>
      <c r="L147" s="29">
        <v>57.07</v>
      </c>
      <c r="M147" s="29"/>
      <c r="N147" s="29"/>
      <c r="O147" s="29"/>
      <c r="P147" s="29"/>
      <c r="Q147" s="29"/>
      <c r="R147" s="29"/>
      <c r="S147" s="29"/>
      <c r="T147" s="29"/>
      <c r="U147" s="29"/>
      <c r="V147" s="29"/>
      <c r="W147" s="29"/>
      <c r="X147" s="29"/>
      <c r="Y147" s="30"/>
      <c r="Z147" s="18"/>
      <c r="AA147" s="19"/>
      <c r="AB147" s="19"/>
      <c r="AC147" s="20">
        <f t="shared" si="21"/>
        <v>-17</v>
      </c>
      <c r="AD147" s="20">
        <f t="shared" si="22"/>
        <v>57.07</v>
      </c>
      <c r="AE147" s="20">
        <f t="shared" si="23"/>
        <v>58.68</v>
      </c>
      <c r="AF147" s="20">
        <f t="shared" si="24"/>
        <v>60.32</v>
      </c>
      <c r="AG147" s="20">
        <f>Table9[[#This Row],[RTH(min) (kΩ)]]*RT2_TH_MIN/(RT2_TH_MIN+Table9[[#This Row],[RTH(min) (kΩ)]])</f>
        <v>19.866352481334658</v>
      </c>
      <c r="AH147" s="20">
        <f>Table9[[#This Row],[RTH(nom) (kΩ)]]*RT2_TH_S/(RT2_TH_S+Table9[[#This Row],[RTH(nom) (kΩ)]])</f>
        <v>20.071134923087573</v>
      </c>
      <c r="AI147" s="20">
        <f>Table9[[#This Row],[RTH(max) (kΩ)]]*RT2_TH_S_MAX/(RT2_TH_S_MAX+Table9[[#This Row],[RTH(max) (kΩ)]])</f>
        <v>20.272991075080618</v>
      </c>
      <c r="AJ147" s="20">
        <f>Table9[[#This Row],[RLower(min) (kΩ)]]/(Table9[[#This Row],[RLower(min) (kΩ)]]+RT1_TH_S_MAX)*100</f>
        <v>79.134385664423263</v>
      </c>
      <c r="AK147" s="20">
        <f>Table9[[#This Row],[RLower(nom) (kΩ)]]/(Table9[[#This Row],[RLower(nom) (kΩ)]]+RT1_TH_S)*100</f>
        <v>79.319613203163641</v>
      </c>
      <c r="AL147" s="20">
        <f>Table9[[#This Row],[RLower(max) (kΩ)]]/(Table9[[#This Row],[RLower(max) (kΩ)]]+RT1_TH_S_MIN)*100</f>
        <v>79.499589959637291</v>
      </c>
      <c r="AM147" s="20">
        <f>IF(Table9[[#This Row],[Vmin (%)]]&lt;$BA$14, 0, IF(Table9[[#This Row],[Vmin (%)]]&lt;$BA$12, 4, IF(Table9[[#This Row],[Vmin (%)]]&lt;$BA$9, 3, IF(Table9[[#This Row],[Vmin (%)]]&lt;$BA$7, 2, 0))))</f>
        <v>0</v>
      </c>
      <c r="AN147" s="20">
        <f>IF(Table9[[#This Row],[Vmin (%)]]&lt;$BA$13, 0, IF(Table9[[#This Row],[Vmin (%)]]&lt;$BA$11, 4, IF(Table9[[#This Row],[Vmin (%)]]&lt;$BA$10, 3, IF(Table9[[#This Row],[Vmin (%)]]&lt;$BA$8, 2, 0))))</f>
        <v>0</v>
      </c>
      <c r="AO147" s="76" t="str">
        <f>IF(Table9[[#This Row],[Vmin (%)]]&lt;$BA$14, "Hot", IF(Table9[[#This Row],[Vmin (%)]]&lt;$BA$12, "Warm", IF(Table9[[#This Row],[Vmin (%)]]&lt;$BA$9, "Normal", IF(Table9[[#This Row],[Vmin (%)]]&lt;$BA$7, "Cool", "Cold"))))</f>
        <v>Cold</v>
      </c>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c r="BP147" s="19"/>
      <c r="BQ147" s="19"/>
      <c r="BR147" s="19"/>
      <c r="BS147" s="19"/>
      <c r="BT147" s="19"/>
      <c r="BU147" s="19"/>
      <c r="BV147" s="19"/>
      <c r="BW147" s="19"/>
      <c r="BX147" s="19"/>
      <c r="BY147" s="19"/>
      <c r="BZ147" s="19"/>
      <c r="CA147" s="19"/>
      <c r="CB147" s="19"/>
      <c r="CC147" s="19"/>
      <c r="CD147" s="19"/>
      <c r="CE147" s="19"/>
      <c r="CF147" s="19"/>
      <c r="CG147" s="19"/>
      <c r="CH147" s="19"/>
      <c r="CI147" s="19"/>
      <c r="CJ147" s="19"/>
      <c r="CK147" s="19"/>
      <c r="CL147" s="19"/>
      <c r="CM147" s="19"/>
      <c r="CN147" s="19"/>
      <c r="CO147" s="19"/>
      <c r="CP147" s="19"/>
      <c r="CQ147" s="19"/>
      <c r="CR147" s="19"/>
      <c r="CS147" s="19"/>
      <c r="CT147" s="19"/>
      <c r="CU147" s="19"/>
      <c r="CV147" s="19"/>
      <c r="CW147" s="19"/>
      <c r="CX147" s="19"/>
      <c r="CY147" s="19"/>
      <c r="CZ147" s="19"/>
      <c r="DA147" s="19"/>
      <c r="DB147" s="19"/>
      <c r="DC147" s="19"/>
      <c r="DD147" s="19"/>
      <c r="DE147" s="19"/>
      <c r="DF147" s="19"/>
      <c r="DG147" s="19"/>
      <c r="DH147" s="19"/>
      <c r="DI147" s="19"/>
      <c r="DJ147" s="19"/>
      <c r="DK147" s="19"/>
      <c r="DL147" s="19"/>
      <c r="DM147" s="19"/>
      <c r="DN147" s="19"/>
      <c r="DO147" s="19"/>
      <c r="DP147" s="19"/>
      <c r="DQ147" s="19"/>
      <c r="DR147" s="19"/>
      <c r="DS147" s="19"/>
      <c r="DT147" s="19"/>
      <c r="DU147" s="19"/>
      <c r="DV147" s="19"/>
      <c r="DW147" s="19"/>
      <c r="DX147" s="19"/>
      <c r="DY147" s="19"/>
      <c r="DZ147" s="19"/>
      <c r="EA147" s="19"/>
      <c r="EB147" s="19"/>
      <c r="EC147" s="19"/>
      <c r="ED147" s="19"/>
      <c r="EE147" s="19"/>
      <c r="EF147" s="19"/>
      <c r="EG147" s="19"/>
      <c r="EH147" s="19"/>
      <c r="EI147" s="19"/>
      <c r="EJ147" s="19"/>
      <c r="EK147" s="19"/>
      <c r="EL147" s="19"/>
      <c r="EM147" s="19"/>
      <c r="EN147" s="19"/>
      <c r="EO147" s="19"/>
      <c r="EP147" s="19"/>
      <c r="EQ147" s="19"/>
      <c r="ER147" s="19"/>
      <c r="ES147" s="19"/>
      <c r="ET147" s="19"/>
      <c r="EU147" s="19"/>
      <c r="EV147" s="19"/>
      <c r="EW147" s="19"/>
      <c r="EX147" s="19"/>
      <c r="EY147" s="19"/>
      <c r="EZ147" s="19"/>
      <c r="FA147" s="19"/>
      <c r="FB147" s="19"/>
      <c r="FC147" s="19"/>
      <c r="FD147" s="19"/>
      <c r="FE147" s="19"/>
      <c r="FF147" s="19"/>
      <c r="FG147" s="19"/>
      <c r="FH147" s="19"/>
      <c r="FI147" s="19"/>
      <c r="FJ147" s="19"/>
      <c r="FK147" s="19"/>
      <c r="FL147" s="19"/>
      <c r="FM147" s="19"/>
      <c r="FN147" s="19"/>
      <c r="FO147" s="19"/>
      <c r="FP147" s="19"/>
      <c r="FQ147" s="19"/>
      <c r="FR147" s="19"/>
      <c r="FS147" s="19"/>
      <c r="FT147" s="19"/>
      <c r="FU147" s="19"/>
      <c r="FV147" s="19"/>
      <c r="FW147" s="19"/>
      <c r="FX147" s="19"/>
      <c r="FY147" s="19"/>
      <c r="FZ147" s="19"/>
      <c r="GA147" s="19"/>
      <c r="GB147" s="19"/>
      <c r="GC147" s="19"/>
      <c r="GD147" s="19"/>
      <c r="GE147" s="19"/>
      <c r="GF147" s="19"/>
      <c r="GG147" s="19"/>
      <c r="GH147" s="19"/>
      <c r="GI147" s="19"/>
      <c r="GJ147" s="19"/>
      <c r="GK147" s="19"/>
      <c r="GL147" s="19"/>
      <c r="GM147" s="19"/>
      <c r="GN147" s="19"/>
      <c r="GO147" s="19"/>
      <c r="GP147" s="19"/>
      <c r="GQ147" s="19"/>
      <c r="GR147" s="19"/>
      <c r="GS147" s="19"/>
      <c r="GT147" s="19"/>
      <c r="GU147" s="19"/>
      <c r="GV147" s="19"/>
      <c r="GW147" s="19"/>
      <c r="GX147" s="19"/>
      <c r="GY147" s="19"/>
      <c r="GZ147" s="19"/>
      <c r="HA147" s="19"/>
      <c r="HB147" s="19"/>
    </row>
    <row r="148" spans="1:210" x14ac:dyDescent="0.25">
      <c r="A148" s="113">
        <f t="shared" si="17"/>
        <v>-18</v>
      </c>
      <c r="B148" s="163"/>
      <c r="C148" s="172" t="str">
        <f t="shared" ref="C148:C180" si="25">_xlfn.CONCAT("RTH at ",A148, " °C")</f>
        <v>RTH at -18 °C</v>
      </c>
      <c r="D148" s="196">
        <f t="shared" si="19"/>
        <v>2.8633333333333333</v>
      </c>
      <c r="E148" s="197">
        <v>59.83</v>
      </c>
      <c r="F148" s="198">
        <v>61.54</v>
      </c>
      <c r="G148" s="199">
        <v>63.3</v>
      </c>
      <c r="H148" s="128" t="s">
        <v>18</v>
      </c>
      <c r="I148" s="29"/>
      <c r="J148" s="29">
        <v>63.3</v>
      </c>
      <c r="K148" s="29">
        <v>61.54</v>
      </c>
      <c r="L148" s="29">
        <v>59.83</v>
      </c>
      <c r="M148" s="29"/>
      <c r="N148" s="29"/>
      <c r="O148" s="29"/>
      <c r="P148" s="29"/>
      <c r="Q148" s="29"/>
      <c r="R148" s="29"/>
      <c r="S148" s="29"/>
      <c r="T148" s="29"/>
      <c r="U148" s="29"/>
      <c r="V148" s="29"/>
      <c r="W148" s="29"/>
      <c r="X148" s="29"/>
      <c r="Y148" s="30"/>
      <c r="Z148" s="18"/>
      <c r="AA148" s="19"/>
      <c r="AB148" s="19"/>
      <c r="AC148" s="20">
        <f t="shared" ref="AC148:AC180" si="26">A148</f>
        <v>-18</v>
      </c>
      <c r="AD148" s="20">
        <f t="shared" ref="AD148:AD180" si="27">E148</f>
        <v>59.83</v>
      </c>
      <c r="AE148" s="20">
        <f t="shared" ref="AE148:AE180" si="28">F148</f>
        <v>61.54</v>
      </c>
      <c r="AF148" s="20">
        <f t="shared" ref="AF148:AF180" si="29">G148</f>
        <v>63.3</v>
      </c>
      <c r="AG148" s="20">
        <f>Table9[[#This Row],[RTH(min) (kΩ)]]*RT2_TH_MIN/(RT2_TH_MIN+Table9[[#This Row],[RTH(min) (kΩ)]])</f>
        <v>20.19057944274757</v>
      </c>
      <c r="AH148" s="20">
        <f>Table9[[#This Row],[RTH(nom) (kΩ)]]*RT2_TH_S/(RT2_TH_S+Table9[[#This Row],[RTH(nom) (kΩ)]])</f>
        <v>20.395341141346325</v>
      </c>
      <c r="AI148" s="20">
        <f>Table9[[#This Row],[RTH(max) (kΩ)]]*RT2_TH_S_MAX/(RT2_TH_S_MAX+Table9[[#This Row],[RTH(max) (kΩ)]])</f>
        <v>20.598912830028269</v>
      </c>
      <c r="AJ148" s="20">
        <f>Table9[[#This Row],[RLower(min) (kΩ)]]/(Table9[[#This Row],[RLower(min) (kΩ)]]+RT1_TH_S_MAX)*100</f>
        <v>79.400430219471446</v>
      </c>
      <c r="AK148" s="20">
        <f>Table9[[#This Row],[RLower(nom) (kΩ)]]/(Table9[[#This Row],[RLower(nom) (kΩ)]]+RT1_TH_S)*100</f>
        <v>79.581226402186644</v>
      </c>
      <c r="AL148" s="20">
        <f>Table9[[#This Row],[RLower(max) (kΩ)]]/(Table9[[#This Row],[RLower(max) (kΩ)]]+RT1_TH_S_MIN)*100</f>
        <v>79.758296535533262</v>
      </c>
      <c r="AM148" s="20">
        <f>IF(Table9[[#This Row],[Vmin (%)]]&lt;$BA$14, 0, IF(Table9[[#This Row],[Vmin (%)]]&lt;$BA$12, 4, IF(Table9[[#This Row],[Vmin (%)]]&lt;$BA$9, 3, IF(Table9[[#This Row],[Vmin (%)]]&lt;$BA$7, 2, 0))))</f>
        <v>0</v>
      </c>
      <c r="AN148" s="20">
        <f>IF(Table9[[#This Row],[Vmin (%)]]&lt;$BA$13, 0, IF(Table9[[#This Row],[Vmin (%)]]&lt;$BA$11, 4, IF(Table9[[#This Row],[Vmin (%)]]&lt;$BA$10, 3, IF(Table9[[#This Row],[Vmin (%)]]&lt;$BA$8, 2, 0))))</f>
        <v>0</v>
      </c>
      <c r="AO148" s="76" t="str">
        <f>IF(Table9[[#This Row],[Vmin (%)]]&lt;$BA$14, "Hot", IF(Table9[[#This Row],[Vmin (%)]]&lt;$BA$12, "Warm", IF(Table9[[#This Row],[Vmin (%)]]&lt;$BA$9, "Normal", IF(Table9[[#This Row],[Vmin (%)]]&lt;$BA$7, "Cool", "Cold"))))</f>
        <v>Cold</v>
      </c>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c r="BP148" s="19"/>
      <c r="BQ148" s="19"/>
      <c r="BR148" s="19"/>
      <c r="BS148" s="19"/>
      <c r="BT148" s="19"/>
      <c r="BU148" s="19"/>
      <c r="BV148" s="19"/>
      <c r="BW148" s="19"/>
      <c r="BX148" s="19"/>
      <c r="BY148" s="19"/>
      <c r="BZ148" s="19"/>
      <c r="CA148" s="19"/>
      <c r="CB148" s="19"/>
      <c r="CC148" s="19"/>
      <c r="CD148" s="19"/>
      <c r="CE148" s="19"/>
      <c r="CF148" s="19"/>
      <c r="CG148" s="19"/>
      <c r="CH148" s="19"/>
      <c r="CI148" s="19"/>
      <c r="CJ148" s="19"/>
      <c r="CK148" s="19"/>
      <c r="CL148" s="19"/>
      <c r="CM148" s="19"/>
      <c r="CN148" s="19"/>
      <c r="CO148" s="19"/>
      <c r="CP148" s="19"/>
      <c r="CQ148" s="19"/>
      <c r="CR148" s="19"/>
      <c r="CS148" s="19"/>
      <c r="CT148" s="19"/>
      <c r="CU148" s="19"/>
      <c r="CV148" s="19"/>
      <c r="CW148" s="19"/>
      <c r="CX148" s="19"/>
      <c r="CY148" s="19"/>
      <c r="CZ148" s="19"/>
      <c r="DA148" s="19"/>
      <c r="DB148" s="19"/>
      <c r="DC148" s="19"/>
      <c r="DD148" s="19"/>
      <c r="DE148" s="19"/>
      <c r="DF148" s="19"/>
      <c r="DG148" s="19"/>
      <c r="DH148" s="19"/>
      <c r="DI148" s="19"/>
      <c r="DJ148" s="19"/>
      <c r="DK148" s="19"/>
      <c r="DL148" s="19"/>
      <c r="DM148" s="19"/>
      <c r="DN148" s="19"/>
      <c r="DO148" s="19"/>
      <c r="DP148" s="19"/>
      <c r="DQ148" s="19"/>
      <c r="DR148" s="19"/>
      <c r="DS148" s="19"/>
      <c r="DT148" s="19"/>
      <c r="DU148" s="19"/>
      <c r="DV148" s="19"/>
      <c r="DW148" s="19"/>
      <c r="DX148" s="19"/>
      <c r="DY148" s="19"/>
      <c r="DZ148" s="19"/>
      <c r="EA148" s="19"/>
      <c r="EB148" s="19"/>
      <c r="EC148" s="19"/>
      <c r="ED148" s="19"/>
      <c r="EE148" s="19"/>
      <c r="EF148" s="19"/>
      <c r="EG148" s="19"/>
      <c r="EH148" s="19"/>
      <c r="EI148" s="19"/>
      <c r="EJ148" s="19"/>
      <c r="EK148" s="19"/>
      <c r="EL148" s="19"/>
      <c r="EM148" s="19"/>
      <c r="EN148" s="19"/>
      <c r="EO148" s="19"/>
      <c r="EP148" s="19"/>
      <c r="EQ148" s="19"/>
      <c r="ER148" s="19"/>
      <c r="ES148" s="19"/>
      <c r="ET148" s="19"/>
      <c r="EU148" s="19"/>
      <c r="EV148" s="19"/>
      <c r="EW148" s="19"/>
      <c r="EX148" s="19"/>
      <c r="EY148" s="19"/>
      <c r="EZ148" s="19"/>
      <c r="FA148" s="19"/>
      <c r="FB148" s="19"/>
      <c r="FC148" s="19"/>
      <c r="FD148" s="19"/>
      <c r="FE148" s="19"/>
      <c r="FF148" s="19"/>
      <c r="FG148" s="19"/>
      <c r="FH148" s="19"/>
      <c r="FI148" s="19"/>
      <c r="FJ148" s="19"/>
      <c r="FK148" s="19"/>
      <c r="FL148" s="19"/>
      <c r="FM148" s="19"/>
      <c r="FN148" s="19"/>
      <c r="FO148" s="19"/>
      <c r="FP148" s="19"/>
      <c r="FQ148" s="19"/>
      <c r="FR148" s="19"/>
      <c r="FS148" s="19"/>
      <c r="FT148" s="19"/>
      <c r="FU148" s="19"/>
      <c r="FV148" s="19"/>
      <c r="FW148" s="19"/>
      <c r="FX148" s="19"/>
      <c r="FY148" s="19"/>
      <c r="FZ148" s="19"/>
      <c r="GA148" s="19"/>
      <c r="GB148" s="19"/>
      <c r="GC148" s="19"/>
      <c r="GD148" s="19"/>
      <c r="GE148" s="19"/>
      <c r="GF148" s="19"/>
      <c r="GG148" s="19"/>
      <c r="GH148" s="19"/>
      <c r="GI148" s="19"/>
      <c r="GJ148" s="19"/>
      <c r="GK148" s="19"/>
      <c r="GL148" s="19"/>
      <c r="GM148" s="19"/>
      <c r="GN148" s="19"/>
      <c r="GO148" s="19"/>
      <c r="GP148" s="19"/>
      <c r="GQ148" s="19"/>
      <c r="GR148" s="19"/>
      <c r="GS148" s="19"/>
      <c r="GT148" s="19"/>
      <c r="GU148" s="19"/>
      <c r="GV148" s="19"/>
      <c r="GW148" s="19"/>
      <c r="GX148" s="19"/>
      <c r="GY148" s="19"/>
      <c r="GZ148" s="19"/>
      <c r="HA148" s="19"/>
      <c r="HB148" s="19"/>
    </row>
    <row r="149" spans="1:210" x14ac:dyDescent="0.25">
      <c r="A149" s="113">
        <f t="shared" si="17"/>
        <v>-19</v>
      </c>
      <c r="B149" s="163"/>
      <c r="C149" s="172" t="str">
        <f t="shared" si="25"/>
        <v>RTH at -19 °C</v>
      </c>
      <c r="D149" s="196">
        <f t="shared" si="19"/>
        <v>2.9066666666666667</v>
      </c>
      <c r="E149" s="197">
        <v>62.74</v>
      </c>
      <c r="F149" s="198">
        <v>64.569999999999993</v>
      </c>
      <c r="G149" s="199">
        <v>66.44</v>
      </c>
      <c r="H149" s="128" t="s">
        <v>18</v>
      </c>
      <c r="I149" s="29"/>
      <c r="J149" s="29">
        <v>66.44</v>
      </c>
      <c r="K149" s="29">
        <v>64.569999999999993</v>
      </c>
      <c r="L149" s="29">
        <v>62.74</v>
      </c>
      <c r="M149" s="29"/>
      <c r="N149" s="29"/>
      <c r="O149" s="29"/>
      <c r="P149" s="29"/>
      <c r="Q149" s="29"/>
      <c r="R149" s="29"/>
      <c r="S149" s="29"/>
      <c r="T149" s="29"/>
      <c r="U149" s="29"/>
      <c r="V149" s="29"/>
      <c r="W149" s="29"/>
      <c r="X149" s="29"/>
      <c r="Y149" s="30"/>
      <c r="Z149" s="18"/>
      <c r="AA149" s="19"/>
      <c r="AB149" s="19"/>
      <c r="AC149" s="20">
        <f t="shared" si="26"/>
        <v>-19</v>
      </c>
      <c r="AD149" s="20">
        <f t="shared" si="27"/>
        <v>62.74</v>
      </c>
      <c r="AE149" s="20">
        <f t="shared" si="28"/>
        <v>64.569999999999993</v>
      </c>
      <c r="AF149" s="20">
        <f t="shared" si="29"/>
        <v>66.44</v>
      </c>
      <c r="AG149" s="20">
        <f>Table9[[#This Row],[RTH(min) (kΩ)]]*RT2_TH_MIN/(RT2_TH_MIN+Table9[[#This Row],[RTH(min) (kΩ)]])</f>
        <v>20.511633755313508</v>
      </c>
      <c r="AH149" s="20">
        <f>Table9[[#This Row],[RTH(nom) (kΩ)]]*RT2_TH_S/(RT2_TH_S+Table9[[#This Row],[RTH(nom) (kΩ)]])</f>
        <v>20.71753963258789</v>
      </c>
      <c r="AI149" s="20">
        <f>Table9[[#This Row],[RTH(max) (kΩ)]]*RT2_TH_S_MAX/(RT2_TH_S_MAX+Table9[[#This Row],[RTH(max) (kΩ)]])</f>
        <v>20.920660947944278</v>
      </c>
      <c r="AJ149" s="20">
        <f>Table9[[#This Row],[RLower(min) (kΩ)]]/(Table9[[#This Row],[RLower(min) (kΩ)]]+RT1_TH_S_MAX)*100</f>
        <v>79.657269722914648</v>
      </c>
      <c r="AK149" s="20">
        <f>Table9[[#This Row],[RLower(nom) (kΩ)]]/(Table9[[#This Row],[RLower(nom) (kΩ)]]+RT1_TH_S)*100</f>
        <v>79.834743299476486</v>
      </c>
      <c r="AL149" s="20">
        <f>Table9[[#This Row],[RLower(max) (kΩ)]]/(Table9[[#This Row],[RLower(max) (kΩ)]]+RT1_TH_S_MIN)*100</f>
        <v>80.007364365114071</v>
      </c>
      <c r="AM149" s="20">
        <f>IF(Table9[[#This Row],[Vmin (%)]]&lt;$BA$14, 0, IF(Table9[[#This Row],[Vmin (%)]]&lt;$BA$12, 4, IF(Table9[[#This Row],[Vmin (%)]]&lt;$BA$9, 3, IF(Table9[[#This Row],[Vmin (%)]]&lt;$BA$7, 2, 0))))</f>
        <v>0</v>
      </c>
      <c r="AN149" s="20">
        <f>IF(Table9[[#This Row],[Vmin (%)]]&lt;$BA$13, 0, IF(Table9[[#This Row],[Vmin (%)]]&lt;$BA$11, 4, IF(Table9[[#This Row],[Vmin (%)]]&lt;$BA$10, 3, IF(Table9[[#This Row],[Vmin (%)]]&lt;$BA$8, 2, 0))))</f>
        <v>0</v>
      </c>
      <c r="AO149" s="76" t="str">
        <f>IF(Table9[[#This Row],[Vmin (%)]]&lt;$BA$14, "Hot", IF(Table9[[#This Row],[Vmin (%)]]&lt;$BA$12, "Warm", IF(Table9[[#This Row],[Vmin (%)]]&lt;$BA$9, "Normal", IF(Table9[[#This Row],[Vmin (%)]]&lt;$BA$7, "Cool", "Cold"))))</f>
        <v>Cold</v>
      </c>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c r="BP149" s="19"/>
      <c r="BQ149" s="19"/>
      <c r="BR149" s="19"/>
      <c r="BS149" s="19"/>
      <c r="BT149" s="19"/>
      <c r="BU149" s="19"/>
      <c r="BV149" s="19"/>
      <c r="BW149" s="19"/>
      <c r="BX149" s="19"/>
      <c r="BY149" s="19"/>
      <c r="BZ149" s="19"/>
      <c r="CA149" s="19"/>
      <c r="CB149" s="19"/>
      <c r="CC149" s="19"/>
      <c r="CD149" s="19"/>
      <c r="CE149" s="19"/>
      <c r="CF149" s="19"/>
      <c r="CG149" s="19"/>
      <c r="CH149" s="19"/>
      <c r="CI149" s="19"/>
      <c r="CJ149" s="19"/>
      <c r="CK149" s="19"/>
      <c r="CL149" s="19"/>
      <c r="CM149" s="19"/>
      <c r="CN149" s="19"/>
      <c r="CO149" s="19"/>
      <c r="CP149" s="19"/>
      <c r="CQ149" s="19"/>
      <c r="CR149" s="19"/>
      <c r="CS149" s="19"/>
      <c r="CT149" s="19"/>
      <c r="CU149" s="19"/>
      <c r="CV149" s="19"/>
      <c r="CW149" s="19"/>
      <c r="CX149" s="19"/>
      <c r="CY149" s="19"/>
      <c r="CZ149" s="19"/>
      <c r="DA149" s="19"/>
      <c r="DB149" s="19"/>
      <c r="DC149" s="19"/>
      <c r="DD149" s="19"/>
      <c r="DE149" s="19"/>
      <c r="DF149" s="19"/>
      <c r="DG149" s="19"/>
      <c r="DH149" s="19"/>
      <c r="DI149" s="19"/>
      <c r="DJ149" s="19"/>
      <c r="DK149" s="19"/>
      <c r="DL149" s="19"/>
      <c r="DM149" s="19"/>
      <c r="DN149" s="19"/>
      <c r="DO149" s="19"/>
      <c r="DP149" s="19"/>
      <c r="DQ149" s="19"/>
      <c r="DR149" s="19"/>
      <c r="DS149" s="19"/>
      <c r="DT149" s="19"/>
      <c r="DU149" s="19"/>
      <c r="DV149" s="19"/>
      <c r="DW149" s="19"/>
      <c r="DX149" s="19"/>
      <c r="DY149" s="19"/>
      <c r="DZ149" s="19"/>
      <c r="EA149" s="19"/>
      <c r="EB149" s="19"/>
      <c r="EC149" s="19"/>
      <c r="ED149" s="19"/>
      <c r="EE149" s="19"/>
      <c r="EF149" s="19"/>
      <c r="EG149" s="19"/>
      <c r="EH149" s="19"/>
      <c r="EI149" s="19"/>
      <c r="EJ149" s="19"/>
      <c r="EK149" s="19"/>
      <c r="EL149" s="19"/>
      <c r="EM149" s="19"/>
      <c r="EN149" s="19"/>
      <c r="EO149" s="19"/>
      <c r="EP149" s="19"/>
      <c r="EQ149" s="19"/>
      <c r="ER149" s="19"/>
      <c r="ES149" s="19"/>
      <c r="ET149" s="19"/>
      <c r="EU149" s="19"/>
      <c r="EV149" s="19"/>
      <c r="EW149" s="19"/>
      <c r="EX149" s="19"/>
      <c r="EY149" s="19"/>
      <c r="EZ149" s="19"/>
      <c r="FA149" s="19"/>
      <c r="FB149" s="19"/>
      <c r="FC149" s="19"/>
      <c r="FD149" s="19"/>
      <c r="FE149" s="19"/>
      <c r="FF149" s="19"/>
      <c r="FG149" s="19"/>
      <c r="FH149" s="19"/>
      <c r="FI149" s="19"/>
      <c r="FJ149" s="19"/>
      <c r="FK149" s="19"/>
      <c r="FL149" s="19"/>
      <c r="FM149" s="19"/>
      <c r="FN149" s="19"/>
      <c r="FO149" s="19"/>
      <c r="FP149" s="19"/>
      <c r="FQ149" s="19"/>
      <c r="FR149" s="19"/>
      <c r="FS149" s="19"/>
      <c r="FT149" s="19"/>
      <c r="FU149" s="19"/>
      <c r="FV149" s="19"/>
      <c r="FW149" s="19"/>
      <c r="FX149" s="19"/>
      <c r="FY149" s="19"/>
      <c r="FZ149" s="19"/>
      <c r="GA149" s="19"/>
      <c r="GB149" s="19"/>
      <c r="GC149" s="19"/>
      <c r="GD149" s="19"/>
      <c r="GE149" s="19"/>
      <c r="GF149" s="19"/>
      <c r="GG149" s="19"/>
      <c r="GH149" s="19"/>
      <c r="GI149" s="19"/>
      <c r="GJ149" s="19"/>
      <c r="GK149" s="19"/>
      <c r="GL149" s="19"/>
      <c r="GM149" s="19"/>
      <c r="GN149" s="19"/>
      <c r="GO149" s="19"/>
      <c r="GP149" s="19"/>
      <c r="GQ149" s="19"/>
      <c r="GR149" s="19"/>
      <c r="GS149" s="19"/>
      <c r="GT149" s="19"/>
      <c r="GU149" s="19"/>
      <c r="GV149" s="19"/>
      <c r="GW149" s="19"/>
      <c r="GX149" s="19"/>
      <c r="GY149" s="19"/>
      <c r="GZ149" s="19"/>
      <c r="HA149" s="19"/>
      <c r="HB149" s="19"/>
    </row>
    <row r="150" spans="1:210" x14ac:dyDescent="0.25">
      <c r="A150" s="113">
        <f t="shared" ref="A150:A180" si="30">A149-1</f>
        <v>-20</v>
      </c>
      <c r="B150" s="163"/>
      <c r="C150" s="172" t="str">
        <f t="shared" si="25"/>
        <v>RTH at -20 °C</v>
      </c>
      <c r="D150" s="196">
        <f t="shared" si="19"/>
        <v>2.95</v>
      </c>
      <c r="E150" s="197">
        <v>65.819999999999993</v>
      </c>
      <c r="F150" s="198">
        <v>67.77</v>
      </c>
      <c r="G150" s="199">
        <v>69.77</v>
      </c>
      <c r="H150" s="128" t="s">
        <v>18</v>
      </c>
      <c r="I150" s="29"/>
      <c r="J150" s="29">
        <v>69.77</v>
      </c>
      <c r="K150" s="29">
        <v>67.77</v>
      </c>
      <c r="L150" s="29">
        <v>65.819999999999993</v>
      </c>
      <c r="M150" s="29"/>
      <c r="N150" s="29"/>
      <c r="O150" s="29"/>
      <c r="P150" s="29"/>
      <c r="Q150" s="29"/>
      <c r="R150" s="29"/>
      <c r="S150" s="29"/>
      <c r="T150" s="29"/>
      <c r="U150" s="29"/>
      <c r="V150" s="29"/>
      <c r="W150" s="29"/>
      <c r="X150" s="29"/>
      <c r="Y150" s="30"/>
      <c r="Z150" s="18"/>
      <c r="AA150" s="19"/>
      <c r="AB150" s="19"/>
      <c r="AC150" s="20">
        <f t="shared" si="26"/>
        <v>-20</v>
      </c>
      <c r="AD150" s="20">
        <f t="shared" si="27"/>
        <v>65.819999999999993</v>
      </c>
      <c r="AE150" s="20">
        <f t="shared" si="28"/>
        <v>67.77</v>
      </c>
      <c r="AF150" s="20">
        <f t="shared" si="29"/>
        <v>69.77</v>
      </c>
      <c r="AG150" s="20">
        <f>Table9[[#This Row],[RTH(min) (kΩ)]]*RT2_TH_MIN/(RT2_TH_MIN+Table9[[#This Row],[RTH(min) (kΩ)]])</f>
        <v>20.830305990991977</v>
      </c>
      <c r="AH150" s="20">
        <f>Table9[[#This Row],[RTH(nom) (kΩ)]]*RT2_TH_S/(RT2_TH_S+Table9[[#This Row],[RTH(nom) (kΩ)]])</f>
        <v>21.036244051583058</v>
      </c>
      <c r="AI150" s="20">
        <f>Table9[[#This Row],[RTH(max) (kΩ)]]*RT2_TH_S_MAX/(RT2_TH_S_MAX+Table9[[#This Row],[RTH(max) (kΩ)]])</f>
        <v>21.239868465528943</v>
      </c>
      <c r="AJ150" s="20">
        <f>Table9[[#This Row],[RLower(min) (kΩ)]]/(Table9[[#This Row],[RLower(min) (kΩ)]]+RT1_TH_S_MAX)*100</f>
        <v>79.905947469804659</v>
      </c>
      <c r="AK150" s="20">
        <f>Table9[[#This Row],[RLower(nom) (kΩ)]]/(Table9[[#This Row],[RLower(nom) (kΩ)]]+RT1_TH_S)*100</f>
        <v>80.079392843785286</v>
      </c>
      <c r="AL150" s="20">
        <f>Table9[[#This Row],[RLower(max) (kΩ)]]/(Table9[[#This Row],[RLower(max) (kΩ)]]+RT1_TH_S_MIN)*100</f>
        <v>80.248481548846584</v>
      </c>
      <c r="AM150" s="20">
        <f>IF(Table9[[#This Row],[Vmin (%)]]&lt;$BA$14, 0, IF(Table9[[#This Row],[Vmin (%)]]&lt;$BA$12, 4, IF(Table9[[#This Row],[Vmin (%)]]&lt;$BA$9, 3, IF(Table9[[#This Row],[Vmin (%)]]&lt;$BA$7, 2, 0))))</f>
        <v>0</v>
      </c>
      <c r="AN150" s="20">
        <f>IF(Table9[[#This Row],[Vmin (%)]]&lt;$BA$13, 0, IF(Table9[[#This Row],[Vmin (%)]]&lt;$BA$11, 4, IF(Table9[[#This Row],[Vmin (%)]]&lt;$BA$10, 3, IF(Table9[[#This Row],[Vmin (%)]]&lt;$BA$8, 2, 0))))</f>
        <v>0</v>
      </c>
      <c r="AO150" s="76" t="str">
        <f>IF(Table9[[#This Row],[Vmin (%)]]&lt;$BA$14, "Hot", IF(Table9[[#This Row],[Vmin (%)]]&lt;$BA$12, "Warm", IF(Table9[[#This Row],[Vmin (%)]]&lt;$BA$9, "Normal", IF(Table9[[#This Row],[Vmin (%)]]&lt;$BA$7, "Cool", "Cold"))))</f>
        <v>Cold</v>
      </c>
      <c r="AP150" s="19"/>
      <c r="AQ150" s="19"/>
      <c r="AR150" s="19"/>
      <c r="AS150" s="19"/>
      <c r="AT150" s="19"/>
      <c r="AU150" s="19"/>
      <c r="AV150" s="19"/>
      <c r="AW150" s="19"/>
      <c r="AX150" s="19"/>
      <c r="AY150" s="19"/>
      <c r="AZ150" s="19"/>
      <c r="BA150" s="19"/>
      <c r="BB150" s="19"/>
      <c r="BC150" s="19"/>
      <c r="BD150" s="19"/>
      <c r="BE150" s="19"/>
      <c r="BF150" s="19"/>
      <c r="BG150" s="19"/>
      <c r="BH150" s="19"/>
      <c r="BI150" s="19"/>
      <c r="BJ150" s="19"/>
      <c r="BK150" s="19"/>
      <c r="BL150" s="19"/>
      <c r="BM150" s="19"/>
      <c r="BN150" s="19"/>
      <c r="BO150" s="19"/>
      <c r="BP150" s="19"/>
      <c r="BQ150" s="19"/>
      <c r="BR150" s="19"/>
      <c r="BS150" s="19"/>
      <c r="BT150" s="19"/>
      <c r="BU150" s="19"/>
      <c r="BV150" s="19"/>
      <c r="BW150" s="19"/>
      <c r="BX150" s="19"/>
      <c r="BY150" s="19"/>
      <c r="BZ150" s="19"/>
      <c r="CA150" s="19"/>
      <c r="CB150" s="19"/>
      <c r="CC150" s="19"/>
      <c r="CD150" s="19"/>
      <c r="CE150" s="19"/>
      <c r="CF150" s="19"/>
      <c r="CG150" s="19"/>
      <c r="CH150" s="19"/>
      <c r="CI150" s="19"/>
      <c r="CJ150" s="19"/>
      <c r="CK150" s="19"/>
      <c r="CL150" s="19"/>
      <c r="CM150" s="19"/>
      <c r="CN150" s="19"/>
      <c r="CO150" s="19"/>
      <c r="CP150" s="19"/>
      <c r="CQ150" s="19"/>
      <c r="CR150" s="19"/>
      <c r="CS150" s="19"/>
      <c r="CT150" s="19"/>
      <c r="CU150" s="19"/>
      <c r="CV150" s="19"/>
      <c r="CW150" s="19"/>
      <c r="CX150" s="19"/>
      <c r="CY150" s="19"/>
      <c r="CZ150" s="19"/>
      <c r="DA150" s="19"/>
      <c r="DB150" s="19"/>
      <c r="DC150" s="19"/>
      <c r="DD150" s="19"/>
      <c r="DE150" s="19"/>
      <c r="DF150" s="19"/>
      <c r="DG150" s="19"/>
      <c r="DH150" s="19"/>
      <c r="DI150" s="19"/>
      <c r="DJ150" s="19"/>
      <c r="DK150" s="19"/>
      <c r="DL150" s="19"/>
      <c r="DM150" s="19"/>
      <c r="DN150" s="19"/>
      <c r="DO150" s="19"/>
      <c r="DP150" s="19"/>
      <c r="DQ150" s="19"/>
      <c r="DR150" s="19"/>
      <c r="DS150" s="19"/>
      <c r="DT150" s="19"/>
      <c r="DU150" s="19"/>
      <c r="DV150" s="19"/>
      <c r="DW150" s="19"/>
      <c r="DX150" s="19"/>
      <c r="DY150" s="19"/>
      <c r="DZ150" s="19"/>
      <c r="EA150" s="19"/>
      <c r="EB150" s="19"/>
      <c r="EC150" s="19"/>
      <c r="ED150" s="19"/>
      <c r="EE150" s="19"/>
      <c r="EF150" s="19"/>
      <c r="EG150" s="19"/>
      <c r="EH150" s="19"/>
      <c r="EI150" s="19"/>
      <c r="EJ150" s="19"/>
      <c r="EK150" s="19"/>
      <c r="EL150" s="19"/>
      <c r="EM150" s="19"/>
      <c r="EN150" s="19"/>
      <c r="EO150" s="19"/>
      <c r="EP150" s="19"/>
      <c r="EQ150" s="19"/>
      <c r="ER150" s="19"/>
      <c r="ES150" s="19"/>
      <c r="ET150" s="19"/>
      <c r="EU150" s="19"/>
      <c r="EV150" s="19"/>
      <c r="EW150" s="19"/>
      <c r="EX150" s="19"/>
      <c r="EY150" s="19"/>
      <c r="EZ150" s="19"/>
      <c r="FA150" s="19"/>
      <c r="FB150" s="19"/>
      <c r="FC150" s="19"/>
      <c r="FD150" s="19"/>
      <c r="FE150" s="19"/>
      <c r="FF150" s="19"/>
      <c r="FG150" s="19"/>
      <c r="FH150" s="19"/>
      <c r="FI150" s="19"/>
      <c r="FJ150" s="19"/>
      <c r="FK150" s="19"/>
      <c r="FL150" s="19"/>
      <c r="FM150" s="19"/>
      <c r="FN150" s="19"/>
      <c r="FO150" s="19"/>
      <c r="FP150" s="19"/>
      <c r="FQ150" s="19"/>
      <c r="FR150" s="19"/>
      <c r="FS150" s="19"/>
      <c r="FT150" s="19"/>
      <c r="FU150" s="19"/>
      <c r="FV150" s="19"/>
      <c r="FW150" s="19"/>
      <c r="FX150" s="19"/>
      <c r="FY150" s="19"/>
      <c r="FZ150" s="19"/>
      <c r="GA150" s="19"/>
      <c r="GB150" s="19"/>
      <c r="GC150" s="19"/>
      <c r="GD150" s="19"/>
      <c r="GE150" s="19"/>
      <c r="GF150" s="19"/>
      <c r="GG150" s="19"/>
      <c r="GH150" s="19"/>
      <c r="GI150" s="19"/>
      <c r="GJ150" s="19"/>
      <c r="GK150" s="19"/>
      <c r="GL150" s="19"/>
      <c r="GM150" s="19"/>
      <c r="GN150" s="19"/>
      <c r="GO150" s="19"/>
      <c r="GP150" s="19"/>
      <c r="GQ150" s="19"/>
      <c r="GR150" s="19"/>
      <c r="GS150" s="19"/>
      <c r="GT150" s="19"/>
      <c r="GU150" s="19"/>
      <c r="GV150" s="19"/>
      <c r="GW150" s="19"/>
      <c r="GX150" s="19"/>
      <c r="GY150" s="19"/>
      <c r="GZ150" s="19"/>
      <c r="HA150" s="19"/>
      <c r="HB150" s="19"/>
    </row>
    <row r="151" spans="1:210" x14ac:dyDescent="0.25">
      <c r="A151" s="113">
        <f t="shared" si="30"/>
        <v>-21</v>
      </c>
      <c r="B151" s="163"/>
      <c r="C151" s="172" t="str">
        <f t="shared" si="25"/>
        <v>RTH at -21 °C</v>
      </c>
      <c r="D151" s="196">
        <f t="shared" si="19"/>
        <v>2.9933333333333332</v>
      </c>
      <c r="E151" s="207">
        <v>9.9999999999999997E+98</v>
      </c>
      <c r="F151" s="208">
        <v>9.9999999999999997E+98</v>
      </c>
      <c r="G151" s="209">
        <v>9.9999999999999997E+98</v>
      </c>
      <c r="H151" s="128" t="s">
        <v>18</v>
      </c>
      <c r="I151" s="29"/>
      <c r="J151" s="29">
        <v>73.23</v>
      </c>
      <c r="K151" s="29">
        <v>71.099999999999994</v>
      </c>
      <c r="L151" s="29">
        <v>69.010000000000005</v>
      </c>
      <c r="M151" s="29"/>
      <c r="N151" s="29"/>
      <c r="O151" s="29"/>
      <c r="P151" s="29"/>
      <c r="Q151" s="29"/>
      <c r="R151" s="29"/>
      <c r="S151" s="29"/>
      <c r="T151" s="29"/>
      <c r="U151" s="29"/>
      <c r="V151" s="29"/>
      <c r="W151" s="29"/>
      <c r="X151" s="29"/>
      <c r="Y151" s="30"/>
      <c r="Z151" s="18"/>
      <c r="AA151" s="19"/>
      <c r="AB151" s="19"/>
      <c r="AC151" s="20">
        <f t="shared" si="26"/>
        <v>-21</v>
      </c>
      <c r="AD151" s="20">
        <f t="shared" si="27"/>
        <v>9.9999999999999997E+98</v>
      </c>
      <c r="AE151" s="20">
        <f t="shared" si="28"/>
        <v>9.9999999999999997E+98</v>
      </c>
      <c r="AF151" s="20">
        <f t="shared" si="29"/>
        <v>9.9999999999999997E+98</v>
      </c>
      <c r="AG151" s="20">
        <f>Table9[[#This Row],[RTH(min) (kΩ)]]*RT2_TH_MIN/(RT2_TH_MIN+Table9[[#This Row],[RTH(min) (kΩ)]])</f>
        <v>30.474773623767586</v>
      </c>
      <c r="AH151" s="20">
        <f>Table9[[#This Row],[RTH(nom) (kΩ)]]*RT2_TH_S/(RT2_TH_S+Table9[[#This Row],[RTH(nom) (kΩ)]])</f>
        <v>30.505278902670256</v>
      </c>
      <c r="AI151" s="20">
        <f>Table9[[#This Row],[RTH(max) (kΩ)]]*RT2_TH_S_MAX/(RT2_TH_S_MAX+Table9[[#This Row],[RTH(max) (kΩ)]])</f>
        <v>30.535784181572922</v>
      </c>
      <c r="AJ151" s="20">
        <f>Table9[[#This Row],[RLower(min) (kΩ)]]/(Table9[[#This Row],[RLower(min) (kΩ)]]+RT1_TH_S_MAX)*100</f>
        <v>85.332443462432792</v>
      </c>
      <c r="AK151" s="20">
        <f>Table9[[#This Row],[RLower(nom) (kΩ)]]/(Table9[[#This Row],[RLower(nom) (kΩ)]]+RT1_TH_S)*100</f>
        <v>85.357458154608338</v>
      </c>
      <c r="AL151" s="20">
        <f>Table9[[#This Row],[RLower(max) (kΩ)]]/(Table9[[#This Row],[RLower(max) (kΩ)]]+RT1_TH_S_MIN)*100</f>
        <v>85.382437493546604</v>
      </c>
      <c r="AM151" s="20">
        <f>IF(Table9[[#This Row],[Vmin (%)]]&lt;$BA$14, 0, IF(Table9[[#This Row],[Vmin (%)]]&lt;$BA$12, 4, IF(Table9[[#This Row],[Vmin (%)]]&lt;$BA$9, 3, IF(Table9[[#This Row],[Vmin (%)]]&lt;$BA$7, 2, 0))))</f>
        <v>0</v>
      </c>
      <c r="AN151" s="20">
        <f>IF(Table9[[#This Row],[Vmin (%)]]&lt;$BA$13, 0, IF(Table9[[#This Row],[Vmin (%)]]&lt;$BA$11, 4, IF(Table9[[#This Row],[Vmin (%)]]&lt;$BA$10, 3, IF(Table9[[#This Row],[Vmin (%)]]&lt;$BA$8, 2, 0))))</f>
        <v>0</v>
      </c>
      <c r="AO151" s="76" t="str">
        <f>IF(Table9[[#This Row],[Vmin (%)]]&lt;$BA$14, "Hot", IF(Table9[[#This Row],[Vmin (%)]]&lt;$BA$12, "Warm", IF(Table9[[#This Row],[Vmin (%)]]&lt;$BA$9, "Normal", IF(Table9[[#This Row],[Vmin (%)]]&lt;$BA$7, "Cool", "Cold"))))</f>
        <v>Cold</v>
      </c>
      <c r="AP151" s="19"/>
      <c r="AQ151" s="19"/>
      <c r="AR151" s="19"/>
      <c r="AS151" s="19"/>
      <c r="AT151" s="19"/>
      <c r="AU151" s="19"/>
      <c r="AV151" s="19"/>
      <c r="AW151" s="19"/>
      <c r="AX151" s="19"/>
      <c r="AY151" s="19"/>
      <c r="AZ151" s="19"/>
      <c r="BA151" s="19"/>
      <c r="BB151" s="19"/>
      <c r="BC151" s="19"/>
      <c r="BD151" s="19"/>
      <c r="BE151" s="19"/>
      <c r="BF151" s="19"/>
      <c r="BG151" s="19"/>
      <c r="BH151" s="19"/>
      <c r="BI151" s="19"/>
      <c r="BJ151" s="19"/>
      <c r="BK151" s="19"/>
      <c r="BL151" s="19"/>
      <c r="BM151" s="19"/>
      <c r="BN151" s="19"/>
      <c r="BO151" s="19"/>
      <c r="BP151" s="19"/>
      <c r="BQ151" s="19"/>
      <c r="BR151" s="19"/>
      <c r="BS151" s="19"/>
      <c r="BT151" s="19"/>
      <c r="BU151" s="19"/>
      <c r="BV151" s="19"/>
      <c r="BW151" s="19"/>
      <c r="BX151" s="19"/>
      <c r="BY151" s="19"/>
      <c r="BZ151" s="19"/>
      <c r="CA151" s="19"/>
      <c r="CB151" s="19"/>
      <c r="CC151" s="19"/>
      <c r="CD151" s="19"/>
      <c r="CE151" s="19"/>
      <c r="CF151" s="19"/>
      <c r="CG151" s="19"/>
      <c r="CH151" s="19"/>
      <c r="CI151" s="19"/>
      <c r="CJ151" s="19"/>
      <c r="CK151" s="19"/>
      <c r="CL151" s="19"/>
      <c r="CM151" s="19"/>
      <c r="CN151" s="19"/>
      <c r="CO151" s="19"/>
      <c r="CP151" s="19"/>
      <c r="CQ151" s="19"/>
      <c r="CR151" s="19"/>
      <c r="CS151" s="19"/>
      <c r="CT151" s="19"/>
      <c r="CU151" s="19"/>
      <c r="CV151" s="19"/>
      <c r="CW151" s="19"/>
      <c r="CX151" s="19"/>
      <c r="CY151" s="19"/>
      <c r="CZ151" s="19"/>
      <c r="DA151" s="19"/>
      <c r="DB151" s="19"/>
      <c r="DC151" s="19"/>
      <c r="DD151" s="19"/>
      <c r="DE151" s="19"/>
      <c r="DF151" s="19"/>
      <c r="DG151" s="19"/>
      <c r="DH151" s="19"/>
      <c r="DI151" s="19"/>
      <c r="DJ151" s="19"/>
      <c r="DK151" s="19"/>
      <c r="DL151" s="19"/>
      <c r="DM151" s="19"/>
      <c r="DN151" s="19"/>
      <c r="DO151" s="19"/>
      <c r="DP151" s="19"/>
      <c r="DQ151" s="19"/>
      <c r="DR151" s="19"/>
      <c r="DS151" s="19"/>
      <c r="DT151" s="19"/>
      <c r="DU151" s="19"/>
      <c r="DV151" s="19"/>
      <c r="DW151" s="19"/>
      <c r="DX151" s="19"/>
      <c r="DY151" s="19"/>
      <c r="DZ151" s="19"/>
      <c r="EA151" s="19"/>
      <c r="EB151" s="19"/>
      <c r="EC151" s="19"/>
      <c r="ED151" s="19"/>
      <c r="EE151" s="19"/>
      <c r="EF151" s="19"/>
      <c r="EG151" s="19"/>
      <c r="EH151" s="19"/>
      <c r="EI151" s="19"/>
      <c r="EJ151" s="19"/>
      <c r="EK151" s="19"/>
      <c r="EL151" s="19"/>
      <c r="EM151" s="19"/>
      <c r="EN151" s="19"/>
      <c r="EO151" s="19"/>
      <c r="EP151" s="19"/>
      <c r="EQ151" s="19"/>
      <c r="ER151" s="19"/>
      <c r="ES151" s="19"/>
      <c r="ET151" s="19"/>
      <c r="EU151" s="19"/>
      <c r="EV151" s="19"/>
      <c r="EW151" s="19"/>
      <c r="EX151" s="19"/>
      <c r="EY151" s="19"/>
      <c r="EZ151" s="19"/>
      <c r="FA151" s="19"/>
      <c r="FB151" s="19"/>
      <c r="FC151" s="19"/>
      <c r="FD151" s="19"/>
      <c r="FE151" s="19"/>
      <c r="FF151" s="19"/>
      <c r="FG151" s="19"/>
      <c r="FH151" s="19"/>
      <c r="FI151" s="19"/>
      <c r="FJ151" s="19"/>
      <c r="FK151" s="19"/>
      <c r="FL151" s="19"/>
      <c r="FM151" s="19"/>
      <c r="FN151" s="19"/>
      <c r="FO151" s="19"/>
      <c r="FP151" s="19"/>
      <c r="FQ151" s="19"/>
      <c r="FR151" s="19"/>
      <c r="FS151" s="19"/>
      <c r="FT151" s="19"/>
      <c r="FU151" s="19"/>
      <c r="FV151" s="19"/>
      <c r="FW151" s="19"/>
      <c r="FX151" s="19"/>
      <c r="FY151" s="19"/>
      <c r="FZ151" s="19"/>
      <c r="GA151" s="19"/>
      <c r="GB151" s="19"/>
      <c r="GC151" s="19"/>
      <c r="GD151" s="19"/>
      <c r="GE151" s="19"/>
      <c r="GF151" s="19"/>
      <c r="GG151" s="19"/>
      <c r="GH151" s="19"/>
      <c r="GI151" s="19"/>
      <c r="GJ151" s="19"/>
      <c r="GK151" s="19"/>
      <c r="GL151" s="19"/>
      <c r="GM151" s="19"/>
      <c r="GN151" s="19"/>
      <c r="GO151" s="19"/>
      <c r="GP151" s="19"/>
      <c r="GQ151" s="19"/>
      <c r="GR151" s="19"/>
      <c r="GS151" s="19"/>
      <c r="GT151" s="19"/>
      <c r="GU151" s="19"/>
      <c r="GV151" s="19"/>
      <c r="GW151" s="19"/>
      <c r="GX151" s="19"/>
      <c r="GY151" s="19"/>
      <c r="GZ151" s="19"/>
      <c r="HA151" s="19"/>
      <c r="HB151" s="19"/>
    </row>
    <row r="152" spans="1:210" x14ac:dyDescent="0.25">
      <c r="A152" s="113">
        <f t="shared" si="30"/>
        <v>-22</v>
      </c>
      <c r="B152" s="163"/>
      <c r="C152" s="172" t="str">
        <f t="shared" si="25"/>
        <v>RTH at -22 °C</v>
      </c>
      <c r="D152" s="196">
        <f t="shared" si="19"/>
        <v>3.0366666666666666</v>
      </c>
      <c r="E152" s="207">
        <v>9.9999999999999997E+98</v>
      </c>
      <c r="F152" s="208">
        <v>9.9999999999999997E+98</v>
      </c>
      <c r="G152" s="209">
        <v>9.9999999999999997E+98</v>
      </c>
      <c r="H152" s="128" t="s">
        <v>18</v>
      </c>
      <c r="I152" s="29"/>
      <c r="J152" s="29">
        <v>76.89</v>
      </c>
      <c r="K152" s="29">
        <v>74.61</v>
      </c>
      <c r="L152" s="29">
        <v>72.39</v>
      </c>
      <c r="M152" s="29"/>
      <c r="N152" s="29"/>
      <c r="O152" s="29"/>
      <c r="P152" s="29"/>
      <c r="Q152" s="29"/>
      <c r="R152" s="29"/>
      <c r="S152" s="29"/>
      <c r="T152" s="29"/>
      <c r="U152" s="29"/>
      <c r="V152" s="29"/>
      <c r="W152" s="29"/>
      <c r="X152" s="29"/>
      <c r="Y152" s="30"/>
      <c r="Z152" s="18"/>
      <c r="AA152" s="19"/>
      <c r="AB152" s="19"/>
      <c r="AC152" s="20">
        <f t="shared" si="26"/>
        <v>-22</v>
      </c>
      <c r="AD152" s="20">
        <f t="shared" si="27"/>
        <v>9.9999999999999997E+98</v>
      </c>
      <c r="AE152" s="20">
        <f t="shared" si="28"/>
        <v>9.9999999999999997E+98</v>
      </c>
      <c r="AF152" s="20">
        <f t="shared" si="29"/>
        <v>9.9999999999999997E+98</v>
      </c>
      <c r="AG152" s="20">
        <f>Table9[[#This Row],[RTH(min) (kΩ)]]*RT2_TH_MIN/(RT2_TH_MIN+Table9[[#This Row],[RTH(min) (kΩ)]])</f>
        <v>30.474773623767586</v>
      </c>
      <c r="AH152" s="20">
        <f>Table9[[#This Row],[RTH(nom) (kΩ)]]*RT2_TH_S/(RT2_TH_S+Table9[[#This Row],[RTH(nom) (kΩ)]])</f>
        <v>30.505278902670256</v>
      </c>
      <c r="AI152" s="20">
        <f>Table9[[#This Row],[RTH(max) (kΩ)]]*RT2_TH_S_MAX/(RT2_TH_S_MAX+Table9[[#This Row],[RTH(max) (kΩ)]])</f>
        <v>30.535784181572922</v>
      </c>
      <c r="AJ152" s="20">
        <f>Table9[[#This Row],[RLower(min) (kΩ)]]/(Table9[[#This Row],[RLower(min) (kΩ)]]+RT1_TH_S_MAX)*100</f>
        <v>85.332443462432792</v>
      </c>
      <c r="AK152" s="20">
        <f>Table9[[#This Row],[RLower(nom) (kΩ)]]/(Table9[[#This Row],[RLower(nom) (kΩ)]]+RT1_TH_S)*100</f>
        <v>85.357458154608338</v>
      </c>
      <c r="AL152" s="20">
        <f>Table9[[#This Row],[RLower(max) (kΩ)]]/(Table9[[#This Row],[RLower(max) (kΩ)]]+RT1_TH_S_MIN)*100</f>
        <v>85.382437493546604</v>
      </c>
      <c r="AM152" s="20">
        <f>IF(Table9[[#This Row],[Vmin (%)]]&lt;$BA$14, 0, IF(Table9[[#This Row],[Vmin (%)]]&lt;$BA$12, 4, IF(Table9[[#This Row],[Vmin (%)]]&lt;$BA$9, 3, IF(Table9[[#This Row],[Vmin (%)]]&lt;$BA$7, 2, 0))))</f>
        <v>0</v>
      </c>
      <c r="AN152" s="20">
        <f>IF(Table9[[#This Row],[Vmin (%)]]&lt;$BA$13, 0, IF(Table9[[#This Row],[Vmin (%)]]&lt;$BA$11, 4, IF(Table9[[#This Row],[Vmin (%)]]&lt;$BA$10, 3, IF(Table9[[#This Row],[Vmin (%)]]&lt;$BA$8, 2, 0))))</f>
        <v>0</v>
      </c>
      <c r="AO152" s="76" t="str">
        <f>IF(Table9[[#This Row],[Vmin (%)]]&lt;$BA$14, "Hot", IF(Table9[[#This Row],[Vmin (%)]]&lt;$BA$12, "Warm", IF(Table9[[#This Row],[Vmin (%)]]&lt;$BA$9, "Normal", IF(Table9[[#This Row],[Vmin (%)]]&lt;$BA$7, "Cool", "Cold"))))</f>
        <v>Cold</v>
      </c>
      <c r="AP152" s="19"/>
      <c r="AQ152" s="19"/>
      <c r="AR152" s="19"/>
      <c r="AS152" s="19"/>
      <c r="AT152" s="19"/>
      <c r="AU152" s="19"/>
      <c r="AV152" s="19"/>
      <c r="AW152" s="19"/>
      <c r="AX152" s="19"/>
      <c r="AY152" s="19"/>
      <c r="AZ152" s="19"/>
      <c r="BA152" s="19"/>
      <c r="BB152" s="19"/>
      <c r="BC152" s="19"/>
      <c r="BD152" s="19"/>
      <c r="BE152" s="19"/>
      <c r="BF152" s="19"/>
      <c r="BG152" s="19"/>
      <c r="BH152" s="19"/>
      <c r="BI152" s="19"/>
      <c r="BJ152" s="19"/>
      <c r="BK152" s="19"/>
      <c r="BL152" s="19"/>
      <c r="BM152" s="19"/>
      <c r="BN152" s="19"/>
      <c r="BO152" s="19"/>
      <c r="BP152" s="19"/>
      <c r="BQ152" s="19"/>
      <c r="BR152" s="19"/>
      <c r="BS152" s="19"/>
      <c r="BT152" s="19"/>
      <c r="BU152" s="19"/>
      <c r="BV152" s="19"/>
      <c r="BW152" s="19"/>
      <c r="BX152" s="19"/>
      <c r="BY152" s="19"/>
      <c r="BZ152" s="19"/>
      <c r="CA152" s="19"/>
      <c r="CB152" s="19"/>
      <c r="CC152" s="19"/>
      <c r="CD152" s="19"/>
      <c r="CE152" s="19"/>
      <c r="CF152" s="19"/>
      <c r="CG152" s="19"/>
      <c r="CH152" s="19"/>
      <c r="CI152" s="19"/>
      <c r="CJ152" s="19"/>
      <c r="CK152" s="19"/>
      <c r="CL152" s="19"/>
      <c r="CM152" s="19"/>
      <c r="CN152" s="19"/>
      <c r="CO152" s="19"/>
      <c r="CP152" s="19"/>
      <c r="CQ152" s="19"/>
      <c r="CR152" s="19"/>
      <c r="CS152" s="19"/>
      <c r="CT152" s="19"/>
      <c r="CU152" s="19"/>
      <c r="CV152" s="19"/>
      <c r="CW152" s="19"/>
      <c r="CX152" s="19"/>
      <c r="CY152" s="19"/>
      <c r="CZ152" s="19"/>
      <c r="DA152" s="19"/>
      <c r="DB152" s="19"/>
      <c r="DC152" s="19"/>
      <c r="DD152" s="19"/>
      <c r="DE152" s="19"/>
      <c r="DF152" s="19"/>
      <c r="DG152" s="19"/>
      <c r="DH152" s="19"/>
      <c r="DI152" s="19"/>
      <c r="DJ152" s="19"/>
      <c r="DK152" s="19"/>
      <c r="DL152" s="19"/>
      <c r="DM152" s="19"/>
      <c r="DN152" s="19"/>
      <c r="DO152" s="19"/>
      <c r="DP152" s="19"/>
      <c r="DQ152" s="19"/>
      <c r="DR152" s="19"/>
      <c r="DS152" s="19"/>
      <c r="DT152" s="19"/>
      <c r="DU152" s="19"/>
      <c r="DV152" s="19"/>
      <c r="DW152" s="19"/>
      <c r="DX152" s="19"/>
      <c r="DY152" s="19"/>
      <c r="DZ152" s="19"/>
      <c r="EA152" s="19"/>
      <c r="EB152" s="19"/>
      <c r="EC152" s="19"/>
      <c r="ED152" s="19"/>
      <c r="EE152" s="19"/>
      <c r="EF152" s="19"/>
      <c r="EG152" s="19"/>
      <c r="EH152" s="19"/>
      <c r="EI152" s="19"/>
      <c r="EJ152" s="19"/>
      <c r="EK152" s="19"/>
      <c r="EL152" s="19"/>
      <c r="EM152" s="19"/>
      <c r="EN152" s="19"/>
      <c r="EO152" s="19"/>
      <c r="EP152" s="19"/>
      <c r="EQ152" s="19"/>
      <c r="ER152" s="19"/>
      <c r="ES152" s="19"/>
      <c r="ET152" s="19"/>
      <c r="EU152" s="19"/>
      <c r="EV152" s="19"/>
      <c r="EW152" s="19"/>
      <c r="EX152" s="19"/>
      <c r="EY152" s="19"/>
      <c r="EZ152" s="19"/>
      <c r="FA152" s="19"/>
      <c r="FB152" s="19"/>
      <c r="FC152" s="19"/>
      <c r="FD152" s="19"/>
      <c r="FE152" s="19"/>
      <c r="FF152" s="19"/>
      <c r="FG152" s="19"/>
      <c r="FH152" s="19"/>
      <c r="FI152" s="19"/>
      <c r="FJ152" s="19"/>
      <c r="FK152" s="19"/>
      <c r="FL152" s="19"/>
      <c r="FM152" s="19"/>
      <c r="FN152" s="19"/>
      <c r="FO152" s="19"/>
      <c r="FP152" s="19"/>
      <c r="FQ152" s="19"/>
      <c r="FR152" s="19"/>
      <c r="FS152" s="19"/>
      <c r="FT152" s="19"/>
      <c r="FU152" s="19"/>
      <c r="FV152" s="19"/>
      <c r="FW152" s="19"/>
      <c r="FX152" s="19"/>
      <c r="FY152" s="19"/>
      <c r="FZ152" s="19"/>
      <c r="GA152" s="19"/>
      <c r="GB152" s="19"/>
      <c r="GC152" s="19"/>
      <c r="GD152" s="19"/>
      <c r="GE152" s="19"/>
      <c r="GF152" s="19"/>
      <c r="GG152" s="19"/>
      <c r="GH152" s="19"/>
      <c r="GI152" s="19"/>
      <c r="GJ152" s="19"/>
      <c r="GK152" s="19"/>
      <c r="GL152" s="19"/>
      <c r="GM152" s="19"/>
      <c r="GN152" s="19"/>
      <c r="GO152" s="19"/>
      <c r="GP152" s="19"/>
      <c r="GQ152" s="19"/>
      <c r="GR152" s="19"/>
      <c r="GS152" s="19"/>
      <c r="GT152" s="19"/>
      <c r="GU152" s="19"/>
      <c r="GV152" s="19"/>
      <c r="GW152" s="19"/>
      <c r="GX152" s="19"/>
      <c r="GY152" s="19"/>
      <c r="GZ152" s="19"/>
      <c r="HA152" s="19"/>
      <c r="HB152" s="19"/>
    </row>
    <row r="153" spans="1:210" x14ac:dyDescent="0.25">
      <c r="A153" s="113">
        <f t="shared" si="30"/>
        <v>-23</v>
      </c>
      <c r="B153" s="163"/>
      <c r="C153" s="172" t="str">
        <f t="shared" si="25"/>
        <v>RTH at -23 °C</v>
      </c>
      <c r="D153" s="196">
        <f t="shared" si="19"/>
        <v>3.08</v>
      </c>
      <c r="E153" s="207">
        <v>9.9999999999999997E+98</v>
      </c>
      <c r="F153" s="208">
        <v>9.9999999999999997E+98</v>
      </c>
      <c r="G153" s="209">
        <v>9.9999999999999997E+98</v>
      </c>
      <c r="H153" s="128" t="s">
        <v>18</v>
      </c>
      <c r="I153" s="29"/>
      <c r="J153" s="29">
        <v>80.760000000000005</v>
      </c>
      <c r="K153" s="29">
        <v>78.33</v>
      </c>
      <c r="L153" s="29">
        <v>75.959999999999994</v>
      </c>
      <c r="M153" s="29"/>
      <c r="N153" s="29"/>
      <c r="O153" s="29"/>
      <c r="P153" s="29"/>
      <c r="Q153" s="29"/>
      <c r="R153" s="29"/>
      <c r="S153" s="29"/>
      <c r="T153" s="29"/>
      <c r="U153" s="29"/>
      <c r="V153" s="29"/>
      <c r="W153" s="29"/>
      <c r="X153" s="29"/>
      <c r="Y153" s="30"/>
      <c r="Z153" s="18"/>
      <c r="AA153" s="19"/>
      <c r="AB153" s="19"/>
      <c r="AC153" s="20">
        <f t="shared" si="26"/>
        <v>-23</v>
      </c>
      <c r="AD153" s="20">
        <f t="shared" si="27"/>
        <v>9.9999999999999997E+98</v>
      </c>
      <c r="AE153" s="20">
        <f t="shared" si="28"/>
        <v>9.9999999999999997E+98</v>
      </c>
      <c r="AF153" s="20">
        <f t="shared" si="29"/>
        <v>9.9999999999999997E+98</v>
      </c>
      <c r="AG153" s="20">
        <f>Table9[[#This Row],[RTH(min) (kΩ)]]*RT2_TH_MIN/(RT2_TH_MIN+Table9[[#This Row],[RTH(min) (kΩ)]])</f>
        <v>30.474773623767586</v>
      </c>
      <c r="AH153" s="20">
        <f>Table9[[#This Row],[RTH(nom) (kΩ)]]*RT2_TH_S/(RT2_TH_S+Table9[[#This Row],[RTH(nom) (kΩ)]])</f>
        <v>30.505278902670256</v>
      </c>
      <c r="AI153" s="20">
        <f>Table9[[#This Row],[RTH(max) (kΩ)]]*RT2_TH_S_MAX/(RT2_TH_S_MAX+Table9[[#This Row],[RTH(max) (kΩ)]])</f>
        <v>30.535784181572922</v>
      </c>
      <c r="AJ153" s="20">
        <f>Table9[[#This Row],[RLower(min) (kΩ)]]/(Table9[[#This Row],[RLower(min) (kΩ)]]+RT1_TH_S_MAX)*100</f>
        <v>85.332443462432792</v>
      </c>
      <c r="AK153" s="20">
        <f>Table9[[#This Row],[RLower(nom) (kΩ)]]/(Table9[[#This Row],[RLower(nom) (kΩ)]]+RT1_TH_S)*100</f>
        <v>85.357458154608338</v>
      </c>
      <c r="AL153" s="20">
        <f>Table9[[#This Row],[RLower(max) (kΩ)]]/(Table9[[#This Row],[RLower(max) (kΩ)]]+RT1_TH_S_MIN)*100</f>
        <v>85.382437493546604</v>
      </c>
      <c r="AM153" s="20">
        <f>IF(Table9[[#This Row],[Vmin (%)]]&lt;$BA$14, 0, IF(Table9[[#This Row],[Vmin (%)]]&lt;$BA$12, 4, IF(Table9[[#This Row],[Vmin (%)]]&lt;$BA$9, 3, IF(Table9[[#This Row],[Vmin (%)]]&lt;$BA$7, 2, 0))))</f>
        <v>0</v>
      </c>
      <c r="AN153" s="20">
        <f>IF(Table9[[#This Row],[Vmin (%)]]&lt;$BA$13, 0, IF(Table9[[#This Row],[Vmin (%)]]&lt;$BA$11, 4, IF(Table9[[#This Row],[Vmin (%)]]&lt;$BA$10, 3, IF(Table9[[#This Row],[Vmin (%)]]&lt;$BA$8, 2, 0))))</f>
        <v>0</v>
      </c>
      <c r="AO153" s="76" t="str">
        <f>IF(Table9[[#This Row],[Vmin (%)]]&lt;$BA$14, "Hot", IF(Table9[[#This Row],[Vmin (%)]]&lt;$BA$12, "Warm", IF(Table9[[#This Row],[Vmin (%)]]&lt;$BA$9, "Normal", IF(Table9[[#This Row],[Vmin (%)]]&lt;$BA$7, "Cool", "Cold"))))</f>
        <v>Cold</v>
      </c>
      <c r="AP153" s="19"/>
      <c r="AQ153" s="19"/>
      <c r="AR153" s="19"/>
      <c r="AS153" s="19"/>
      <c r="AT153" s="19"/>
      <c r="AU153" s="19"/>
      <c r="AV153" s="19"/>
      <c r="AW153" s="19"/>
      <c r="AX153" s="19"/>
      <c r="AY153" s="19"/>
      <c r="AZ153" s="19"/>
      <c r="BA153" s="19"/>
      <c r="BB153" s="19"/>
      <c r="BC153" s="19"/>
      <c r="BD153" s="19"/>
      <c r="BE153" s="19"/>
      <c r="BF153" s="19"/>
      <c r="BG153" s="19"/>
      <c r="BH153" s="19"/>
      <c r="BI153" s="19"/>
      <c r="BJ153" s="19"/>
      <c r="BK153" s="19"/>
      <c r="BL153" s="19"/>
      <c r="BM153" s="19"/>
      <c r="BN153" s="19"/>
      <c r="BO153" s="19"/>
      <c r="BP153" s="19"/>
      <c r="BQ153" s="19"/>
      <c r="BR153" s="19"/>
      <c r="BS153" s="19"/>
      <c r="BT153" s="19"/>
      <c r="BU153" s="19"/>
      <c r="BV153" s="19"/>
      <c r="BW153" s="19"/>
      <c r="BX153" s="19"/>
      <c r="BY153" s="19"/>
      <c r="BZ153" s="19"/>
      <c r="CA153" s="19"/>
      <c r="CB153" s="19"/>
      <c r="CC153" s="19"/>
      <c r="CD153" s="19"/>
      <c r="CE153" s="19"/>
      <c r="CF153" s="19"/>
      <c r="CG153" s="19"/>
      <c r="CH153" s="19"/>
      <c r="CI153" s="19"/>
      <c r="CJ153" s="19"/>
      <c r="CK153" s="19"/>
      <c r="CL153" s="19"/>
      <c r="CM153" s="19"/>
      <c r="CN153" s="19"/>
      <c r="CO153" s="19"/>
      <c r="CP153" s="19"/>
      <c r="CQ153" s="19"/>
      <c r="CR153" s="19"/>
      <c r="CS153" s="19"/>
      <c r="CT153" s="19"/>
      <c r="CU153" s="19"/>
      <c r="CV153" s="19"/>
      <c r="CW153" s="19"/>
      <c r="CX153" s="19"/>
      <c r="CY153" s="19"/>
      <c r="CZ153" s="19"/>
      <c r="DA153" s="19"/>
      <c r="DB153" s="19"/>
      <c r="DC153" s="19"/>
      <c r="DD153" s="19"/>
      <c r="DE153" s="19"/>
      <c r="DF153" s="19"/>
      <c r="DG153" s="19"/>
      <c r="DH153" s="19"/>
      <c r="DI153" s="19"/>
      <c r="DJ153" s="19"/>
      <c r="DK153" s="19"/>
      <c r="DL153" s="19"/>
      <c r="DM153" s="19"/>
      <c r="DN153" s="19"/>
      <c r="DO153" s="19"/>
      <c r="DP153" s="19"/>
      <c r="DQ153" s="19"/>
      <c r="DR153" s="19"/>
      <c r="DS153" s="19"/>
      <c r="DT153" s="19"/>
      <c r="DU153" s="19"/>
      <c r="DV153" s="19"/>
      <c r="DW153" s="19"/>
      <c r="DX153" s="19"/>
      <c r="DY153" s="19"/>
      <c r="DZ153" s="19"/>
      <c r="EA153" s="19"/>
      <c r="EB153" s="19"/>
      <c r="EC153" s="19"/>
      <c r="ED153" s="19"/>
      <c r="EE153" s="19"/>
      <c r="EF153" s="19"/>
      <c r="EG153" s="19"/>
      <c r="EH153" s="19"/>
      <c r="EI153" s="19"/>
      <c r="EJ153" s="19"/>
      <c r="EK153" s="19"/>
      <c r="EL153" s="19"/>
      <c r="EM153" s="19"/>
      <c r="EN153" s="19"/>
      <c r="EO153" s="19"/>
      <c r="EP153" s="19"/>
      <c r="EQ153" s="19"/>
      <c r="ER153" s="19"/>
      <c r="ES153" s="19"/>
      <c r="ET153" s="19"/>
      <c r="EU153" s="19"/>
      <c r="EV153" s="19"/>
      <c r="EW153" s="19"/>
      <c r="EX153" s="19"/>
      <c r="EY153" s="19"/>
      <c r="EZ153" s="19"/>
      <c r="FA153" s="19"/>
      <c r="FB153" s="19"/>
      <c r="FC153" s="19"/>
      <c r="FD153" s="19"/>
      <c r="FE153" s="19"/>
      <c r="FF153" s="19"/>
      <c r="FG153" s="19"/>
      <c r="FH153" s="19"/>
      <c r="FI153" s="19"/>
      <c r="FJ153" s="19"/>
      <c r="FK153" s="19"/>
      <c r="FL153" s="19"/>
      <c r="FM153" s="19"/>
      <c r="FN153" s="19"/>
      <c r="FO153" s="19"/>
      <c r="FP153" s="19"/>
      <c r="FQ153" s="19"/>
      <c r="FR153" s="19"/>
      <c r="FS153" s="19"/>
      <c r="FT153" s="19"/>
      <c r="FU153" s="19"/>
      <c r="FV153" s="19"/>
      <c r="FW153" s="19"/>
      <c r="FX153" s="19"/>
      <c r="FY153" s="19"/>
      <c r="FZ153" s="19"/>
      <c r="GA153" s="19"/>
      <c r="GB153" s="19"/>
      <c r="GC153" s="19"/>
      <c r="GD153" s="19"/>
      <c r="GE153" s="19"/>
      <c r="GF153" s="19"/>
      <c r="GG153" s="19"/>
      <c r="GH153" s="19"/>
      <c r="GI153" s="19"/>
      <c r="GJ153" s="19"/>
      <c r="GK153" s="19"/>
      <c r="GL153" s="19"/>
      <c r="GM153" s="19"/>
      <c r="GN153" s="19"/>
      <c r="GO153" s="19"/>
      <c r="GP153" s="19"/>
      <c r="GQ153" s="19"/>
      <c r="GR153" s="19"/>
      <c r="GS153" s="19"/>
      <c r="GT153" s="19"/>
      <c r="GU153" s="19"/>
      <c r="GV153" s="19"/>
      <c r="GW153" s="19"/>
      <c r="GX153" s="19"/>
      <c r="GY153" s="19"/>
      <c r="GZ153" s="19"/>
      <c r="HA153" s="19"/>
      <c r="HB153" s="19"/>
    </row>
    <row r="154" spans="1:210" x14ac:dyDescent="0.25">
      <c r="A154" s="113">
        <f t="shared" si="30"/>
        <v>-24</v>
      </c>
      <c r="B154" s="163"/>
      <c r="C154" s="172" t="str">
        <f t="shared" si="25"/>
        <v>RTH at -24 °C</v>
      </c>
      <c r="D154" s="196">
        <f t="shared" si="19"/>
        <v>3.1233333333333335</v>
      </c>
      <c r="E154" s="207">
        <v>9.9999999999999997E+98</v>
      </c>
      <c r="F154" s="208">
        <v>9.9999999999999997E+98</v>
      </c>
      <c r="G154" s="209">
        <v>9.9999999999999997E+98</v>
      </c>
      <c r="H154" s="128" t="s">
        <v>18</v>
      </c>
      <c r="I154" s="29"/>
      <c r="J154" s="29">
        <v>84.85</v>
      </c>
      <c r="K154" s="29">
        <v>82.26</v>
      </c>
      <c r="L154" s="29">
        <v>79.739999999999995</v>
      </c>
      <c r="M154" s="29"/>
      <c r="N154" s="29"/>
      <c r="O154" s="29"/>
      <c r="P154" s="29"/>
      <c r="Q154" s="29"/>
      <c r="R154" s="29"/>
      <c r="S154" s="29"/>
      <c r="T154" s="29"/>
      <c r="U154" s="29"/>
      <c r="V154" s="29"/>
      <c r="W154" s="29"/>
      <c r="X154" s="29"/>
      <c r="Y154" s="30"/>
      <c r="Z154" s="18"/>
      <c r="AA154" s="19"/>
      <c r="AB154" s="19"/>
      <c r="AC154" s="20">
        <f t="shared" si="26"/>
        <v>-24</v>
      </c>
      <c r="AD154" s="20">
        <f t="shared" si="27"/>
        <v>9.9999999999999997E+98</v>
      </c>
      <c r="AE154" s="20">
        <f t="shared" si="28"/>
        <v>9.9999999999999997E+98</v>
      </c>
      <c r="AF154" s="20">
        <f t="shared" si="29"/>
        <v>9.9999999999999997E+98</v>
      </c>
      <c r="AG154" s="20">
        <f>Table9[[#This Row],[RTH(min) (kΩ)]]*RT2_TH_MIN/(RT2_TH_MIN+Table9[[#This Row],[RTH(min) (kΩ)]])</f>
        <v>30.474773623767586</v>
      </c>
      <c r="AH154" s="20">
        <f>Table9[[#This Row],[RTH(nom) (kΩ)]]*RT2_TH_S/(RT2_TH_S+Table9[[#This Row],[RTH(nom) (kΩ)]])</f>
        <v>30.505278902670256</v>
      </c>
      <c r="AI154" s="20">
        <f>Table9[[#This Row],[RTH(max) (kΩ)]]*RT2_TH_S_MAX/(RT2_TH_S_MAX+Table9[[#This Row],[RTH(max) (kΩ)]])</f>
        <v>30.535784181572922</v>
      </c>
      <c r="AJ154" s="20">
        <f>Table9[[#This Row],[RLower(min) (kΩ)]]/(Table9[[#This Row],[RLower(min) (kΩ)]]+RT1_TH_S_MAX)*100</f>
        <v>85.332443462432792</v>
      </c>
      <c r="AK154" s="20">
        <f>Table9[[#This Row],[RLower(nom) (kΩ)]]/(Table9[[#This Row],[RLower(nom) (kΩ)]]+RT1_TH_S)*100</f>
        <v>85.357458154608338</v>
      </c>
      <c r="AL154" s="20">
        <f>Table9[[#This Row],[RLower(max) (kΩ)]]/(Table9[[#This Row],[RLower(max) (kΩ)]]+RT1_TH_S_MIN)*100</f>
        <v>85.382437493546604</v>
      </c>
      <c r="AM154" s="20">
        <f>IF(Table9[[#This Row],[Vmin (%)]]&lt;$BA$14, 0, IF(Table9[[#This Row],[Vmin (%)]]&lt;$BA$12, 4, IF(Table9[[#This Row],[Vmin (%)]]&lt;$BA$9, 3, IF(Table9[[#This Row],[Vmin (%)]]&lt;$BA$7, 2, 0))))</f>
        <v>0</v>
      </c>
      <c r="AN154" s="20">
        <f>IF(Table9[[#This Row],[Vmin (%)]]&lt;$BA$13, 0, IF(Table9[[#This Row],[Vmin (%)]]&lt;$BA$11, 4, IF(Table9[[#This Row],[Vmin (%)]]&lt;$BA$10, 3, IF(Table9[[#This Row],[Vmin (%)]]&lt;$BA$8, 2, 0))))</f>
        <v>0</v>
      </c>
      <c r="AO154" s="76" t="str">
        <f>IF(Table9[[#This Row],[Vmin (%)]]&lt;$BA$14, "Hot", IF(Table9[[#This Row],[Vmin (%)]]&lt;$BA$12, "Warm", IF(Table9[[#This Row],[Vmin (%)]]&lt;$BA$9, "Normal", IF(Table9[[#This Row],[Vmin (%)]]&lt;$BA$7, "Cool", "Cold"))))</f>
        <v>Cold</v>
      </c>
      <c r="AP154" s="19"/>
      <c r="AQ154" s="19"/>
      <c r="AR154" s="19"/>
      <c r="AS154" s="19"/>
      <c r="AT154" s="19"/>
      <c r="AU154" s="19"/>
      <c r="AV154" s="19"/>
      <c r="AW154" s="19"/>
      <c r="AX154" s="19"/>
      <c r="AY154" s="19"/>
      <c r="AZ154" s="19"/>
      <c r="BA154" s="19"/>
      <c r="BB154" s="19"/>
      <c r="BC154" s="19"/>
      <c r="BD154" s="19"/>
      <c r="BE154" s="19"/>
      <c r="BF154" s="19"/>
      <c r="BG154" s="19"/>
      <c r="BH154" s="19"/>
      <c r="BI154" s="19"/>
      <c r="BJ154" s="19"/>
      <c r="BK154" s="19"/>
      <c r="BL154" s="19"/>
      <c r="BM154" s="19"/>
      <c r="BN154" s="19"/>
      <c r="BO154" s="19"/>
      <c r="BP154" s="19"/>
      <c r="BQ154" s="19"/>
      <c r="BR154" s="19"/>
      <c r="BS154" s="19"/>
      <c r="BT154" s="19"/>
      <c r="BU154" s="19"/>
      <c r="BV154" s="19"/>
      <c r="BW154" s="19"/>
      <c r="BX154" s="19"/>
      <c r="BY154" s="19"/>
      <c r="BZ154" s="19"/>
      <c r="CA154" s="19"/>
      <c r="CB154" s="19"/>
      <c r="CC154" s="19"/>
      <c r="CD154" s="19"/>
      <c r="CE154" s="19"/>
      <c r="CF154" s="19"/>
      <c r="CG154" s="19"/>
      <c r="CH154" s="19"/>
      <c r="CI154" s="19"/>
      <c r="CJ154" s="19"/>
      <c r="CK154" s="19"/>
      <c r="CL154" s="19"/>
      <c r="CM154" s="19"/>
      <c r="CN154" s="19"/>
      <c r="CO154" s="19"/>
      <c r="CP154" s="19"/>
      <c r="CQ154" s="19"/>
      <c r="CR154" s="19"/>
      <c r="CS154" s="19"/>
      <c r="CT154" s="19"/>
      <c r="CU154" s="19"/>
      <c r="CV154" s="19"/>
      <c r="CW154" s="19"/>
      <c r="CX154" s="19"/>
      <c r="CY154" s="19"/>
      <c r="CZ154" s="19"/>
      <c r="DA154" s="19"/>
      <c r="DB154" s="19"/>
      <c r="DC154" s="19"/>
      <c r="DD154" s="19"/>
      <c r="DE154" s="19"/>
      <c r="DF154" s="19"/>
      <c r="DG154" s="19"/>
      <c r="DH154" s="19"/>
      <c r="DI154" s="19"/>
      <c r="DJ154" s="19"/>
      <c r="DK154" s="19"/>
      <c r="DL154" s="19"/>
      <c r="DM154" s="19"/>
      <c r="DN154" s="19"/>
      <c r="DO154" s="19"/>
      <c r="DP154" s="19"/>
      <c r="DQ154" s="19"/>
      <c r="DR154" s="19"/>
      <c r="DS154" s="19"/>
      <c r="DT154" s="19"/>
      <c r="DU154" s="19"/>
      <c r="DV154" s="19"/>
      <c r="DW154" s="19"/>
      <c r="DX154" s="19"/>
      <c r="DY154" s="19"/>
      <c r="DZ154" s="19"/>
      <c r="EA154" s="19"/>
      <c r="EB154" s="19"/>
      <c r="EC154" s="19"/>
      <c r="ED154" s="19"/>
      <c r="EE154" s="19"/>
      <c r="EF154" s="19"/>
      <c r="EG154" s="19"/>
      <c r="EH154" s="19"/>
      <c r="EI154" s="19"/>
      <c r="EJ154" s="19"/>
      <c r="EK154" s="19"/>
      <c r="EL154" s="19"/>
      <c r="EM154" s="19"/>
      <c r="EN154" s="19"/>
      <c r="EO154" s="19"/>
      <c r="EP154" s="19"/>
      <c r="EQ154" s="19"/>
      <c r="ER154" s="19"/>
      <c r="ES154" s="19"/>
      <c r="ET154" s="19"/>
      <c r="EU154" s="19"/>
      <c r="EV154" s="19"/>
      <c r="EW154" s="19"/>
      <c r="EX154" s="19"/>
      <c r="EY154" s="19"/>
      <c r="EZ154" s="19"/>
      <c r="FA154" s="19"/>
      <c r="FB154" s="19"/>
      <c r="FC154" s="19"/>
      <c r="FD154" s="19"/>
      <c r="FE154" s="19"/>
      <c r="FF154" s="19"/>
      <c r="FG154" s="19"/>
      <c r="FH154" s="19"/>
      <c r="FI154" s="19"/>
      <c r="FJ154" s="19"/>
      <c r="FK154" s="19"/>
      <c r="FL154" s="19"/>
      <c r="FM154" s="19"/>
      <c r="FN154" s="19"/>
      <c r="FO154" s="19"/>
      <c r="FP154" s="19"/>
      <c r="FQ154" s="19"/>
      <c r="FR154" s="19"/>
      <c r="FS154" s="19"/>
      <c r="FT154" s="19"/>
      <c r="FU154" s="19"/>
      <c r="FV154" s="19"/>
      <c r="FW154" s="19"/>
      <c r="FX154" s="19"/>
      <c r="FY154" s="19"/>
      <c r="FZ154" s="19"/>
      <c r="GA154" s="19"/>
      <c r="GB154" s="19"/>
      <c r="GC154" s="19"/>
      <c r="GD154" s="19"/>
      <c r="GE154" s="19"/>
      <c r="GF154" s="19"/>
      <c r="GG154" s="19"/>
      <c r="GH154" s="19"/>
      <c r="GI154" s="19"/>
      <c r="GJ154" s="19"/>
      <c r="GK154" s="19"/>
      <c r="GL154" s="19"/>
      <c r="GM154" s="19"/>
      <c r="GN154" s="19"/>
      <c r="GO154" s="19"/>
      <c r="GP154" s="19"/>
      <c r="GQ154" s="19"/>
      <c r="GR154" s="19"/>
      <c r="GS154" s="19"/>
      <c r="GT154" s="19"/>
      <c r="GU154" s="19"/>
      <c r="GV154" s="19"/>
      <c r="GW154" s="19"/>
      <c r="GX154" s="19"/>
      <c r="GY154" s="19"/>
      <c r="GZ154" s="19"/>
      <c r="HA154" s="19"/>
      <c r="HB154" s="19"/>
    </row>
    <row r="155" spans="1:210" ht="15.75" thickBot="1" x14ac:dyDescent="0.3">
      <c r="A155" s="113">
        <f t="shared" si="30"/>
        <v>-25</v>
      </c>
      <c r="B155" s="163"/>
      <c r="C155" s="172" t="str">
        <f t="shared" si="25"/>
        <v>RTH at -25 °C</v>
      </c>
      <c r="D155" s="196">
        <f t="shared" si="19"/>
        <v>3.1666666666666665</v>
      </c>
      <c r="E155" s="207">
        <v>9.9999999999999997E+98</v>
      </c>
      <c r="F155" s="208">
        <v>9.9999999999999997E+98</v>
      </c>
      <c r="G155" s="209">
        <v>9.9999999999999997E+98</v>
      </c>
      <c r="H155" s="128" t="s">
        <v>18</v>
      </c>
      <c r="I155" s="29"/>
      <c r="J155" s="29">
        <v>89.2</v>
      </c>
      <c r="K155" s="29">
        <v>86.43</v>
      </c>
      <c r="L155" s="29">
        <v>83.73</v>
      </c>
      <c r="M155" s="29"/>
      <c r="N155" s="29"/>
      <c r="O155" s="29"/>
      <c r="P155" s="29"/>
      <c r="Q155" s="29"/>
      <c r="R155" s="29"/>
      <c r="S155" s="29"/>
      <c r="T155" s="29"/>
      <c r="U155" s="29"/>
      <c r="V155" s="29"/>
      <c r="W155" s="29"/>
      <c r="X155" s="29"/>
      <c r="Y155" s="30"/>
      <c r="Z155" s="18"/>
      <c r="AA155" s="19"/>
      <c r="AB155" s="19"/>
      <c r="AC155" s="20">
        <f t="shared" si="26"/>
        <v>-25</v>
      </c>
      <c r="AD155" s="20">
        <f t="shared" si="27"/>
        <v>9.9999999999999997E+98</v>
      </c>
      <c r="AE155" s="20">
        <f t="shared" si="28"/>
        <v>9.9999999999999997E+98</v>
      </c>
      <c r="AF155" s="20">
        <f t="shared" si="29"/>
        <v>9.9999999999999997E+98</v>
      </c>
      <c r="AG155" s="20">
        <f>Table9[[#This Row],[RTH(min) (kΩ)]]*RT2_TH_MIN/(RT2_TH_MIN+Table9[[#This Row],[RTH(min) (kΩ)]])</f>
        <v>30.474773623767586</v>
      </c>
      <c r="AH155" s="20">
        <f>Table9[[#This Row],[RTH(nom) (kΩ)]]*RT2_TH_S/(RT2_TH_S+Table9[[#This Row],[RTH(nom) (kΩ)]])</f>
        <v>30.505278902670256</v>
      </c>
      <c r="AI155" s="20">
        <f>Table9[[#This Row],[RTH(max) (kΩ)]]*RT2_TH_S_MAX/(RT2_TH_S_MAX+Table9[[#This Row],[RTH(max) (kΩ)]])</f>
        <v>30.535784181572922</v>
      </c>
      <c r="AJ155" s="20">
        <f>Table9[[#This Row],[RLower(min) (kΩ)]]/(Table9[[#This Row],[RLower(min) (kΩ)]]+RT1_TH_S_MAX)*100</f>
        <v>85.332443462432792</v>
      </c>
      <c r="AK155" s="20">
        <f>Table9[[#This Row],[RLower(nom) (kΩ)]]/(Table9[[#This Row],[RLower(nom) (kΩ)]]+RT1_TH_S)*100</f>
        <v>85.357458154608338</v>
      </c>
      <c r="AL155" s="20">
        <f>Table9[[#This Row],[RLower(max) (kΩ)]]/(Table9[[#This Row],[RLower(max) (kΩ)]]+RT1_TH_S_MIN)*100</f>
        <v>85.382437493546604</v>
      </c>
      <c r="AM155" s="20">
        <f>IF(Table9[[#This Row],[Vmin (%)]]&lt;$BA$14, 0, IF(Table9[[#This Row],[Vmin (%)]]&lt;$BA$12, 4, IF(Table9[[#This Row],[Vmin (%)]]&lt;$BA$9, 3, IF(Table9[[#This Row],[Vmin (%)]]&lt;$BA$7, 2, 0))))</f>
        <v>0</v>
      </c>
      <c r="AN155" s="20">
        <f>IF(Table9[[#This Row],[Vmin (%)]]&lt;$BA$13, 0, IF(Table9[[#This Row],[Vmin (%)]]&lt;$BA$11, 4, IF(Table9[[#This Row],[Vmin (%)]]&lt;$BA$10, 3, IF(Table9[[#This Row],[Vmin (%)]]&lt;$BA$8, 2, 0))))</f>
        <v>0</v>
      </c>
      <c r="AO155" s="76" t="str">
        <f>IF(Table9[[#This Row],[Vmin (%)]]&lt;$BA$14, "Hot", IF(Table9[[#This Row],[Vmin (%)]]&lt;$BA$12, "Warm", IF(Table9[[#This Row],[Vmin (%)]]&lt;$BA$9, "Normal", IF(Table9[[#This Row],[Vmin (%)]]&lt;$BA$7, "Cool", "Cold"))))</f>
        <v>Cold</v>
      </c>
      <c r="AP155" s="19"/>
      <c r="AQ155" s="19"/>
      <c r="AR155" s="19"/>
      <c r="AS155" s="19"/>
      <c r="AT155" s="19"/>
      <c r="AU155" s="19"/>
      <c r="AV155" s="19"/>
      <c r="AW155" s="19"/>
      <c r="AX155" s="19"/>
      <c r="AY155" s="19"/>
      <c r="AZ155" s="19"/>
      <c r="BA155" s="19"/>
      <c r="BB155" s="19"/>
      <c r="BC155" s="19"/>
      <c r="BD155" s="19"/>
      <c r="BE155" s="19"/>
      <c r="BF155" s="19"/>
      <c r="BG155" s="19"/>
      <c r="BH155" s="19"/>
      <c r="BI155" s="19"/>
      <c r="BJ155" s="19"/>
      <c r="BK155" s="19"/>
      <c r="BL155" s="19"/>
      <c r="BM155" s="19"/>
      <c r="BN155" s="19"/>
      <c r="BO155" s="19"/>
      <c r="BP155" s="19"/>
      <c r="BQ155" s="19"/>
      <c r="BR155" s="19"/>
      <c r="BS155" s="19"/>
      <c r="BT155" s="19"/>
      <c r="BU155" s="19"/>
      <c r="BV155" s="19"/>
      <c r="BW155" s="19"/>
      <c r="BX155" s="19"/>
      <c r="BY155" s="19"/>
      <c r="BZ155" s="19"/>
      <c r="CA155" s="19"/>
      <c r="CB155" s="19"/>
      <c r="CC155" s="19"/>
      <c r="CD155" s="19"/>
      <c r="CE155" s="19"/>
      <c r="CF155" s="19"/>
      <c r="CG155" s="19"/>
      <c r="CH155" s="19"/>
      <c r="CI155" s="19"/>
      <c r="CJ155" s="19"/>
      <c r="CK155" s="19"/>
      <c r="CL155" s="19"/>
      <c r="CM155" s="19"/>
      <c r="CN155" s="19"/>
      <c r="CO155" s="19"/>
      <c r="CP155" s="19"/>
      <c r="CQ155" s="19"/>
      <c r="CR155" s="19"/>
      <c r="CS155" s="19"/>
      <c r="CT155" s="19"/>
      <c r="CU155" s="19"/>
      <c r="CV155" s="19"/>
      <c r="CW155" s="19"/>
      <c r="CX155" s="19"/>
      <c r="CY155" s="19"/>
      <c r="CZ155" s="19"/>
      <c r="DA155" s="19"/>
      <c r="DB155" s="19"/>
      <c r="DC155" s="19"/>
      <c r="DD155" s="19"/>
      <c r="DE155" s="19"/>
      <c r="DF155" s="19"/>
      <c r="DG155" s="19"/>
      <c r="DH155" s="19"/>
      <c r="DI155" s="19"/>
      <c r="DJ155" s="19"/>
      <c r="DK155" s="19"/>
      <c r="DL155" s="19"/>
      <c r="DM155" s="19"/>
      <c r="DN155" s="19"/>
      <c r="DO155" s="19"/>
      <c r="DP155" s="19"/>
      <c r="DQ155" s="19"/>
      <c r="DR155" s="19"/>
      <c r="DS155" s="19"/>
      <c r="DT155" s="19"/>
      <c r="DU155" s="19"/>
      <c r="DV155" s="19"/>
      <c r="DW155" s="19"/>
      <c r="DX155" s="19"/>
      <c r="DY155" s="19"/>
      <c r="DZ155" s="19"/>
      <c r="EA155" s="19"/>
      <c r="EB155" s="19"/>
      <c r="EC155" s="19"/>
      <c r="ED155" s="19"/>
      <c r="EE155" s="19"/>
      <c r="EF155" s="19"/>
      <c r="EG155" s="19"/>
      <c r="EH155" s="19"/>
      <c r="EI155" s="19"/>
      <c r="EJ155" s="19"/>
      <c r="EK155" s="19"/>
      <c r="EL155" s="19"/>
      <c r="EM155" s="19"/>
      <c r="EN155" s="19"/>
      <c r="EO155" s="19"/>
      <c r="EP155" s="19"/>
      <c r="EQ155" s="19"/>
      <c r="ER155" s="19"/>
      <c r="ES155" s="19"/>
      <c r="ET155" s="19"/>
      <c r="EU155" s="19"/>
      <c r="EV155" s="19"/>
      <c r="EW155" s="19"/>
      <c r="EX155" s="19"/>
      <c r="EY155" s="19"/>
      <c r="EZ155" s="19"/>
      <c r="FA155" s="19"/>
      <c r="FB155" s="19"/>
      <c r="FC155" s="19"/>
      <c r="FD155" s="19"/>
      <c r="FE155" s="19"/>
      <c r="FF155" s="19"/>
      <c r="FG155" s="19"/>
      <c r="FH155" s="19"/>
      <c r="FI155" s="19"/>
      <c r="FJ155" s="19"/>
      <c r="FK155" s="19"/>
      <c r="FL155" s="19"/>
      <c r="FM155" s="19"/>
      <c r="FN155" s="19"/>
      <c r="FO155" s="19"/>
      <c r="FP155" s="19"/>
      <c r="FQ155" s="19"/>
      <c r="FR155" s="19"/>
      <c r="FS155" s="19"/>
      <c r="FT155" s="19"/>
      <c r="FU155" s="19"/>
      <c r="FV155" s="19"/>
      <c r="FW155" s="19"/>
      <c r="FX155" s="19"/>
      <c r="FY155" s="19"/>
      <c r="FZ155" s="19"/>
      <c r="GA155" s="19"/>
      <c r="GB155" s="19"/>
      <c r="GC155" s="19"/>
      <c r="GD155" s="19"/>
      <c r="GE155" s="19"/>
      <c r="GF155" s="19"/>
      <c r="GG155" s="19"/>
      <c r="GH155" s="19"/>
      <c r="GI155" s="19"/>
      <c r="GJ155" s="19"/>
      <c r="GK155" s="19"/>
      <c r="GL155" s="19"/>
      <c r="GM155" s="19"/>
      <c r="GN155" s="19"/>
      <c r="GO155" s="19"/>
      <c r="GP155" s="19"/>
      <c r="GQ155" s="19"/>
      <c r="GR155" s="19"/>
      <c r="GS155" s="19"/>
      <c r="GT155" s="19"/>
      <c r="GU155" s="19"/>
      <c r="GV155" s="19"/>
      <c r="GW155" s="19"/>
      <c r="GX155" s="19"/>
      <c r="GY155" s="19"/>
      <c r="GZ155" s="19"/>
      <c r="HA155" s="19"/>
      <c r="HB155" s="19"/>
    </row>
    <row r="156" spans="1:210" hidden="1" x14ac:dyDescent="0.25">
      <c r="A156" s="113">
        <f t="shared" si="30"/>
        <v>-26</v>
      </c>
      <c r="B156" s="163"/>
      <c r="C156" s="172" t="str">
        <f t="shared" si="25"/>
        <v>RTH at -26 °C</v>
      </c>
      <c r="D156" s="196">
        <f t="shared" si="19"/>
        <v>3.21</v>
      </c>
      <c r="E156" s="207">
        <v>9.9999999999999997E+98</v>
      </c>
      <c r="F156" s="208">
        <v>9.9999999999999997E+98</v>
      </c>
      <c r="G156" s="209">
        <v>9.9999999999999997E+98</v>
      </c>
      <c r="H156" s="128" t="s">
        <v>18</v>
      </c>
      <c r="I156" s="29"/>
      <c r="J156" s="29">
        <v>93.8</v>
      </c>
      <c r="K156" s="29">
        <v>90.84</v>
      </c>
      <c r="L156" s="29">
        <v>87.97</v>
      </c>
      <c r="M156" s="29"/>
      <c r="N156" s="29"/>
      <c r="O156" s="29"/>
      <c r="P156" s="29"/>
      <c r="Q156" s="29"/>
      <c r="R156" s="29"/>
      <c r="S156" s="29"/>
      <c r="T156" s="29"/>
      <c r="U156" s="29"/>
      <c r="V156" s="29"/>
      <c r="W156" s="29"/>
      <c r="X156" s="29"/>
      <c r="Y156" s="30"/>
      <c r="Z156" s="18"/>
      <c r="AA156" s="19"/>
      <c r="AB156" s="19"/>
      <c r="AC156" s="20">
        <f t="shared" si="26"/>
        <v>-26</v>
      </c>
      <c r="AD156" s="20">
        <f t="shared" si="27"/>
        <v>9.9999999999999997E+98</v>
      </c>
      <c r="AE156" s="20">
        <f t="shared" si="28"/>
        <v>9.9999999999999997E+98</v>
      </c>
      <c r="AF156" s="20">
        <f t="shared" si="29"/>
        <v>9.9999999999999997E+98</v>
      </c>
      <c r="AG156" s="20">
        <f>Table9[[#This Row],[RTH(min) (kΩ)]]*RT2_TH_MIN/(RT2_TH_MIN+Table9[[#This Row],[RTH(min) (kΩ)]])</f>
        <v>30.474773623767586</v>
      </c>
      <c r="AH156" s="20">
        <f>Table9[[#This Row],[RTH(nom) (kΩ)]]*RT2_TH_S/(RT2_TH_S+Table9[[#This Row],[RTH(nom) (kΩ)]])</f>
        <v>30.505278902670256</v>
      </c>
      <c r="AI156" s="20">
        <f>Table9[[#This Row],[RTH(max) (kΩ)]]*RT2_TH_S_MAX/(RT2_TH_S_MAX+Table9[[#This Row],[RTH(max) (kΩ)]])</f>
        <v>30.535784181572922</v>
      </c>
      <c r="AJ156" s="20">
        <f>Table9[[#This Row],[RLower(min) (kΩ)]]/(Table9[[#This Row],[RLower(min) (kΩ)]]+RT1_TH_S_MAX)*100</f>
        <v>85.332443462432792</v>
      </c>
      <c r="AK156" s="20">
        <f>Table9[[#This Row],[RLower(nom) (kΩ)]]/(Table9[[#This Row],[RLower(nom) (kΩ)]]+RT1_TH_S)*100</f>
        <v>85.357458154608338</v>
      </c>
      <c r="AL156" s="20">
        <f>Table9[[#This Row],[RLower(max) (kΩ)]]/(Table9[[#This Row],[RLower(max) (kΩ)]]+RT1_TH_S_MIN)*100</f>
        <v>85.382437493546604</v>
      </c>
      <c r="AM156" s="20">
        <f>IF(Table9[[#This Row],[Vmin (%)]]&lt;$BA$14, 0, IF(Table9[[#This Row],[Vmin (%)]]&lt;$BA$12, 4, IF(Table9[[#This Row],[Vmin (%)]]&lt;$BA$9, 3, IF(Table9[[#This Row],[Vmin (%)]]&lt;$BA$7, 2, 0))))</f>
        <v>0</v>
      </c>
      <c r="AN156" s="20">
        <f>IF(Table9[[#This Row],[Vmin (%)]]&lt;$BA$13, 0, IF(Table9[[#This Row],[Vmin (%)]]&lt;$BA$11, 4, IF(Table9[[#This Row],[Vmin (%)]]&lt;$BA$10, 3, IF(Table9[[#This Row],[Vmin (%)]]&lt;$BA$8, 2, 0))))</f>
        <v>0</v>
      </c>
      <c r="AO156" s="76" t="str">
        <f>IF(Table9[[#This Row],[Vmin (%)]]&lt;$BA$14, "Hot", IF(Table9[[#This Row],[Vmin (%)]]&lt;$BA$12, "Warm", IF(Table9[[#This Row],[Vmin (%)]]&lt;$BA$9, "Normal", IF(Table9[[#This Row],[Vmin (%)]]&lt;$BA$7, "Cool", "Cold"))))</f>
        <v>Cold</v>
      </c>
      <c r="AP156" s="19"/>
      <c r="AQ156" s="19"/>
      <c r="AR156" s="19"/>
      <c r="AS156" s="19"/>
      <c r="AT156" s="19"/>
      <c r="AU156" s="19"/>
      <c r="AV156" s="19"/>
      <c r="AW156" s="19"/>
      <c r="AX156" s="19"/>
      <c r="AY156" s="19"/>
      <c r="AZ156" s="19"/>
      <c r="BA156" s="19"/>
      <c r="BB156" s="19"/>
      <c r="BC156" s="19"/>
      <c r="BD156" s="19"/>
      <c r="BE156" s="19"/>
      <c r="BF156" s="19"/>
      <c r="BG156" s="19"/>
      <c r="BH156" s="19"/>
      <c r="BI156" s="19"/>
      <c r="BJ156" s="19"/>
      <c r="BK156" s="19"/>
      <c r="BL156" s="19"/>
      <c r="BM156" s="19"/>
      <c r="BN156" s="19"/>
      <c r="BO156" s="19"/>
      <c r="BP156" s="19"/>
      <c r="BQ156" s="19"/>
      <c r="BR156" s="19"/>
      <c r="BS156" s="19"/>
      <c r="BT156" s="19"/>
      <c r="BU156" s="19"/>
      <c r="BV156" s="19"/>
      <c r="BW156" s="19"/>
      <c r="BX156" s="19"/>
      <c r="BY156" s="19"/>
      <c r="BZ156" s="19"/>
      <c r="CA156" s="19"/>
      <c r="CB156" s="19"/>
      <c r="CC156" s="19"/>
      <c r="CD156" s="19"/>
      <c r="CE156" s="19"/>
      <c r="CF156" s="19"/>
      <c r="CG156" s="19"/>
      <c r="CH156" s="19"/>
      <c r="CI156" s="19"/>
      <c r="CJ156" s="19"/>
      <c r="CK156" s="19"/>
      <c r="CL156" s="19"/>
      <c r="CM156" s="19"/>
      <c r="CN156" s="19"/>
      <c r="CO156" s="19"/>
      <c r="CP156" s="19"/>
      <c r="CQ156" s="19"/>
      <c r="CR156" s="19"/>
      <c r="CS156" s="19"/>
      <c r="CT156" s="19"/>
      <c r="CU156" s="19"/>
      <c r="CV156" s="19"/>
      <c r="CW156" s="19"/>
      <c r="CX156" s="19"/>
      <c r="CY156" s="19"/>
      <c r="CZ156" s="19"/>
      <c r="DA156" s="19"/>
      <c r="DB156" s="19"/>
      <c r="DC156" s="19"/>
      <c r="DD156" s="19"/>
      <c r="DE156" s="19"/>
      <c r="DF156" s="19"/>
      <c r="DG156" s="19"/>
      <c r="DH156" s="19"/>
      <c r="DI156" s="19"/>
      <c r="DJ156" s="19"/>
      <c r="DK156" s="19"/>
      <c r="DL156" s="19"/>
      <c r="DM156" s="19"/>
      <c r="DN156" s="19"/>
      <c r="DO156" s="19"/>
      <c r="DP156" s="19"/>
      <c r="DQ156" s="19"/>
      <c r="DR156" s="19"/>
      <c r="DS156" s="19"/>
      <c r="DT156" s="19"/>
      <c r="DU156" s="19"/>
      <c r="DV156" s="19"/>
      <c r="DW156" s="19"/>
      <c r="DX156" s="19"/>
      <c r="DY156" s="19"/>
      <c r="DZ156" s="19"/>
      <c r="EA156" s="19"/>
      <c r="EB156" s="19"/>
      <c r="EC156" s="19"/>
      <c r="ED156" s="19"/>
      <c r="EE156" s="19"/>
      <c r="EF156" s="19"/>
      <c r="EG156" s="19"/>
      <c r="EH156" s="19"/>
      <c r="EI156" s="19"/>
      <c r="EJ156" s="19"/>
      <c r="EK156" s="19"/>
      <c r="EL156" s="19"/>
      <c r="EM156" s="19"/>
      <c r="EN156" s="19"/>
      <c r="EO156" s="19"/>
      <c r="EP156" s="19"/>
      <c r="EQ156" s="19"/>
      <c r="ER156" s="19"/>
      <c r="ES156" s="19"/>
      <c r="ET156" s="19"/>
      <c r="EU156" s="19"/>
      <c r="EV156" s="19"/>
      <c r="EW156" s="19"/>
      <c r="EX156" s="19"/>
      <c r="EY156" s="19"/>
      <c r="EZ156" s="19"/>
      <c r="FA156" s="19"/>
      <c r="FB156" s="19"/>
      <c r="FC156" s="19"/>
      <c r="FD156" s="19"/>
      <c r="FE156" s="19"/>
      <c r="FF156" s="19"/>
      <c r="FG156" s="19"/>
      <c r="FH156" s="19"/>
      <c r="FI156" s="19"/>
      <c r="FJ156" s="19"/>
      <c r="FK156" s="19"/>
      <c r="FL156" s="19"/>
      <c r="FM156" s="19"/>
      <c r="FN156" s="19"/>
      <c r="FO156" s="19"/>
      <c r="FP156" s="19"/>
      <c r="FQ156" s="19"/>
      <c r="FR156" s="19"/>
      <c r="FS156" s="19"/>
      <c r="FT156" s="19"/>
      <c r="FU156" s="19"/>
      <c r="FV156" s="19"/>
      <c r="FW156" s="19"/>
      <c r="FX156" s="19"/>
      <c r="FY156" s="19"/>
      <c r="FZ156" s="19"/>
      <c r="GA156" s="19"/>
      <c r="GB156" s="19"/>
      <c r="GC156" s="19"/>
      <c r="GD156" s="19"/>
      <c r="GE156" s="19"/>
      <c r="GF156" s="19"/>
      <c r="GG156" s="19"/>
      <c r="GH156" s="19"/>
      <c r="GI156" s="19"/>
      <c r="GJ156" s="19"/>
      <c r="GK156" s="19"/>
      <c r="GL156" s="19"/>
      <c r="GM156" s="19"/>
      <c r="GN156" s="19"/>
      <c r="GO156" s="19"/>
      <c r="GP156" s="19"/>
      <c r="GQ156" s="19"/>
      <c r="GR156" s="19"/>
      <c r="GS156" s="19"/>
      <c r="GT156" s="19"/>
      <c r="GU156" s="19"/>
      <c r="GV156" s="19"/>
      <c r="GW156" s="19"/>
      <c r="GX156" s="19"/>
      <c r="GY156" s="19"/>
      <c r="GZ156" s="19"/>
      <c r="HA156" s="19"/>
      <c r="HB156" s="19"/>
    </row>
    <row r="157" spans="1:210" hidden="1" x14ac:dyDescent="0.25">
      <c r="A157" s="113">
        <f t="shared" si="30"/>
        <v>-27</v>
      </c>
      <c r="B157" s="163"/>
      <c r="C157" s="172" t="str">
        <f t="shared" si="25"/>
        <v>RTH at -27 °C</v>
      </c>
      <c r="D157" s="196">
        <f t="shared" si="19"/>
        <v>3.2533333333333334</v>
      </c>
      <c r="E157" s="207">
        <v>9.9999999999999997E+98</v>
      </c>
      <c r="F157" s="208">
        <v>9.9999999999999997E+98</v>
      </c>
      <c r="G157" s="209">
        <v>9.9999999999999997E+98</v>
      </c>
      <c r="H157" s="128" t="s">
        <v>18</v>
      </c>
      <c r="I157" s="29"/>
      <c r="J157" s="29">
        <v>98.68</v>
      </c>
      <c r="K157" s="29">
        <v>95.52</v>
      </c>
      <c r="L157" s="29">
        <v>92.45</v>
      </c>
      <c r="M157" s="29"/>
      <c r="N157" s="29"/>
      <c r="O157" s="29"/>
      <c r="P157" s="29"/>
      <c r="Q157" s="29"/>
      <c r="R157" s="29"/>
      <c r="S157" s="29"/>
      <c r="T157" s="29"/>
      <c r="U157" s="29"/>
      <c r="V157" s="29"/>
      <c r="W157" s="29"/>
      <c r="X157" s="29"/>
      <c r="Y157" s="30"/>
      <c r="Z157" s="18"/>
      <c r="AA157" s="19"/>
      <c r="AB157" s="19"/>
      <c r="AC157" s="20">
        <f t="shared" si="26"/>
        <v>-27</v>
      </c>
      <c r="AD157" s="20">
        <f t="shared" si="27"/>
        <v>9.9999999999999997E+98</v>
      </c>
      <c r="AE157" s="20">
        <f t="shared" si="28"/>
        <v>9.9999999999999997E+98</v>
      </c>
      <c r="AF157" s="20">
        <f t="shared" si="29"/>
        <v>9.9999999999999997E+98</v>
      </c>
      <c r="AG157" s="20">
        <f>Table9[[#This Row],[RTH(min) (kΩ)]]*RT2_TH_MIN/(RT2_TH_MIN+Table9[[#This Row],[RTH(min) (kΩ)]])</f>
        <v>30.474773623767586</v>
      </c>
      <c r="AH157" s="20">
        <f>Table9[[#This Row],[RTH(nom) (kΩ)]]*RT2_TH_S/(RT2_TH_S+Table9[[#This Row],[RTH(nom) (kΩ)]])</f>
        <v>30.505278902670256</v>
      </c>
      <c r="AI157" s="20">
        <f>Table9[[#This Row],[RTH(max) (kΩ)]]*RT2_TH_S_MAX/(RT2_TH_S_MAX+Table9[[#This Row],[RTH(max) (kΩ)]])</f>
        <v>30.535784181572922</v>
      </c>
      <c r="AJ157" s="20">
        <f>Table9[[#This Row],[RLower(min) (kΩ)]]/(Table9[[#This Row],[RLower(min) (kΩ)]]+RT1_TH_S_MAX)*100</f>
        <v>85.332443462432792</v>
      </c>
      <c r="AK157" s="20">
        <f>Table9[[#This Row],[RLower(nom) (kΩ)]]/(Table9[[#This Row],[RLower(nom) (kΩ)]]+RT1_TH_S)*100</f>
        <v>85.357458154608338</v>
      </c>
      <c r="AL157" s="20">
        <f>Table9[[#This Row],[RLower(max) (kΩ)]]/(Table9[[#This Row],[RLower(max) (kΩ)]]+RT1_TH_S_MIN)*100</f>
        <v>85.382437493546604</v>
      </c>
      <c r="AM157" s="20">
        <f>IF(Table9[[#This Row],[Vmin (%)]]&lt;$BA$14, 0, IF(Table9[[#This Row],[Vmin (%)]]&lt;$BA$12, 4, IF(Table9[[#This Row],[Vmin (%)]]&lt;$BA$9, 3, IF(Table9[[#This Row],[Vmin (%)]]&lt;$BA$7, 2, 0))))</f>
        <v>0</v>
      </c>
      <c r="AN157" s="20">
        <f>IF(Table9[[#This Row],[Vmin (%)]]&lt;$BA$13, 0, IF(Table9[[#This Row],[Vmin (%)]]&lt;$BA$11, 4, IF(Table9[[#This Row],[Vmin (%)]]&lt;$BA$10, 3, IF(Table9[[#This Row],[Vmin (%)]]&lt;$BA$8, 2, 0))))</f>
        <v>0</v>
      </c>
      <c r="AO157" s="76" t="str">
        <f>IF(Table9[[#This Row],[Vmin (%)]]&lt;$BA$14, "Hot", IF(Table9[[#This Row],[Vmin (%)]]&lt;$BA$12, "Warm", IF(Table9[[#This Row],[Vmin (%)]]&lt;$BA$9, "Normal", IF(Table9[[#This Row],[Vmin (%)]]&lt;$BA$7, "Cool", "Cold"))))</f>
        <v>Cold</v>
      </c>
      <c r="AP157" s="19"/>
      <c r="AQ157" s="19"/>
      <c r="AR157" s="19"/>
      <c r="AS157" s="19"/>
      <c r="AT157" s="19"/>
      <c r="AU157" s="19"/>
      <c r="AV157" s="19"/>
      <c r="AW157" s="19"/>
      <c r="AX157" s="19"/>
      <c r="AY157" s="19"/>
      <c r="AZ157" s="19"/>
      <c r="BA157" s="19"/>
      <c r="BB157" s="19"/>
      <c r="BC157" s="19"/>
      <c r="BD157" s="19"/>
      <c r="BE157" s="19"/>
      <c r="BF157" s="19"/>
      <c r="BG157" s="19"/>
      <c r="BH157" s="19"/>
      <c r="BI157" s="19"/>
      <c r="BJ157" s="19"/>
      <c r="BK157" s="19"/>
      <c r="BL157" s="19"/>
      <c r="BM157" s="19"/>
      <c r="BN157" s="19"/>
      <c r="BO157" s="19"/>
      <c r="BP157" s="19"/>
      <c r="BQ157" s="19"/>
      <c r="BR157" s="19"/>
      <c r="BS157" s="19"/>
      <c r="BT157" s="19"/>
      <c r="BU157" s="19"/>
      <c r="BV157" s="19"/>
      <c r="BW157" s="19"/>
      <c r="BX157" s="19"/>
      <c r="BY157" s="19"/>
      <c r="BZ157" s="19"/>
      <c r="CA157" s="19"/>
      <c r="CB157" s="19"/>
      <c r="CC157" s="19"/>
      <c r="CD157" s="19"/>
      <c r="CE157" s="19"/>
      <c r="CF157" s="19"/>
      <c r="CG157" s="19"/>
      <c r="CH157" s="19"/>
      <c r="CI157" s="19"/>
      <c r="CJ157" s="19"/>
      <c r="CK157" s="19"/>
      <c r="CL157" s="19"/>
      <c r="CM157" s="19"/>
      <c r="CN157" s="19"/>
      <c r="CO157" s="19"/>
      <c r="CP157" s="19"/>
      <c r="CQ157" s="19"/>
      <c r="CR157" s="19"/>
      <c r="CS157" s="19"/>
      <c r="CT157" s="19"/>
      <c r="CU157" s="19"/>
      <c r="CV157" s="19"/>
      <c r="CW157" s="19"/>
      <c r="CX157" s="19"/>
      <c r="CY157" s="19"/>
      <c r="CZ157" s="19"/>
      <c r="DA157" s="19"/>
      <c r="DB157" s="19"/>
      <c r="DC157" s="19"/>
      <c r="DD157" s="19"/>
      <c r="DE157" s="19"/>
      <c r="DF157" s="19"/>
      <c r="DG157" s="19"/>
      <c r="DH157" s="19"/>
      <c r="DI157" s="19"/>
      <c r="DJ157" s="19"/>
      <c r="DK157" s="19"/>
      <c r="DL157" s="19"/>
      <c r="DM157" s="19"/>
      <c r="DN157" s="19"/>
      <c r="DO157" s="19"/>
      <c r="DP157" s="19"/>
      <c r="DQ157" s="19"/>
      <c r="DR157" s="19"/>
      <c r="DS157" s="19"/>
      <c r="DT157" s="19"/>
      <c r="DU157" s="19"/>
      <c r="DV157" s="19"/>
      <c r="DW157" s="19"/>
      <c r="DX157" s="19"/>
      <c r="DY157" s="19"/>
      <c r="DZ157" s="19"/>
      <c r="EA157" s="19"/>
      <c r="EB157" s="19"/>
      <c r="EC157" s="19"/>
      <c r="ED157" s="19"/>
      <c r="EE157" s="19"/>
      <c r="EF157" s="19"/>
      <c r="EG157" s="19"/>
      <c r="EH157" s="19"/>
      <c r="EI157" s="19"/>
      <c r="EJ157" s="19"/>
      <c r="EK157" s="19"/>
      <c r="EL157" s="19"/>
      <c r="EM157" s="19"/>
      <c r="EN157" s="19"/>
      <c r="EO157" s="19"/>
      <c r="EP157" s="19"/>
      <c r="EQ157" s="19"/>
      <c r="ER157" s="19"/>
      <c r="ES157" s="19"/>
      <c r="ET157" s="19"/>
      <c r="EU157" s="19"/>
      <c r="EV157" s="19"/>
      <c r="EW157" s="19"/>
      <c r="EX157" s="19"/>
      <c r="EY157" s="19"/>
      <c r="EZ157" s="19"/>
      <c r="FA157" s="19"/>
      <c r="FB157" s="19"/>
      <c r="FC157" s="19"/>
      <c r="FD157" s="19"/>
      <c r="FE157" s="19"/>
      <c r="FF157" s="19"/>
      <c r="FG157" s="19"/>
      <c r="FH157" s="19"/>
      <c r="FI157" s="19"/>
      <c r="FJ157" s="19"/>
      <c r="FK157" s="19"/>
      <c r="FL157" s="19"/>
      <c r="FM157" s="19"/>
      <c r="FN157" s="19"/>
      <c r="FO157" s="19"/>
      <c r="FP157" s="19"/>
      <c r="FQ157" s="19"/>
      <c r="FR157" s="19"/>
      <c r="FS157" s="19"/>
      <c r="FT157" s="19"/>
      <c r="FU157" s="19"/>
      <c r="FV157" s="19"/>
      <c r="FW157" s="19"/>
      <c r="FX157" s="19"/>
      <c r="FY157" s="19"/>
      <c r="FZ157" s="19"/>
      <c r="GA157" s="19"/>
      <c r="GB157" s="19"/>
      <c r="GC157" s="19"/>
      <c r="GD157" s="19"/>
      <c r="GE157" s="19"/>
      <c r="GF157" s="19"/>
      <c r="GG157" s="19"/>
      <c r="GH157" s="19"/>
      <c r="GI157" s="19"/>
      <c r="GJ157" s="19"/>
      <c r="GK157" s="19"/>
      <c r="GL157" s="19"/>
      <c r="GM157" s="19"/>
      <c r="GN157" s="19"/>
      <c r="GO157" s="19"/>
      <c r="GP157" s="19"/>
      <c r="GQ157" s="19"/>
      <c r="GR157" s="19"/>
      <c r="GS157" s="19"/>
      <c r="GT157" s="19"/>
      <c r="GU157" s="19"/>
      <c r="GV157" s="19"/>
      <c r="GW157" s="19"/>
      <c r="GX157" s="19"/>
      <c r="GY157" s="19"/>
      <c r="GZ157" s="19"/>
      <c r="HA157" s="19"/>
      <c r="HB157" s="19"/>
    </row>
    <row r="158" spans="1:210" hidden="1" x14ac:dyDescent="0.25">
      <c r="A158" s="113">
        <f t="shared" si="30"/>
        <v>-28</v>
      </c>
      <c r="B158" s="163"/>
      <c r="C158" s="172" t="str">
        <f t="shared" si="25"/>
        <v>RTH at -28 °C</v>
      </c>
      <c r="D158" s="196">
        <f t="shared" si="19"/>
        <v>3.2966666666666669</v>
      </c>
      <c r="E158" s="207">
        <v>9.9999999999999997E+98</v>
      </c>
      <c r="F158" s="208">
        <v>9.9999999999999997E+98</v>
      </c>
      <c r="G158" s="209">
        <v>9.9999999999999997E+98</v>
      </c>
      <c r="H158" s="128" t="s">
        <v>18</v>
      </c>
      <c r="I158" s="29"/>
      <c r="J158" s="29">
        <v>103.9</v>
      </c>
      <c r="K158" s="29">
        <v>100.5</v>
      </c>
      <c r="L158" s="29">
        <v>97.2</v>
      </c>
      <c r="M158" s="29"/>
      <c r="N158" s="29"/>
      <c r="O158" s="29"/>
      <c r="P158" s="29"/>
      <c r="Q158" s="29"/>
      <c r="R158" s="29"/>
      <c r="S158" s="29"/>
      <c r="T158" s="29"/>
      <c r="U158" s="29"/>
      <c r="V158" s="29"/>
      <c r="W158" s="29"/>
      <c r="X158" s="29"/>
      <c r="Y158" s="30"/>
      <c r="Z158" s="18"/>
      <c r="AA158" s="19"/>
      <c r="AB158" s="19"/>
      <c r="AC158" s="20">
        <f t="shared" si="26"/>
        <v>-28</v>
      </c>
      <c r="AD158" s="20">
        <f t="shared" si="27"/>
        <v>9.9999999999999997E+98</v>
      </c>
      <c r="AE158" s="20">
        <f t="shared" si="28"/>
        <v>9.9999999999999997E+98</v>
      </c>
      <c r="AF158" s="20">
        <f t="shared" si="29"/>
        <v>9.9999999999999997E+98</v>
      </c>
      <c r="AG158" s="20">
        <f>Table9[[#This Row],[RTH(min) (kΩ)]]*RT2_TH_MIN/(RT2_TH_MIN+Table9[[#This Row],[RTH(min) (kΩ)]])</f>
        <v>30.474773623767586</v>
      </c>
      <c r="AH158" s="20">
        <f>Table9[[#This Row],[RTH(nom) (kΩ)]]*RT2_TH_S/(RT2_TH_S+Table9[[#This Row],[RTH(nom) (kΩ)]])</f>
        <v>30.505278902670256</v>
      </c>
      <c r="AI158" s="20">
        <f>Table9[[#This Row],[RTH(max) (kΩ)]]*RT2_TH_S_MAX/(RT2_TH_S_MAX+Table9[[#This Row],[RTH(max) (kΩ)]])</f>
        <v>30.535784181572922</v>
      </c>
      <c r="AJ158" s="20">
        <f>Table9[[#This Row],[RLower(min) (kΩ)]]/(Table9[[#This Row],[RLower(min) (kΩ)]]+RT1_TH_S_MAX)*100</f>
        <v>85.332443462432792</v>
      </c>
      <c r="AK158" s="20">
        <f>Table9[[#This Row],[RLower(nom) (kΩ)]]/(Table9[[#This Row],[RLower(nom) (kΩ)]]+RT1_TH_S)*100</f>
        <v>85.357458154608338</v>
      </c>
      <c r="AL158" s="20">
        <f>Table9[[#This Row],[RLower(max) (kΩ)]]/(Table9[[#This Row],[RLower(max) (kΩ)]]+RT1_TH_S_MIN)*100</f>
        <v>85.382437493546604</v>
      </c>
      <c r="AM158" s="20">
        <f>IF(Table9[[#This Row],[Vmin (%)]]&lt;$BA$14, 0, IF(Table9[[#This Row],[Vmin (%)]]&lt;$BA$12, 4, IF(Table9[[#This Row],[Vmin (%)]]&lt;$BA$9, 3, IF(Table9[[#This Row],[Vmin (%)]]&lt;$BA$7, 2, 0))))</f>
        <v>0</v>
      </c>
      <c r="AN158" s="20">
        <f>IF(Table9[[#This Row],[Vmin (%)]]&lt;$BA$13, 0, IF(Table9[[#This Row],[Vmin (%)]]&lt;$BA$11, 4, IF(Table9[[#This Row],[Vmin (%)]]&lt;$BA$10, 3, IF(Table9[[#This Row],[Vmin (%)]]&lt;$BA$8, 2, 0))))</f>
        <v>0</v>
      </c>
      <c r="AO158" s="76" t="str">
        <f>IF(Table9[[#This Row],[Vmin (%)]]&lt;$BA$14, "Hot", IF(Table9[[#This Row],[Vmin (%)]]&lt;$BA$12, "Warm", IF(Table9[[#This Row],[Vmin (%)]]&lt;$BA$9, "Normal", IF(Table9[[#This Row],[Vmin (%)]]&lt;$BA$7, "Cool", "Cold"))))</f>
        <v>Cold</v>
      </c>
      <c r="AP158" s="19"/>
      <c r="AQ158" s="19"/>
      <c r="AR158" s="19"/>
      <c r="AS158" s="19"/>
      <c r="AT158" s="19"/>
      <c r="AU158" s="19"/>
      <c r="AV158" s="19"/>
      <c r="AW158" s="19"/>
      <c r="AX158" s="19"/>
      <c r="AY158" s="19"/>
      <c r="AZ158" s="19"/>
      <c r="BA158" s="19"/>
      <c r="BB158" s="19"/>
      <c r="BC158" s="19"/>
      <c r="BD158" s="19"/>
      <c r="BE158" s="19"/>
      <c r="BF158" s="19"/>
      <c r="BG158" s="19"/>
      <c r="BH158" s="19"/>
      <c r="BI158" s="19"/>
      <c r="BJ158" s="19"/>
      <c r="BK158" s="19"/>
      <c r="BL158" s="19"/>
      <c r="BM158" s="19"/>
      <c r="BN158" s="19"/>
      <c r="BO158" s="19"/>
      <c r="BP158" s="19"/>
      <c r="BQ158" s="19"/>
      <c r="BR158" s="19"/>
      <c r="BS158" s="19"/>
      <c r="BT158" s="19"/>
      <c r="BU158" s="19"/>
      <c r="BV158" s="19"/>
      <c r="BW158" s="19"/>
      <c r="BX158" s="19"/>
      <c r="BY158" s="19"/>
      <c r="BZ158" s="19"/>
      <c r="CA158" s="19"/>
      <c r="CB158" s="19"/>
      <c r="CC158" s="19"/>
      <c r="CD158" s="19"/>
      <c r="CE158" s="19"/>
      <c r="CF158" s="19"/>
      <c r="CG158" s="19"/>
      <c r="CH158" s="19"/>
      <c r="CI158" s="19"/>
      <c r="CJ158" s="19"/>
      <c r="CK158" s="19"/>
      <c r="CL158" s="19"/>
      <c r="CM158" s="19"/>
      <c r="CN158" s="19"/>
      <c r="CO158" s="19"/>
      <c r="CP158" s="19"/>
      <c r="CQ158" s="19"/>
      <c r="CR158" s="19"/>
      <c r="CS158" s="19"/>
      <c r="CT158" s="19"/>
      <c r="CU158" s="19"/>
      <c r="CV158" s="19"/>
      <c r="CW158" s="19"/>
      <c r="CX158" s="19"/>
      <c r="CY158" s="19"/>
      <c r="CZ158" s="19"/>
      <c r="DA158" s="19"/>
      <c r="DB158" s="19"/>
      <c r="DC158" s="19"/>
      <c r="DD158" s="19"/>
      <c r="DE158" s="19"/>
      <c r="DF158" s="19"/>
      <c r="DG158" s="19"/>
      <c r="DH158" s="19"/>
      <c r="DI158" s="19"/>
      <c r="DJ158" s="19"/>
      <c r="DK158" s="19"/>
      <c r="DL158" s="19"/>
      <c r="DM158" s="19"/>
      <c r="DN158" s="19"/>
      <c r="DO158" s="19"/>
      <c r="DP158" s="19"/>
      <c r="DQ158" s="19"/>
      <c r="DR158" s="19"/>
      <c r="DS158" s="19"/>
      <c r="DT158" s="19"/>
      <c r="DU158" s="19"/>
      <c r="DV158" s="19"/>
      <c r="DW158" s="19"/>
      <c r="DX158" s="19"/>
      <c r="DY158" s="19"/>
      <c r="DZ158" s="19"/>
      <c r="EA158" s="19"/>
      <c r="EB158" s="19"/>
      <c r="EC158" s="19"/>
      <c r="ED158" s="19"/>
      <c r="EE158" s="19"/>
      <c r="EF158" s="19"/>
      <c r="EG158" s="19"/>
      <c r="EH158" s="19"/>
      <c r="EI158" s="19"/>
      <c r="EJ158" s="19"/>
      <c r="EK158" s="19"/>
      <c r="EL158" s="19"/>
      <c r="EM158" s="19"/>
      <c r="EN158" s="19"/>
      <c r="EO158" s="19"/>
      <c r="EP158" s="19"/>
      <c r="EQ158" s="19"/>
      <c r="ER158" s="19"/>
      <c r="ES158" s="19"/>
      <c r="ET158" s="19"/>
      <c r="EU158" s="19"/>
      <c r="EV158" s="19"/>
      <c r="EW158" s="19"/>
      <c r="EX158" s="19"/>
      <c r="EY158" s="19"/>
      <c r="EZ158" s="19"/>
      <c r="FA158" s="19"/>
      <c r="FB158" s="19"/>
      <c r="FC158" s="19"/>
      <c r="FD158" s="19"/>
      <c r="FE158" s="19"/>
      <c r="FF158" s="19"/>
      <c r="FG158" s="19"/>
      <c r="FH158" s="19"/>
      <c r="FI158" s="19"/>
      <c r="FJ158" s="19"/>
      <c r="FK158" s="19"/>
      <c r="FL158" s="19"/>
      <c r="FM158" s="19"/>
      <c r="FN158" s="19"/>
      <c r="FO158" s="19"/>
      <c r="FP158" s="19"/>
      <c r="FQ158" s="19"/>
      <c r="FR158" s="19"/>
      <c r="FS158" s="19"/>
      <c r="FT158" s="19"/>
      <c r="FU158" s="19"/>
      <c r="FV158" s="19"/>
      <c r="FW158" s="19"/>
      <c r="FX158" s="19"/>
      <c r="FY158" s="19"/>
      <c r="FZ158" s="19"/>
      <c r="GA158" s="19"/>
      <c r="GB158" s="19"/>
      <c r="GC158" s="19"/>
      <c r="GD158" s="19"/>
      <c r="GE158" s="19"/>
      <c r="GF158" s="19"/>
      <c r="GG158" s="19"/>
      <c r="GH158" s="19"/>
      <c r="GI158" s="19"/>
      <c r="GJ158" s="19"/>
      <c r="GK158" s="19"/>
      <c r="GL158" s="19"/>
      <c r="GM158" s="19"/>
      <c r="GN158" s="19"/>
      <c r="GO158" s="19"/>
      <c r="GP158" s="19"/>
      <c r="GQ158" s="19"/>
      <c r="GR158" s="19"/>
      <c r="GS158" s="19"/>
      <c r="GT158" s="19"/>
      <c r="GU158" s="19"/>
      <c r="GV158" s="19"/>
      <c r="GW158" s="19"/>
      <c r="GX158" s="19"/>
      <c r="GY158" s="19"/>
      <c r="GZ158" s="19"/>
      <c r="HA158" s="19"/>
      <c r="HB158" s="19"/>
    </row>
    <row r="159" spans="1:210" hidden="1" x14ac:dyDescent="0.25">
      <c r="A159" s="113">
        <f t="shared" si="30"/>
        <v>-29</v>
      </c>
      <c r="B159" s="163"/>
      <c r="C159" s="172" t="str">
        <f t="shared" si="25"/>
        <v>RTH at -29 °C</v>
      </c>
      <c r="D159" s="196">
        <f t="shared" si="19"/>
        <v>3.34</v>
      </c>
      <c r="E159" s="207">
        <v>9.9999999999999997E+98</v>
      </c>
      <c r="F159" s="208">
        <v>9.9999999999999997E+98</v>
      </c>
      <c r="G159" s="209">
        <v>9.9999999999999997E+98</v>
      </c>
      <c r="H159" s="128" t="s">
        <v>18</v>
      </c>
      <c r="I159" s="29"/>
      <c r="J159" s="29">
        <v>109.4</v>
      </c>
      <c r="K159" s="29">
        <v>105.7</v>
      </c>
      <c r="L159" s="29">
        <v>102.2</v>
      </c>
      <c r="M159" s="29"/>
      <c r="N159" s="29"/>
      <c r="O159" s="29"/>
      <c r="P159" s="29"/>
      <c r="Q159" s="29"/>
      <c r="R159" s="29"/>
      <c r="S159" s="29"/>
      <c r="T159" s="29"/>
      <c r="U159" s="29"/>
      <c r="V159" s="29"/>
      <c r="W159" s="29"/>
      <c r="X159" s="29"/>
      <c r="Y159" s="30"/>
      <c r="Z159" s="18"/>
      <c r="AA159" s="19"/>
      <c r="AB159" s="19"/>
      <c r="AC159" s="20">
        <f t="shared" si="26"/>
        <v>-29</v>
      </c>
      <c r="AD159" s="20">
        <f t="shared" si="27"/>
        <v>9.9999999999999997E+98</v>
      </c>
      <c r="AE159" s="20">
        <f t="shared" si="28"/>
        <v>9.9999999999999997E+98</v>
      </c>
      <c r="AF159" s="20">
        <f t="shared" si="29"/>
        <v>9.9999999999999997E+98</v>
      </c>
      <c r="AG159" s="20">
        <f>Table9[[#This Row],[RTH(min) (kΩ)]]*RT2_TH_MIN/(RT2_TH_MIN+Table9[[#This Row],[RTH(min) (kΩ)]])</f>
        <v>30.474773623767586</v>
      </c>
      <c r="AH159" s="20">
        <f>Table9[[#This Row],[RTH(nom) (kΩ)]]*RT2_TH_S/(RT2_TH_S+Table9[[#This Row],[RTH(nom) (kΩ)]])</f>
        <v>30.505278902670256</v>
      </c>
      <c r="AI159" s="20">
        <f>Table9[[#This Row],[RTH(max) (kΩ)]]*RT2_TH_S_MAX/(RT2_TH_S_MAX+Table9[[#This Row],[RTH(max) (kΩ)]])</f>
        <v>30.535784181572922</v>
      </c>
      <c r="AJ159" s="20">
        <f>Table9[[#This Row],[RLower(min) (kΩ)]]/(Table9[[#This Row],[RLower(min) (kΩ)]]+RT1_TH_S_MAX)*100</f>
        <v>85.332443462432792</v>
      </c>
      <c r="AK159" s="20">
        <f>Table9[[#This Row],[RLower(nom) (kΩ)]]/(Table9[[#This Row],[RLower(nom) (kΩ)]]+RT1_TH_S)*100</f>
        <v>85.357458154608338</v>
      </c>
      <c r="AL159" s="20">
        <f>Table9[[#This Row],[RLower(max) (kΩ)]]/(Table9[[#This Row],[RLower(max) (kΩ)]]+RT1_TH_S_MIN)*100</f>
        <v>85.382437493546604</v>
      </c>
      <c r="AM159" s="20">
        <f>IF(Table9[[#This Row],[Vmin (%)]]&lt;$BA$14, 0, IF(Table9[[#This Row],[Vmin (%)]]&lt;$BA$12, 4, IF(Table9[[#This Row],[Vmin (%)]]&lt;$BA$9, 3, IF(Table9[[#This Row],[Vmin (%)]]&lt;$BA$7, 2, 0))))</f>
        <v>0</v>
      </c>
      <c r="AN159" s="20">
        <f>IF(Table9[[#This Row],[Vmin (%)]]&lt;$BA$13, 0, IF(Table9[[#This Row],[Vmin (%)]]&lt;$BA$11, 4, IF(Table9[[#This Row],[Vmin (%)]]&lt;$BA$10, 3, IF(Table9[[#This Row],[Vmin (%)]]&lt;$BA$8, 2, 0))))</f>
        <v>0</v>
      </c>
      <c r="AO159" s="76" t="str">
        <f>IF(Table9[[#This Row],[Vmin (%)]]&lt;$BA$14, "Hot", IF(Table9[[#This Row],[Vmin (%)]]&lt;$BA$12, "Warm", IF(Table9[[#This Row],[Vmin (%)]]&lt;$BA$9, "Normal", IF(Table9[[#This Row],[Vmin (%)]]&lt;$BA$7, "Cool", "Cold"))))</f>
        <v>Cold</v>
      </c>
      <c r="AP159" s="19"/>
      <c r="AQ159" s="19"/>
      <c r="AR159" s="19"/>
      <c r="AS159" s="19"/>
      <c r="AT159" s="19"/>
      <c r="AU159" s="19"/>
      <c r="AV159" s="19"/>
      <c r="AW159" s="19"/>
      <c r="AX159" s="19"/>
      <c r="AY159" s="19"/>
      <c r="AZ159" s="19"/>
      <c r="BA159" s="19"/>
      <c r="BB159" s="19"/>
      <c r="BC159" s="19"/>
      <c r="BD159" s="19"/>
      <c r="BE159" s="19"/>
      <c r="BF159" s="19"/>
      <c r="BG159" s="19"/>
      <c r="BH159" s="19"/>
      <c r="BI159" s="19"/>
      <c r="BJ159" s="19"/>
      <c r="BK159" s="19"/>
      <c r="BL159" s="19"/>
      <c r="BM159" s="19"/>
      <c r="BN159" s="19"/>
      <c r="BO159" s="19"/>
      <c r="BP159" s="19"/>
      <c r="BQ159" s="19"/>
      <c r="BR159" s="19"/>
      <c r="BS159" s="19"/>
      <c r="BT159" s="19"/>
      <c r="BU159" s="19"/>
      <c r="BV159" s="19"/>
      <c r="BW159" s="19"/>
      <c r="BX159" s="19"/>
      <c r="BY159" s="19"/>
      <c r="BZ159" s="19"/>
      <c r="CA159" s="19"/>
      <c r="CB159" s="19"/>
      <c r="CC159" s="19"/>
      <c r="CD159" s="19"/>
      <c r="CE159" s="19"/>
      <c r="CF159" s="19"/>
      <c r="CG159" s="19"/>
      <c r="CH159" s="19"/>
      <c r="CI159" s="19"/>
      <c r="CJ159" s="19"/>
      <c r="CK159" s="19"/>
      <c r="CL159" s="19"/>
      <c r="CM159" s="19"/>
      <c r="CN159" s="19"/>
      <c r="CO159" s="19"/>
      <c r="CP159" s="19"/>
      <c r="CQ159" s="19"/>
      <c r="CR159" s="19"/>
      <c r="CS159" s="19"/>
      <c r="CT159" s="19"/>
      <c r="CU159" s="19"/>
      <c r="CV159" s="19"/>
      <c r="CW159" s="19"/>
      <c r="CX159" s="19"/>
      <c r="CY159" s="19"/>
      <c r="CZ159" s="19"/>
      <c r="DA159" s="19"/>
      <c r="DB159" s="19"/>
      <c r="DC159" s="19"/>
      <c r="DD159" s="19"/>
      <c r="DE159" s="19"/>
      <c r="DF159" s="19"/>
      <c r="DG159" s="19"/>
      <c r="DH159" s="19"/>
      <c r="DI159" s="19"/>
      <c r="DJ159" s="19"/>
      <c r="DK159" s="19"/>
      <c r="DL159" s="19"/>
      <c r="DM159" s="19"/>
      <c r="DN159" s="19"/>
      <c r="DO159" s="19"/>
      <c r="DP159" s="19"/>
      <c r="DQ159" s="19"/>
      <c r="DR159" s="19"/>
      <c r="DS159" s="19"/>
      <c r="DT159" s="19"/>
      <c r="DU159" s="19"/>
      <c r="DV159" s="19"/>
      <c r="DW159" s="19"/>
      <c r="DX159" s="19"/>
      <c r="DY159" s="19"/>
      <c r="DZ159" s="19"/>
      <c r="EA159" s="19"/>
      <c r="EB159" s="19"/>
      <c r="EC159" s="19"/>
      <c r="ED159" s="19"/>
      <c r="EE159" s="19"/>
      <c r="EF159" s="19"/>
      <c r="EG159" s="19"/>
      <c r="EH159" s="19"/>
      <c r="EI159" s="19"/>
      <c r="EJ159" s="19"/>
      <c r="EK159" s="19"/>
      <c r="EL159" s="19"/>
      <c r="EM159" s="19"/>
      <c r="EN159" s="19"/>
      <c r="EO159" s="19"/>
      <c r="EP159" s="19"/>
      <c r="EQ159" s="19"/>
      <c r="ER159" s="19"/>
      <c r="ES159" s="19"/>
      <c r="ET159" s="19"/>
      <c r="EU159" s="19"/>
      <c r="EV159" s="19"/>
      <c r="EW159" s="19"/>
      <c r="EX159" s="19"/>
      <c r="EY159" s="19"/>
      <c r="EZ159" s="19"/>
      <c r="FA159" s="19"/>
      <c r="FB159" s="19"/>
      <c r="FC159" s="19"/>
      <c r="FD159" s="19"/>
      <c r="FE159" s="19"/>
      <c r="FF159" s="19"/>
      <c r="FG159" s="19"/>
      <c r="FH159" s="19"/>
      <c r="FI159" s="19"/>
      <c r="FJ159" s="19"/>
      <c r="FK159" s="19"/>
      <c r="FL159" s="19"/>
      <c r="FM159" s="19"/>
      <c r="FN159" s="19"/>
      <c r="FO159" s="19"/>
      <c r="FP159" s="19"/>
      <c r="FQ159" s="19"/>
      <c r="FR159" s="19"/>
      <c r="FS159" s="19"/>
      <c r="FT159" s="19"/>
      <c r="FU159" s="19"/>
      <c r="FV159" s="19"/>
      <c r="FW159" s="19"/>
      <c r="FX159" s="19"/>
      <c r="FY159" s="19"/>
      <c r="FZ159" s="19"/>
      <c r="GA159" s="19"/>
      <c r="GB159" s="19"/>
      <c r="GC159" s="19"/>
      <c r="GD159" s="19"/>
      <c r="GE159" s="19"/>
      <c r="GF159" s="19"/>
      <c r="GG159" s="19"/>
      <c r="GH159" s="19"/>
      <c r="GI159" s="19"/>
      <c r="GJ159" s="19"/>
      <c r="GK159" s="19"/>
      <c r="GL159" s="19"/>
      <c r="GM159" s="19"/>
      <c r="GN159" s="19"/>
      <c r="GO159" s="19"/>
      <c r="GP159" s="19"/>
      <c r="GQ159" s="19"/>
      <c r="GR159" s="19"/>
      <c r="GS159" s="19"/>
      <c r="GT159" s="19"/>
      <c r="GU159" s="19"/>
      <c r="GV159" s="19"/>
      <c r="GW159" s="19"/>
      <c r="GX159" s="19"/>
      <c r="GY159" s="19"/>
      <c r="GZ159" s="19"/>
      <c r="HA159" s="19"/>
      <c r="HB159" s="19"/>
    </row>
    <row r="160" spans="1:210" hidden="1" x14ac:dyDescent="0.25">
      <c r="A160" s="113">
        <f t="shared" si="30"/>
        <v>-30</v>
      </c>
      <c r="B160" s="163"/>
      <c r="C160" s="172" t="str">
        <f t="shared" si="25"/>
        <v>RTH at -30 °C</v>
      </c>
      <c r="D160" s="196">
        <f t="shared" si="19"/>
        <v>3.3833333333333333</v>
      </c>
      <c r="E160" s="207">
        <v>9.9999999999999997E+98</v>
      </c>
      <c r="F160" s="208">
        <v>9.9999999999999997E+98</v>
      </c>
      <c r="G160" s="209">
        <v>9.9999999999999997E+98</v>
      </c>
      <c r="H160" s="128" t="s">
        <v>18</v>
      </c>
      <c r="I160" s="29"/>
      <c r="J160" s="29">
        <v>115.2</v>
      </c>
      <c r="K160" s="29">
        <v>111.3</v>
      </c>
      <c r="L160" s="29">
        <v>107.5</v>
      </c>
      <c r="M160" s="29"/>
      <c r="N160" s="29"/>
      <c r="O160" s="29"/>
      <c r="P160" s="29"/>
      <c r="Q160" s="29"/>
      <c r="R160" s="29"/>
      <c r="S160" s="29"/>
      <c r="T160" s="29"/>
      <c r="U160" s="29"/>
      <c r="V160" s="29"/>
      <c r="W160" s="29"/>
      <c r="X160" s="29"/>
      <c r="Y160" s="30"/>
      <c r="Z160" s="18"/>
      <c r="AA160" s="19"/>
      <c r="AB160" s="19"/>
      <c r="AC160" s="20">
        <f t="shared" si="26"/>
        <v>-30</v>
      </c>
      <c r="AD160" s="20">
        <f t="shared" si="27"/>
        <v>9.9999999999999997E+98</v>
      </c>
      <c r="AE160" s="20">
        <f t="shared" si="28"/>
        <v>9.9999999999999997E+98</v>
      </c>
      <c r="AF160" s="20">
        <f t="shared" si="29"/>
        <v>9.9999999999999997E+98</v>
      </c>
      <c r="AG160" s="20">
        <f>Table9[[#This Row],[RTH(min) (kΩ)]]*RT2_TH_MIN/(RT2_TH_MIN+Table9[[#This Row],[RTH(min) (kΩ)]])</f>
        <v>30.474773623767586</v>
      </c>
      <c r="AH160" s="20">
        <f>Table9[[#This Row],[RTH(nom) (kΩ)]]*RT2_TH_S/(RT2_TH_S+Table9[[#This Row],[RTH(nom) (kΩ)]])</f>
        <v>30.505278902670256</v>
      </c>
      <c r="AI160" s="20">
        <f>Table9[[#This Row],[RTH(max) (kΩ)]]*RT2_TH_S_MAX/(RT2_TH_S_MAX+Table9[[#This Row],[RTH(max) (kΩ)]])</f>
        <v>30.535784181572922</v>
      </c>
      <c r="AJ160" s="20">
        <f>Table9[[#This Row],[RLower(min) (kΩ)]]/(Table9[[#This Row],[RLower(min) (kΩ)]]+RT1_TH_S_MAX)*100</f>
        <v>85.332443462432792</v>
      </c>
      <c r="AK160" s="20">
        <f>Table9[[#This Row],[RLower(nom) (kΩ)]]/(Table9[[#This Row],[RLower(nom) (kΩ)]]+RT1_TH_S)*100</f>
        <v>85.357458154608338</v>
      </c>
      <c r="AL160" s="20">
        <f>Table9[[#This Row],[RLower(max) (kΩ)]]/(Table9[[#This Row],[RLower(max) (kΩ)]]+RT1_TH_S_MIN)*100</f>
        <v>85.382437493546604</v>
      </c>
      <c r="AM160" s="20">
        <f>IF(Table9[[#This Row],[Vmin (%)]]&lt;$BA$14, 0, IF(Table9[[#This Row],[Vmin (%)]]&lt;$BA$12, 4, IF(Table9[[#This Row],[Vmin (%)]]&lt;$BA$9, 3, IF(Table9[[#This Row],[Vmin (%)]]&lt;$BA$7, 2, 0))))</f>
        <v>0</v>
      </c>
      <c r="AN160" s="20">
        <f>IF(Table9[[#This Row],[Vmin (%)]]&lt;$BA$13, 0, IF(Table9[[#This Row],[Vmin (%)]]&lt;$BA$11, 4, IF(Table9[[#This Row],[Vmin (%)]]&lt;$BA$10, 3, IF(Table9[[#This Row],[Vmin (%)]]&lt;$BA$8, 2, 0))))</f>
        <v>0</v>
      </c>
      <c r="AO160" s="76" t="str">
        <f>IF(Table9[[#This Row],[Vmin (%)]]&lt;$BA$14, "Hot", IF(Table9[[#This Row],[Vmin (%)]]&lt;$BA$12, "Warm", IF(Table9[[#This Row],[Vmin (%)]]&lt;$BA$9, "Normal", IF(Table9[[#This Row],[Vmin (%)]]&lt;$BA$7, "Cool", "Cold"))))</f>
        <v>Cold</v>
      </c>
      <c r="AP160" s="19"/>
      <c r="AQ160" s="19"/>
      <c r="AR160" s="19"/>
      <c r="AS160" s="19"/>
      <c r="AT160" s="19"/>
      <c r="AU160" s="19"/>
      <c r="AV160" s="19"/>
      <c r="AW160" s="19"/>
      <c r="AX160" s="19"/>
      <c r="AY160" s="19"/>
      <c r="AZ160" s="19"/>
      <c r="BA160" s="19"/>
      <c r="BB160" s="19"/>
      <c r="BC160" s="19"/>
      <c r="BD160" s="19"/>
      <c r="BE160" s="19"/>
      <c r="BF160" s="19"/>
      <c r="BG160" s="19"/>
      <c r="BH160" s="19"/>
      <c r="BI160" s="19"/>
      <c r="BJ160" s="19"/>
      <c r="BK160" s="19"/>
      <c r="BL160" s="19"/>
      <c r="BM160" s="19"/>
      <c r="BN160" s="19"/>
      <c r="BO160" s="19"/>
      <c r="BP160" s="19"/>
      <c r="BQ160" s="19"/>
      <c r="BR160" s="19"/>
      <c r="BS160" s="19"/>
      <c r="BT160" s="19"/>
      <c r="BU160" s="19"/>
      <c r="BV160" s="19"/>
      <c r="BW160" s="19"/>
      <c r="BX160" s="19"/>
      <c r="BY160" s="19"/>
      <c r="BZ160" s="19"/>
      <c r="CA160" s="19"/>
      <c r="CB160" s="19"/>
      <c r="CC160" s="19"/>
      <c r="CD160" s="19"/>
      <c r="CE160" s="19"/>
      <c r="CF160" s="19"/>
      <c r="CG160" s="19"/>
      <c r="CH160" s="19"/>
      <c r="CI160" s="19"/>
      <c r="CJ160" s="19"/>
      <c r="CK160" s="19"/>
      <c r="CL160" s="19"/>
      <c r="CM160" s="19"/>
      <c r="CN160" s="19"/>
      <c r="CO160" s="19"/>
      <c r="CP160" s="19"/>
      <c r="CQ160" s="19"/>
      <c r="CR160" s="19"/>
      <c r="CS160" s="19"/>
      <c r="CT160" s="19"/>
      <c r="CU160" s="19"/>
      <c r="CV160" s="19"/>
      <c r="CW160" s="19"/>
      <c r="CX160" s="19"/>
      <c r="CY160" s="19"/>
      <c r="CZ160" s="19"/>
      <c r="DA160" s="19"/>
      <c r="DB160" s="19"/>
      <c r="DC160" s="19"/>
      <c r="DD160" s="19"/>
      <c r="DE160" s="19"/>
      <c r="DF160" s="19"/>
      <c r="DG160" s="19"/>
      <c r="DH160" s="19"/>
      <c r="DI160" s="19"/>
      <c r="DJ160" s="19"/>
      <c r="DK160" s="19"/>
      <c r="DL160" s="19"/>
      <c r="DM160" s="19"/>
      <c r="DN160" s="19"/>
      <c r="DO160" s="19"/>
      <c r="DP160" s="19"/>
      <c r="DQ160" s="19"/>
      <c r="DR160" s="19"/>
      <c r="DS160" s="19"/>
      <c r="DT160" s="19"/>
      <c r="DU160" s="19"/>
      <c r="DV160" s="19"/>
      <c r="DW160" s="19"/>
      <c r="DX160" s="19"/>
      <c r="DY160" s="19"/>
      <c r="DZ160" s="19"/>
      <c r="EA160" s="19"/>
      <c r="EB160" s="19"/>
      <c r="EC160" s="19"/>
      <c r="ED160" s="19"/>
      <c r="EE160" s="19"/>
      <c r="EF160" s="19"/>
      <c r="EG160" s="19"/>
      <c r="EH160" s="19"/>
      <c r="EI160" s="19"/>
      <c r="EJ160" s="19"/>
      <c r="EK160" s="19"/>
      <c r="EL160" s="19"/>
      <c r="EM160" s="19"/>
      <c r="EN160" s="19"/>
      <c r="EO160" s="19"/>
      <c r="EP160" s="19"/>
      <c r="EQ160" s="19"/>
      <c r="ER160" s="19"/>
      <c r="ES160" s="19"/>
      <c r="ET160" s="19"/>
      <c r="EU160" s="19"/>
      <c r="EV160" s="19"/>
      <c r="EW160" s="19"/>
      <c r="EX160" s="19"/>
      <c r="EY160" s="19"/>
      <c r="EZ160" s="19"/>
      <c r="FA160" s="19"/>
      <c r="FB160" s="19"/>
      <c r="FC160" s="19"/>
      <c r="FD160" s="19"/>
      <c r="FE160" s="19"/>
      <c r="FF160" s="19"/>
      <c r="FG160" s="19"/>
      <c r="FH160" s="19"/>
      <c r="FI160" s="19"/>
      <c r="FJ160" s="19"/>
      <c r="FK160" s="19"/>
      <c r="FL160" s="19"/>
      <c r="FM160" s="19"/>
      <c r="FN160" s="19"/>
      <c r="FO160" s="19"/>
      <c r="FP160" s="19"/>
      <c r="FQ160" s="19"/>
      <c r="FR160" s="19"/>
      <c r="FS160" s="19"/>
      <c r="FT160" s="19"/>
      <c r="FU160" s="19"/>
      <c r="FV160" s="19"/>
      <c r="FW160" s="19"/>
      <c r="FX160" s="19"/>
      <c r="FY160" s="19"/>
      <c r="FZ160" s="19"/>
      <c r="GA160" s="19"/>
      <c r="GB160" s="19"/>
      <c r="GC160" s="19"/>
      <c r="GD160" s="19"/>
      <c r="GE160" s="19"/>
      <c r="GF160" s="19"/>
      <c r="GG160" s="19"/>
      <c r="GH160" s="19"/>
      <c r="GI160" s="19"/>
      <c r="GJ160" s="19"/>
      <c r="GK160" s="19"/>
      <c r="GL160" s="19"/>
      <c r="GM160" s="19"/>
      <c r="GN160" s="19"/>
      <c r="GO160" s="19"/>
      <c r="GP160" s="19"/>
      <c r="GQ160" s="19"/>
      <c r="GR160" s="19"/>
      <c r="GS160" s="19"/>
      <c r="GT160" s="19"/>
      <c r="GU160" s="19"/>
      <c r="GV160" s="19"/>
      <c r="GW160" s="19"/>
      <c r="GX160" s="19"/>
      <c r="GY160" s="19"/>
      <c r="GZ160" s="19"/>
      <c r="HA160" s="19"/>
      <c r="HB160" s="19"/>
    </row>
    <row r="161" spans="1:210" hidden="1" x14ac:dyDescent="0.25">
      <c r="A161" s="113">
        <f t="shared" si="30"/>
        <v>-31</v>
      </c>
      <c r="B161" s="163"/>
      <c r="C161" s="172" t="str">
        <f t="shared" si="25"/>
        <v>RTH at -31 °C</v>
      </c>
      <c r="D161" s="196">
        <f t="shared" si="19"/>
        <v>3.4266666666666667</v>
      </c>
      <c r="E161" s="207">
        <v>9.9999999999999997E+98</v>
      </c>
      <c r="F161" s="208">
        <v>9.9999999999999997E+98</v>
      </c>
      <c r="G161" s="209">
        <v>9.9999999999999997E+98</v>
      </c>
      <c r="H161" s="128" t="s">
        <v>18</v>
      </c>
      <c r="I161" s="29"/>
      <c r="J161" s="29">
        <v>121.2</v>
      </c>
      <c r="K161" s="29">
        <v>117.1</v>
      </c>
      <c r="L161" s="29">
        <v>113.1</v>
      </c>
      <c r="M161" s="29"/>
      <c r="N161" s="29"/>
      <c r="O161" s="29"/>
      <c r="P161" s="29"/>
      <c r="Q161" s="29"/>
      <c r="R161" s="29"/>
      <c r="S161" s="29"/>
      <c r="T161" s="29"/>
      <c r="U161" s="29"/>
      <c r="V161" s="29"/>
      <c r="W161" s="29"/>
      <c r="X161" s="29"/>
      <c r="Y161" s="30"/>
      <c r="Z161" s="18"/>
      <c r="AA161" s="19"/>
      <c r="AB161" s="19"/>
      <c r="AC161" s="20">
        <f t="shared" si="26"/>
        <v>-31</v>
      </c>
      <c r="AD161" s="20">
        <f t="shared" si="27"/>
        <v>9.9999999999999997E+98</v>
      </c>
      <c r="AE161" s="20">
        <f t="shared" si="28"/>
        <v>9.9999999999999997E+98</v>
      </c>
      <c r="AF161" s="20">
        <f t="shared" si="29"/>
        <v>9.9999999999999997E+98</v>
      </c>
      <c r="AG161" s="20">
        <f>Table9[[#This Row],[RTH(min) (kΩ)]]*RT2_TH_MIN/(RT2_TH_MIN+Table9[[#This Row],[RTH(min) (kΩ)]])</f>
        <v>30.474773623767586</v>
      </c>
      <c r="AH161" s="20">
        <f>Table9[[#This Row],[RTH(nom) (kΩ)]]*RT2_TH_S/(RT2_TH_S+Table9[[#This Row],[RTH(nom) (kΩ)]])</f>
        <v>30.505278902670256</v>
      </c>
      <c r="AI161" s="20">
        <f>Table9[[#This Row],[RTH(max) (kΩ)]]*RT2_TH_S_MAX/(RT2_TH_S_MAX+Table9[[#This Row],[RTH(max) (kΩ)]])</f>
        <v>30.535784181572922</v>
      </c>
      <c r="AJ161" s="20">
        <f>Table9[[#This Row],[RLower(min) (kΩ)]]/(Table9[[#This Row],[RLower(min) (kΩ)]]+RT1_TH_S_MAX)*100</f>
        <v>85.332443462432792</v>
      </c>
      <c r="AK161" s="20">
        <f>Table9[[#This Row],[RLower(nom) (kΩ)]]/(Table9[[#This Row],[RLower(nom) (kΩ)]]+RT1_TH_S)*100</f>
        <v>85.357458154608338</v>
      </c>
      <c r="AL161" s="20">
        <f>Table9[[#This Row],[RLower(max) (kΩ)]]/(Table9[[#This Row],[RLower(max) (kΩ)]]+RT1_TH_S_MIN)*100</f>
        <v>85.382437493546604</v>
      </c>
      <c r="AM161" s="20">
        <f>IF(Table9[[#This Row],[Vmin (%)]]&lt;$BA$14, 0, IF(Table9[[#This Row],[Vmin (%)]]&lt;$BA$12, 4, IF(Table9[[#This Row],[Vmin (%)]]&lt;$BA$9, 3, IF(Table9[[#This Row],[Vmin (%)]]&lt;$BA$7, 2, 0))))</f>
        <v>0</v>
      </c>
      <c r="AN161" s="20">
        <f>IF(Table9[[#This Row],[Vmin (%)]]&lt;$BA$13, 0, IF(Table9[[#This Row],[Vmin (%)]]&lt;$BA$11, 4, IF(Table9[[#This Row],[Vmin (%)]]&lt;$BA$10, 3, IF(Table9[[#This Row],[Vmin (%)]]&lt;$BA$8, 2, 0))))</f>
        <v>0</v>
      </c>
      <c r="AO161" s="76" t="str">
        <f>IF(Table9[[#This Row],[Vmin (%)]]&lt;$BA$14, "Hot", IF(Table9[[#This Row],[Vmin (%)]]&lt;$BA$12, "Warm", IF(Table9[[#This Row],[Vmin (%)]]&lt;$BA$9, "Normal", IF(Table9[[#This Row],[Vmin (%)]]&lt;$BA$7, "Cool", "Cold"))))</f>
        <v>Cold</v>
      </c>
      <c r="AP161" s="19"/>
      <c r="AQ161" s="19"/>
      <c r="AR161" s="19"/>
      <c r="AS161" s="19"/>
      <c r="AT161" s="19"/>
      <c r="AU161" s="19"/>
      <c r="AV161" s="19"/>
      <c r="AW161" s="19"/>
      <c r="AX161" s="19"/>
      <c r="AY161" s="19"/>
      <c r="AZ161" s="19"/>
      <c r="BA161" s="19"/>
      <c r="BB161" s="19"/>
      <c r="BC161" s="19"/>
      <c r="BD161" s="19"/>
      <c r="BE161" s="19"/>
      <c r="BF161" s="19"/>
      <c r="BG161" s="19"/>
      <c r="BH161" s="19"/>
      <c r="BI161" s="19"/>
      <c r="BJ161" s="19"/>
      <c r="BK161" s="19"/>
      <c r="BL161" s="19"/>
      <c r="BM161" s="19"/>
      <c r="BN161" s="19"/>
      <c r="BO161" s="19"/>
      <c r="BP161" s="19"/>
      <c r="BQ161" s="19"/>
      <c r="BR161" s="19"/>
      <c r="BS161" s="19"/>
      <c r="BT161" s="19"/>
      <c r="BU161" s="19"/>
      <c r="BV161" s="19"/>
      <c r="BW161" s="19"/>
      <c r="BX161" s="19"/>
      <c r="BY161" s="19"/>
      <c r="BZ161" s="19"/>
      <c r="CA161" s="19"/>
      <c r="CB161" s="19"/>
      <c r="CC161" s="19"/>
      <c r="CD161" s="19"/>
      <c r="CE161" s="19"/>
      <c r="CF161" s="19"/>
      <c r="CG161" s="19"/>
      <c r="CH161" s="19"/>
      <c r="CI161" s="19"/>
      <c r="CJ161" s="19"/>
      <c r="CK161" s="19"/>
      <c r="CL161" s="19"/>
      <c r="CM161" s="19"/>
      <c r="CN161" s="19"/>
      <c r="CO161" s="19"/>
      <c r="CP161" s="19"/>
      <c r="CQ161" s="19"/>
      <c r="CR161" s="19"/>
      <c r="CS161" s="19"/>
      <c r="CT161" s="19"/>
      <c r="CU161" s="19"/>
      <c r="CV161" s="19"/>
      <c r="CW161" s="19"/>
      <c r="CX161" s="19"/>
      <c r="CY161" s="19"/>
      <c r="CZ161" s="19"/>
      <c r="DA161" s="19"/>
      <c r="DB161" s="19"/>
      <c r="DC161" s="19"/>
      <c r="DD161" s="19"/>
      <c r="DE161" s="19"/>
      <c r="DF161" s="19"/>
      <c r="DG161" s="19"/>
      <c r="DH161" s="19"/>
      <c r="DI161" s="19"/>
      <c r="DJ161" s="19"/>
      <c r="DK161" s="19"/>
      <c r="DL161" s="19"/>
      <c r="DM161" s="19"/>
      <c r="DN161" s="19"/>
      <c r="DO161" s="19"/>
      <c r="DP161" s="19"/>
      <c r="DQ161" s="19"/>
      <c r="DR161" s="19"/>
      <c r="DS161" s="19"/>
      <c r="DT161" s="19"/>
      <c r="DU161" s="19"/>
      <c r="DV161" s="19"/>
      <c r="DW161" s="19"/>
      <c r="DX161" s="19"/>
      <c r="DY161" s="19"/>
      <c r="DZ161" s="19"/>
      <c r="EA161" s="19"/>
      <c r="EB161" s="19"/>
      <c r="EC161" s="19"/>
      <c r="ED161" s="19"/>
      <c r="EE161" s="19"/>
      <c r="EF161" s="19"/>
      <c r="EG161" s="19"/>
      <c r="EH161" s="19"/>
      <c r="EI161" s="19"/>
      <c r="EJ161" s="19"/>
      <c r="EK161" s="19"/>
      <c r="EL161" s="19"/>
      <c r="EM161" s="19"/>
      <c r="EN161" s="19"/>
      <c r="EO161" s="19"/>
      <c r="EP161" s="19"/>
      <c r="EQ161" s="19"/>
      <c r="ER161" s="19"/>
      <c r="ES161" s="19"/>
      <c r="ET161" s="19"/>
      <c r="EU161" s="19"/>
      <c r="EV161" s="19"/>
      <c r="EW161" s="19"/>
      <c r="EX161" s="19"/>
      <c r="EY161" s="19"/>
      <c r="EZ161" s="19"/>
      <c r="FA161" s="19"/>
      <c r="FB161" s="19"/>
      <c r="FC161" s="19"/>
      <c r="FD161" s="19"/>
      <c r="FE161" s="19"/>
      <c r="FF161" s="19"/>
      <c r="FG161" s="19"/>
      <c r="FH161" s="19"/>
      <c r="FI161" s="19"/>
      <c r="FJ161" s="19"/>
      <c r="FK161" s="19"/>
      <c r="FL161" s="19"/>
      <c r="FM161" s="19"/>
      <c r="FN161" s="19"/>
      <c r="FO161" s="19"/>
      <c r="FP161" s="19"/>
      <c r="FQ161" s="19"/>
      <c r="FR161" s="19"/>
      <c r="FS161" s="19"/>
      <c r="FT161" s="19"/>
      <c r="FU161" s="19"/>
      <c r="FV161" s="19"/>
      <c r="FW161" s="19"/>
      <c r="FX161" s="19"/>
      <c r="FY161" s="19"/>
      <c r="FZ161" s="19"/>
      <c r="GA161" s="19"/>
      <c r="GB161" s="19"/>
      <c r="GC161" s="19"/>
      <c r="GD161" s="19"/>
      <c r="GE161" s="19"/>
      <c r="GF161" s="19"/>
      <c r="GG161" s="19"/>
      <c r="GH161" s="19"/>
      <c r="GI161" s="19"/>
      <c r="GJ161" s="19"/>
      <c r="GK161" s="19"/>
      <c r="GL161" s="19"/>
      <c r="GM161" s="19"/>
      <c r="GN161" s="19"/>
      <c r="GO161" s="19"/>
      <c r="GP161" s="19"/>
      <c r="GQ161" s="19"/>
      <c r="GR161" s="19"/>
      <c r="GS161" s="19"/>
      <c r="GT161" s="19"/>
      <c r="GU161" s="19"/>
      <c r="GV161" s="19"/>
      <c r="GW161" s="19"/>
      <c r="GX161" s="19"/>
      <c r="GY161" s="19"/>
      <c r="GZ161" s="19"/>
      <c r="HA161" s="19"/>
      <c r="HB161" s="19"/>
    </row>
    <row r="162" spans="1:210" hidden="1" x14ac:dyDescent="0.25">
      <c r="A162" s="113">
        <f t="shared" si="30"/>
        <v>-32</v>
      </c>
      <c r="B162" s="163"/>
      <c r="C162" s="172" t="str">
        <f t="shared" si="25"/>
        <v>RTH at -32 °C</v>
      </c>
      <c r="D162" s="196">
        <f t="shared" si="19"/>
        <v>3.47</v>
      </c>
      <c r="E162" s="207">
        <v>9.9999999999999997E+98</v>
      </c>
      <c r="F162" s="208">
        <v>9.9999999999999997E+98</v>
      </c>
      <c r="G162" s="209">
        <v>9.9999999999999997E+98</v>
      </c>
      <c r="H162" s="128" t="s">
        <v>18</v>
      </c>
      <c r="I162" s="29"/>
      <c r="J162" s="29">
        <v>127.7</v>
      </c>
      <c r="K162" s="29">
        <v>123.3</v>
      </c>
      <c r="L162" s="29">
        <v>119</v>
      </c>
      <c r="M162" s="29"/>
      <c r="N162" s="29"/>
      <c r="O162" s="29"/>
      <c r="P162" s="29"/>
      <c r="Q162" s="29"/>
      <c r="R162" s="29"/>
      <c r="S162" s="29"/>
      <c r="T162" s="29"/>
      <c r="U162" s="29"/>
      <c r="V162" s="29"/>
      <c r="W162" s="29"/>
      <c r="X162" s="29"/>
      <c r="Y162" s="30"/>
      <c r="Z162" s="18"/>
      <c r="AA162" s="19"/>
      <c r="AB162" s="19"/>
      <c r="AC162" s="20">
        <f t="shared" si="26"/>
        <v>-32</v>
      </c>
      <c r="AD162" s="20">
        <f t="shared" si="27"/>
        <v>9.9999999999999997E+98</v>
      </c>
      <c r="AE162" s="20">
        <f t="shared" si="28"/>
        <v>9.9999999999999997E+98</v>
      </c>
      <c r="AF162" s="20">
        <f t="shared" si="29"/>
        <v>9.9999999999999997E+98</v>
      </c>
      <c r="AG162" s="20">
        <f>Table9[[#This Row],[RTH(min) (kΩ)]]*RT2_TH_MIN/(RT2_TH_MIN+Table9[[#This Row],[RTH(min) (kΩ)]])</f>
        <v>30.474773623767586</v>
      </c>
      <c r="AH162" s="20">
        <f>Table9[[#This Row],[RTH(nom) (kΩ)]]*RT2_TH_S/(RT2_TH_S+Table9[[#This Row],[RTH(nom) (kΩ)]])</f>
        <v>30.505278902670256</v>
      </c>
      <c r="AI162" s="20">
        <f>Table9[[#This Row],[RTH(max) (kΩ)]]*RT2_TH_S_MAX/(RT2_TH_S_MAX+Table9[[#This Row],[RTH(max) (kΩ)]])</f>
        <v>30.535784181572922</v>
      </c>
      <c r="AJ162" s="20">
        <f>Table9[[#This Row],[RLower(min) (kΩ)]]/(Table9[[#This Row],[RLower(min) (kΩ)]]+RT1_TH_S_MAX)*100</f>
        <v>85.332443462432792</v>
      </c>
      <c r="AK162" s="20">
        <f>Table9[[#This Row],[RLower(nom) (kΩ)]]/(Table9[[#This Row],[RLower(nom) (kΩ)]]+RT1_TH_S)*100</f>
        <v>85.357458154608338</v>
      </c>
      <c r="AL162" s="20">
        <f>Table9[[#This Row],[RLower(max) (kΩ)]]/(Table9[[#This Row],[RLower(max) (kΩ)]]+RT1_TH_S_MIN)*100</f>
        <v>85.382437493546604</v>
      </c>
      <c r="AM162" s="20">
        <f>IF(Table9[[#This Row],[Vmin (%)]]&lt;$BA$14, 0, IF(Table9[[#This Row],[Vmin (%)]]&lt;$BA$12, 4, IF(Table9[[#This Row],[Vmin (%)]]&lt;$BA$9, 3, IF(Table9[[#This Row],[Vmin (%)]]&lt;$BA$7, 2, 0))))</f>
        <v>0</v>
      </c>
      <c r="AN162" s="20">
        <f>IF(Table9[[#This Row],[Vmin (%)]]&lt;$BA$13, 0, IF(Table9[[#This Row],[Vmin (%)]]&lt;$BA$11, 4, IF(Table9[[#This Row],[Vmin (%)]]&lt;$BA$10, 3, IF(Table9[[#This Row],[Vmin (%)]]&lt;$BA$8, 2, 0))))</f>
        <v>0</v>
      </c>
      <c r="AO162" s="76" t="str">
        <f>IF(Table9[[#This Row],[Vmin (%)]]&lt;$BA$14, "Hot", IF(Table9[[#This Row],[Vmin (%)]]&lt;$BA$12, "Warm", IF(Table9[[#This Row],[Vmin (%)]]&lt;$BA$9, "Normal", IF(Table9[[#This Row],[Vmin (%)]]&lt;$BA$7, "Cool", "Cold"))))</f>
        <v>Cold</v>
      </c>
      <c r="AP162" s="19"/>
      <c r="AQ162" s="19"/>
      <c r="AR162" s="19"/>
      <c r="AS162" s="19"/>
      <c r="AT162" s="19"/>
      <c r="AU162" s="19"/>
      <c r="AV162" s="19"/>
      <c r="AW162" s="19"/>
      <c r="AX162" s="19"/>
      <c r="AY162" s="19"/>
      <c r="AZ162" s="19"/>
      <c r="BA162" s="19"/>
      <c r="BB162" s="19"/>
      <c r="BC162" s="19"/>
      <c r="BD162" s="19"/>
      <c r="BE162" s="19"/>
      <c r="BF162" s="19"/>
      <c r="BG162" s="19"/>
      <c r="BH162" s="19"/>
      <c r="BI162" s="19"/>
      <c r="BJ162" s="19"/>
      <c r="BK162" s="19"/>
      <c r="BL162" s="19"/>
      <c r="BM162" s="19"/>
      <c r="BN162" s="19"/>
      <c r="BO162" s="19"/>
      <c r="BP162" s="19"/>
      <c r="BQ162" s="19"/>
      <c r="BR162" s="19"/>
      <c r="BS162" s="19"/>
      <c r="BT162" s="19"/>
      <c r="BU162" s="19"/>
      <c r="BV162" s="19"/>
      <c r="BW162" s="19"/>
      <c r="BX162" s="19"/>
      <c r="BY162" s="19"/>
      <c r="BZ162" s="19"/>
      <c r="CA162" s="19"/>
      <c r="CB162" s="19"/>
      <c r="CC162" s="19"/>
      <c r="CD162" s="19"/>
      <c r="CE162" s="19"/>
      <c r="CF162" s="19"/>
      <c r="CG162" s="19"/>
      <c r="CH162" s="19"/>
      <c r="CI162" s="19"/>
      <c r="CJ162" s="19"/>
      <c r="CK162" s="19"/>
      <c r="CL162" s="19"/>
      <c r="CM162" s="19"/>
      <c r="CN162" s="19"/>
      <c r="CO162" s="19"/>
      <c r="CP162" s="19"/>
      <c r="CQ162" s="19"/>
      <c r="CR162" s="19"/>
      <c r="CS162" s="19"/>
      <c r="CT162" s="19"/>
      <c r="CU162" s="19"/>
      <c r="CV162" s="19"/>
      <c r="CW162" s="19"/>
      <c r="CX162" s="19"/>
      <c r="CY162" s="19"/>
      <c r="CZ162" s="19"/>
      <c r="DA162" s="19"/>
      <c r="DB162" s="19"/>
      <c r="DC162" s="19"/>
      <c r="DD162" s="19"/>
      <c r="DE162" s="19"/>
      <c r="DF162" s="19"/>
      <c r="DG162" s="19"/>
      <c r="DH162" s="19"/>
      <c r="DI162" s="19"/>
      <c r="DJ162" s="19"/>
      <c r="DK162" s="19"/>
      <c r="DL162" s="19"/>
      <c r="DM162" s="19"/>
      <c r="DN162" s="19"/>
      <c r="DO162" s="19"/>
      <c r="DP162" s="19"/>
      <c r="DQ162" s="19"/>
      <c r="DR162" s="19"/>
      <c r="DS162" s="19"/>
      <c r="DT162" s="19"/>
      <c r="DU162" s="19"/>
      <c r="DV162" s="19"/>
      <c r="DW162" s="19"/>
      <c r="DX162" s="19"/>
      <c r="DY162" s="19"/>
      <c r="DZ162" s="19"/>
      <c r="EA162" s="19"/>
      <c r="EB162" s="19"/>
      <c r="EC162" s="19"/>
      <c r="ED162" s="19"/>
      <c r="EE162" s="19"/>
      <c r="EF162" s="19"/>
      <c r="EG162" s="19"/>
      <c r="EH162" s="19"/>
      <c r="EI162" s="19"/>
      <c r="EJ162" s="19"/>
      <c r="EK162" s="19"/>
      <c r="EL162" s="19"/>
      <c r="EM162" s="19"/>
      <c r="EN162" s="19"/>
      <c r="EO162" s="19"/>
      <c r="EP162" s="19"/>
      <c r="EQ162" s="19"/>
      <c r="ER162" s="19"/>
      <c r="ES162" s="19"/>
      <c r="ET162" s="19"/>
      <c r="EU162" s="19"/>
      <c r="EV162" s="19"/>
      <c r="EW162" s="19"/>
      <c r="EX162" s="19"/>
      <c r="EY162" s="19"/>
      <c r="EZ162" s="19"/>
      <c r="FA162" s="19"/>
      <c r="FB162" s="19"/>
      <c r="FC162" s="19"/>
      <c r="FD162" s="19"/>
      <c r="FE162" s="19"/>
      <c r="FF162" s="19"/>
      <c r="FG162" s="19"/>
      <c r="FH162" s="19"/>
      <c r="FI162" s="19"/>
      <c r="FJ162" s="19"/>
      <c r="FK162" s="19"/>
      <c r="FL162" s="19"/>
      <c r="FM162" s="19"/>
      <c r="FN162" s="19"/>
      <c r="FO162" s="19"/>
      <c r="FP162" s="19"/>
      <c r="FQ162" s="19"/>
      <c r="FR162" s="19"/>
      <c r="FS162" s="19"/>
      <c r="FT162" s="19"/>
      <c r="FU162" s="19"/>
      <c r="FV162" s="19"/>
      <c r="FW162" s="19"/>
      <c r="FX162" s="19"/>
      <c r="FY162" s="19"/>
      <c r="FZ162" s="19"/>
      <c r="GA162" s="19"/>
      <c r="GB162" s="19"/>
      <c r="GC162" s="19"/>
      <c r="GD162" s="19"/>
      <c r="GE162" s="19"/>
      <c r="GF162" s="19"/>
      <c r="GG162" s="19"/>
      <c r="GH162" s="19"/>
      <c r="GI162" s="19"/>
      <c r="GJ162" s="19"/>
      <c r="GK162" s="19"/>
      <c r="GL162" s="19"/>
      <c r="GM162" s="19"/>
      <c r="GN162" s="19"/>
      <c r="GO162" s="19"/>
      <c r="GP162" s="19"/>
      <c r="GQ162" s="19"/>
      <c r="GR162" s="19"/>
      <c r="GS162" s="19"/>
      <c r="GT162" s="19"/>
      <c r="GU162" s="19"/>
      <c r="GV162" s="19"/>
      <c r="GW162" s="19"/>
      <c r="GX162" s="19"/>
      <c r="GY162" s="19"/>
      <c r="GZ162" s="19"/>
      <c r="HA162" s="19"/>
      <c r="HB162" s="19"/>
    </row>
    <row r="163" spans="1:210" hidden="1" x14ac:dyDescent="0.25">
      <c r="A163" s="113">
        <f t="shared" si="30"/>
        <v>-33</v>
      </c>
      <c r="B163" s="163"/>
      <c r="C163" s="172" t="str">
        <f t="shared" si="25"/>
        <v>RTH at -33 °C</v>
      </c>
      <c r="D163" s="196">
        <f t="shared" si="19"/>
        <v>3.5133333333333332</v>
      </c>
      <c r="E163" s="207">
        <v>9.9999999999999997E+98</v>
      </c>
      <c r="F163" s="208">
        <v>9.9999999999999997E+98</v>
      </c>
      <c r="G163" s="209">
        <v>9.9999999999999997E+98</v>
      </c>
      <c r="H163" s="128" t="s">
        <v>18</v>
      </c>
      <c r="I163" s="29"/>
      <c r="J163" s="29">
        <v>134.5</v>
      </c>
      <c r="K163" s="29">
        <v>129.80000000000001</v>
      </c>
      <c r="L163" s="29">
        <v>125.2</v>
      </c>
      <c r="M163" s="29"/>
      <c r="N163" s="29"/>
      <c r="O163" s="29"/>
      <c r="P163" s="29"/>
      <c r="Q163" s="29"/>
      <c r="R163" s="29"/>
      <c r="S163" s="29"/>
      <c r="T163" s="29"/>
      <c r="U163" s="29"/>
      <c r="V163" s="29"/>
      <c r="W163" s="29"/>
      <c r="X163" s="29"/>
      <c r="Y163" s="30"/>
      <c r="Z163" s="18"/>
      <c r="AA163" s="19"/>
      <c r="AB163" s="19"/>
      <c r="AC163" s="20">
        <f t="shared" si="26"/>
        <v>-33</v>
      </c>
      <c r="AD163" s="20">
        <f t="shared" si="27"/>
        <v>9.9999999999999997E+98</v>
      </c>
      <c r="AE163" s="20">
        <f t="shared" si="28"/>
        <v>9.9999999999999997E+98</v>
      </c>
      <c r="AF163" s="20">
        <f t="shared" si="29"/>
        <v>9.9999999999999997E+98</v>
      </c>
      <c r="AG163" s="20">
        <f>Table9[[#This Row],[RTH(min) (kΩ)]]*RT2_TH_MIN/(RT2_TH_MIN+Table9[[#This Row],[RTH(min) (kΩ)]])</f>
        <v>30.474773623767586</v>
      </c>
      <c r="AH163" s="20">
        <f>Table9[[#This Row],[RTH(nom) (kΩ)]]*RT2_TH_S/(RT2_TH_S+Table9[[#This Row],[RTH(nom) (kΩ)]])</f>
        <v>30.505278902670256</v>
      </c>
      <c r="AI163" s="20">
        <f>Table9[[#This Row],[RTH(max) (kΩ)]]*RT2_TH_S_MAX/(RT2_TH_S_MAX+Table9[[#This Row],[RTH(max) (kΩ)]])</f>
        <v>30.535784181572922</v>
      </c>
      <c r="AJ163" s="20">
        <f>Table9[[#This Row],[RLower(min) (kΩ)]]/(Table9[[#This Row],[RLower(min) (kΩ)]]+RT1_TH_S_MAX)*100</f>
        <v>85.332443462432792</v>
      </c>
      <c r="AK163" s="20">
        <f>Table9[[#This Row],[RLower(nom) (kΩ)]]/(Table9[[#This Row],[RLower(nom) (kΩ)]]+RT1_TH_S)*100</f>
        <v>85.357458154608338</v>
      </c>
      <c r="AL163" s="20">
        <f>Table9[[#This Row],[RLower(max) (kΩ)]]/(Table9[[#This Row],[RLower(max) (kΩ)]]+RT1_TH_S_MIN)*100</f>
        <v>85.382437493546604</v>
      </c>
      <c r="AM163" s="20">
        <f>IF(Table9[[#This Row],[Vmin (%)]]&lt;$BA$14, 0, IF(Table9[[#This Row],[Vmin (%)]]&lt;$BA$12, 4, IF(Table9[[#This Row],[Vmin (%)]]&lt;$BA$9, 3, IF(Table9[[#This Row],[Vmin (%)]]&lt;$BA$7, 2, 0))))</f>
        <v>0</v>
      </c>
      <c r="AN163" s="20">
        <f>IF(Table9[[#This Row],[Vmin (%)]]&lt;$BA$13, 0, IF(Table9[[#This Row],[Vmin (%)]]&lt;$BA$11, 4, IF(Table9[[#This Row],[Vmin (%)]]&lt;$BA$10, 3, IF(Table9[[#This Row],[Vmin (%)]]&lt;$BA$8, 2, 0))))</f>
        <v>0</v>
      </c>
      <c r="AO163" s="76" t="str">
        <f>IF(Table9[[#This Row],[Vmin (%)]]&lt;$BA$14, "Hot", IF(Table9[[#This Row],[Vmin (%)]]&lt;$BA$12, "Warm", IF(Table9[[#This Row],[Vmin (%)]]&lt;$BA$9, "Normal", IF(Table9[[#This Row],[Vmin (%)]]&lt;$BA$7, "Cool", "Cold"))))</f>
        <v>Cold</v>
      </c>
      <c r="AP163" s="19"/>
      <c r="AQ163" s="19"/>
      <c r="AR163" s="19"/>
      <c r="AS163" s="19"/>
      <c r="AT163" s="19"/>
      <c r="AU163" s="19"/>
      <c r="AV163" s="19"/>
      <c r="AW163" s="19"/>
      <c r="AX163" s="19"/>
      <c r="AY163" s="19"/>
      <c r="AZ163" s="19"/>
      <c r="BA163" s="19"/>
      <c r="BB163" s="19"/>
      <c r="BC163" s="19"/>
      <c r="BD163" s="19"/>
      <c r="BE163" s="19"/>
      <c r="BF163" s="19"/>
      <c r="BG163" s="19"/>
      <c r="BH163" s="19"/>
      <c r="BI163" s="19"/>
      <c r="BJ163" s="19"/>
      <c r="BK163" s="19"/>
      <c r="BL163" s="19"/>
      <c r="BM163" s="19"/>
      <c r="BN163" s="19"/>
      <c r="BO163" s="19"/>
      <c r="BP163" s="19"/>
      <c r="BQ163" s="19"/>
      <c r="BR163" s="19"/>
      <c r="BS163" s="19"/>
      <c r="BT163" s="19"/>
      <c r="BU163" s="19"/>
      <c r="BV163" s="19"/>
      <c r="BW163" s="19"/>
      <c r="BX163" s="19"/>
      <c r="BY163" s="19"/>
      <c r="BZ163" s="19"/>
      <c r="CA163" s="19"/>
      <c r="CB163" s="19"/>
      <c r="CC163" s="19"/>
      <c r="CD163" s="19"/>
      <c r="CE163" s="19"/>
      <c r="CF163" s="19"/>
      <c r="CG163" s="19"/>
      <c r="CH163" s="19"/>
      <c r="CI163" s="19"/>
      <c r="CJ163" s="19"/>
      <c r="CK163" s="19"/>
      <c r="CL163" s="19"/>
      <c r="CM163" s="19"/>
      <c r="CN163" s="19"/>
      <c r="CO163" s="19"/>
      <c r="CP163" s="19"/>
      <c r="CQ163" s="19"/>
      <c r="CR163" s="19"/>
      <c r="CS163" s="19"/>
      <c r="CT163" s="19"/>
      <c r="CU163" s="19"/>
      <c r="CV163" s="19"/>
      <c r="CW163" s="19"/>
      <c r="CX163" s="19"/>
      <c r="CY163" s="19"/>
      <c r="CZ163" s="19"/>
      <c r="DA163" s="19"/>
      <c r="DB163" s="19"/>
      <c r="DC163" s="19"/>
      <c r="DD163" s="19"/>
      <c r="DE163" s="19"/>
      <c r="DF163" s="19"/>
      <c r="DG163" s="19"/>
      <c r="DH163" s="19"/>
      <c r="DI163" s="19"/>
      <c r="DJ163" s="19"/>
      <c r="DK163" s="19"/>
      <c r="DL163" s="19"/>
      <c r="DM163" s="19"/>
      <c r="DN163" s="19"/>
      <c r="DO163" s="19"/>
      <c r="DP163" s="19"/>
      <c r="DQ163" s="19"/>
      <c r="DR163" s="19"/>
      <c r="DS163" s="19"/>
      <c r="DT163" s="19"/>
      <c r="DU163" s="19"/>
      <c r="DV163" s="19"/>
      <c r="DW163" s="19"/>
      <c r="DX163" s="19"/>
      <c r="DY163" s="19"/>
      <c r="DZ163" s="19"/>
      <c r="EA163" s="19"/>
      <c r="EB163" s="19"/>
      <c r="EC163" s="19"/>
      <c r="ED163" s="19"/>
      <c r="EE163" s="19"/>
      <c r="EF163" s="19"/>
      <c r="EG163" s="19"/>
      <c r="EH163" s="19"/>
      <c r="EI163" s="19"/>
      <c r="EJ163" s="19"/>
      <c r="EK163" s="19"/>
      <c r="EL163" s="19"/>
      <c r="EM163" s="19"/>
      <c r="EN163" s="19"/>
      <c r="EO163" s="19"/>
      <c r="EP163" s="19"/>
      <c r="EQ163" s="19"/>
      <c r="ER163" s="19"/>
      <c r="ES163" s="19"/>
      <c r="ET163" s="19"/>
      <c r="EU163" s="19"/>
      <c r="EV163" s="19"/>
      <c r="EW163" s="19"/>
      <c r="EX163" s="19"/>
      <c r="EY163" s="19"/>
      <c r="EZ163" s="19"/>
      <c r="FA163" s="19"/>
      <c r="FB163" s="19"/>
      <c r="FC163" s="19"/>
      <c r="FD163" s="19"/>
      <c r="FE163" s="19"/>
      <c r="FF163" s="19"/>
      <c r="FG163" s="19"/>
      <c r="FH163" s="19"/>
      <c r="FI163" s="19"/>
      <c r="FJ163" s="19"/>
      <c r="FK163" s="19"/>
      <c r="FL163" s="19"/>
      <c r="FM163" s="19"/>
      <c r="FN163" s="19"/>
      <c r="FO163" s="19"/>
      <c r="FP163" s="19"/>
      <c r="FQ163" s="19"/>
      <c r="FR163" s="19"/>
      <c r="FS163" s="19"/>
      <c r="FT163" s="19"/>
      <c r="FU163" s="19"/>
      <c r="FV163" s="19"/>
      <c r="FW163" s="19"/>
      <c r="FX163" s="19"/>
      <c r="FY163" s="19"/>
      <c r="FZ163" s="19"/>
      <c r="GA163" s="19"/>
      <c r="GB163" s="19"/>
      <c r="GC163" s="19"/>
      <c r="GD163" s="19"/>
      <c r="GE163" s="19"/>
      <c r="GF163" s="19"/>
      <c r="GG163" s="19"/>
      <c r="GH163" s="19"/>
      <c r="GI163" s="19"/>
      <c r="GJ163" s="19"/>
      <c r="GK163" s="19"/>
      <c r="GL163" s="19"/>
      <c r="GM163" s="19"/>
      <c r="GN163" s="19"/>
      <c r="GO163" s="19"/>
      <c r="GP163" s="19"/>
      <c r="GQ163" s="19"/>
      <c r="GR163" s="19"/>
      <c r="GS163" s="19"/>
      <c r="GT163" s="19"/>
      <c r="GU163" s="19"/>
      <c r="GV163" s="19"/>
      <c r="GW163" s="19"/>
      <c r="GX163" s="19"/>
      <c r="GY163" s="19"/>
      <c r="GZ163" s="19"/>
      <c r="HA163" s="19"/>
      <c r="HB163" s="19"/>
    </row>
    <row r="164" spans="1:210" hidden="1" x14ac:dyDescent="0.25">
      <c r="A164" s="113">
        <f t="shared" si="30"/>
        <v>-34</v>
      </c>
      <c r="B164" s="163"/>
      <c r="C164" s="172" t="str">
        <f t="shared" si="25"/>
        <v>RTH at -34 °C</v>
      </c>
      <c r="D164" s="196">
        <f t="shared" si="19"/>
        <v>3.5566666666666666</v>
      </c>
      <c r="E164" s="207">
        <v>9.9999999999999997E+98</v>
      </c>
      <c r="F164" s="208">
        <v>9.9999999999999997E+98</v>
      </c>
      <c r="G164" s="209">
        <v>9.9999999999999997E+98</v>
      </c>
      <c r="H164" s="128" t="s">
        <v>18</v>
      </c>
      <c r="I164" s="29"/>
      <c r="J164" s="29">
        <v>141.69999999999999</v>
      </c>
      <c r="K164" s="29">
        <v>136.69999999999999</v>
      </c>
      <c r="L164" s="29">
        <v>131.80000000000001</v>
      </c>
      <c r="M164" s="29"/>
      <c r="N164" s="29"/>
      <c r="O164" s="29"/>
      <c r="P164" s="29"/>
      <c r="Q164" s="29"/>
      <c r="R164" s="29"/>
      <c r="S164" s="29"/>
      <c r="T164" s="29"/>
      <c r="U164" s="29"/>
      <c r="V164" s="29"/>
      <c r="W164" s="29"/>
      <c r="X164" s="29"/>
      <c r="Y164" s="30"/>
      <c r="Z164" s="18"/>
      <c r="AA164" s="19"/>
      <c r="AB164" s="19"/>
      <c r="AC164" s="20">
        <f t="shared" si="26"/>
        <v>-34</v>
      </c>
      <c r="AD164" s="20">
        <f t="shared" si="27"/>
        <v>9.9999999999999997E+98</v>
      </c>
      <c r="AE164" s="20">
        <f t="shared" si="28"/>
        <v>9.9999999999999997E+98</v>
      </c>
      <c r="AF164" s="20">
        <f t="shared" si="29"/>
        <v>9.9999999999999997E+98</v>
      </c>
      <c r="AG164" s="20">
        <f>Table9[[#This Row],[RTH(min) (kΩ)]]*RT2_TH_MIN/(RT2_TH_MIN+Table9[[#This Row],[RTH(min) (kΩ)]])</f>
        <v>30.474773623767586</v>
      </c>
      <c r="AH164" s="20">
        <f>Table9[[#This Row],[RTH(nom) (kΩ)]]*RT2_TH_S/(RT2_TH_S+Table9[[#This Row],[RTH(nom) (kΩ)]])</f>
        <v>30.505278902670256</v>
      </c>
      <c r="AI164" s="20">
        <f>Table9[[#This Row],[RTH(max) (kΩ)]]*RT2_TH_S_MAX/(RT2_TH_S_MAX+Table9[[#This Row],[RTH(max) (kΩ)]])</f>
        <v>30.535784181572922</v>
      </c>
      <c r="AJ164" s="20">
        <f>Table9[[#This Row],[RLower(min) (kΩ)]]/(Table9[[#This Row],[RLower(min) (kΩ)]]+RT1_TH_S_MAX)*100</f>
        <v>85.332443462432792</v>
      </c>
      <c r="AK164" s="20">
        <f>Table9[[#This Row],[RLower(nom) (kΩ)]]/(Table9[[#This Row],[RLower(nom) (kΩ)]]+RT1_TH_S)*100</f>
        <v>85.357458154608338</v>
      </c>
      <c r="AL164" s="20">
        <f>Table9[[#This Row],[RLower(max) (kΩ)]]/(Table9[[#This Row],[RLower(max) (kΩ)]]+RT1_TH_S_MIN)*100</f>
        <v>85.382437493546604</v>
      </c>
      <c r="AM164" s="20">
        <f>IF(Table9[[#This Row],[Vmin (%)]]&lt;$BA$14, 0, IF(Table9[[#This Row],[Vmin (%)]]&lt;$BA$12, 4, IF(Table9[[#This Row],[Vmin (%)]]&lt;$BA$9, 3, IF(Table9[[#This Row],[Vmin (%)]]&lt;$BA$7, 2, 0))))</f>
        <v>0</v>
      </c>
      <c r="AN164" s="20">
        <f>IF(Table9[[#This Row],[Vmin (%)]]&lt;$BA$13, 0, IF(Table9[[#This Row],[Vmin (%)]]&lt;$BA$11, 4, IF(Table9[[#This Row],[Vmin (%)]]&lt;$BA$10, 3, IF(Table9[[#This Row],[Vmin (%)]]&lt;$BA$8, 2, 0))))</f>
        <v>0</v>
      </c>
      <c r="AO164" s="76" t="str">
        <f>IF(Table9[[#This Row],[Vmin (%)]]&lt;$BA$14, "Hot", IF(Table9[[#This Row],[Vmin (%)]]&lt;$BA$12, "Warm", IF(Table9[[#This Row],[Vmin (%)]]&lt;$BA$9, "Normal", IF(Table9[[#This Row],[Vmin (%)]]&lt;$BA$7, "Cool", "Cold"))))</f>
        <v>Cold</v>
      </c>
      <c r="AP164" s="19"/>
      <c r="AQ164" s="19"/>
      <c r="AR164" s="19"/>
      <c r="AS164" s="19"/>
      <c r="AT164" s="19"/>
      <c r="AU164" s="19"/>
      <c r="AV164" s="19"/>
      <c r="AW164" s="19"/>
      <c r="AX164" s="19"/>
      <c r="AY164" s="19"/>
      <c r="AZ164" s="19"/>
      <c r="BA164" s="19"/>
      <c r="BB164" s="19"/>
      <c r="BC164" s="19"/>
      <c r="BD164" s="19"/>
      <c r="BE164" s="19"/>
      <c r="BF164" s="19"/>
      <c r="BG164" s="19"/>
      <c r="BH164" s="19"/>
      <c r="BI164" s="19"/>
      <c r="BJ164" s="19"/>
      <c r="BK164" s="19"/>
      <c r="BL164" s="19"/>
      <c r="BM164" s="19"/>
      <c r="BN164" s="19"/>
      <c r="BO164" s="19"/>
      <c r="BP164" s="19"/>
      <c r="BQ164" s="19"/>
      <c r="BR164" s="19"/>
      <c r="BS164" s="19"/>
      <c r="BT164" s="19"/>
      <c r="BU164" s="19"/>
      <c r="BV164" s="19"/>
      <c r="BW164" s="19"/>
      <c r="BX164" s="19"/>
      <c r="BY164" s="19"/>
      <c r="BZ164" s="19"/>
      <c r="CA164" s="19"/>
      <c r="CB164" s="19"/>
      <c r="CC164" s="19"/>
      <c r="CD164" s="19"/>
      <c r="CE164" s="19"/>
      <c r="CF164" s="19"/>
      <c r="CG164" s="19"/>
      <c r="CH164" s="19"/>
      <c r="CI164" s="19"/>
      <c r="CJ164" s="19"/>
      <c r="CK164" s="19"/>
      <c r="CL164" s="19"/>
      <c r="CM164" s="19"/>
      <c r="CN164" s="19"/>
      <c r="CO164" s="19"/>
      <c r="CP164" s="19"/>
      <c r="CQ164" s="19"/>
      <c r="CR164" s="19"/>
      <c r="CS164" s="19"/>
      <c r="CT164" s="19"/>
      <c r="CU164" s="19"/>
      <c r="CV164" s="19"/>
      <c r="CW164" s="19"/>
      <c r="CX164" s="19"/>
      <c r="CY164" s="19"/>
      <c r="CZ164" s="19"/>
      <c r="DA164" s="19"/>
      <c r="DB164" s="19"/>
      <c r="DC164" s="19"/>
      <c r="DD164" s="19"/>
      <c r="DE164" s="19"/>
      <c r="DF164" s="19"/>
      <c r="DG164" s="19"/>
      <c r="DH164" s="19"/>
      <c r="DI164" s="19"/>
      <c r="DJ164" s="19"/>
      <c r="DK164" s="19"/>
      <c r="DL164" s="19"/>
      <c r="DM164" s="19"/>
      <c r="DN164" s="19"/>
      <c r="DO164" s="19"/>
      <c r="DP164" s="19"/>
      <c r="DQ164" s="19"/>
      <c r="DR164" s="19"/>
      <c r="DS164" s="19"/>
      <c r="DT164" s="19"/>
      <c r="DU164" s="19"/>
      <c r="DV164" s="19"/>
      <c r="DW164" s="19"/>
      <c r="DX164" s="19"/>
      <c r="DY164" s="19"/>
      <c r="DZ164" s="19"/>
      <c r="EA164" s="19"/>
      <c r="EB164" s="19"/>
      <c r="EC164" s="19"/>
      <c r="ED164" s="19"/>
      <c r="EE164" s="19"/>
      <c r="EF164" s="19"/>
      <c r="EG164" s="19"/>
      <c r="EH164" s="19"/>
      <c r="EI164" s="19"/>
      <c r="EJ164" s="19"/>
      <c r="EK164" s="19"/>
      <c r="EL164" s="19"/>
      <c r="EM164" s="19"/>
      <c r="EN164" s="19"/>
      <c r="EO164" s="19"/>
      <c r="EP164" s="19"/>
      <c r="EQ164" s="19"/>
      <c r="ER164" s="19"/>
      <c r="ES164" s="19"/>
      <c r="ET164" s="19"/>
      <c r="EU164" s="19"/>
      <c r="EV164" s="19"/>
      <c r="EW164" s="19"/>
      <c r="EX164" s="19"/>
      <c r="EY164" s="19"/>
      <c r="EZ164" s="19"/>
      <c r="FA164" s="19"/>
      <c r="FB164" s="19"/>
      <c r="FC164" s="19"/>
      <c r="FD164" s="19"/>
      <c r="FE164" s="19"/>
      <c r="FF164" s="19"/>
      <c r="FG164" s="19"/>
      <c r="FH164" s="19"/>
      <c r="FI164" s="19"/>
      <c r="FJ164" s="19"/>
      <c r="FK164" s="19"/>
      <c r="FL164" s="19"/>
      <c r="FM164" s="19"/>
      <c r="FN164" s="19"/>
      <c r="FO164" s="19"/>
      <c r="FP164" s="19"/>
      <c r="FQ164" s="19"/>
      <c r="FR164" s="19"/>
      <c r="FS164" s="19"/>
      <c r="FT164" s="19"/>
      <c r="FU164" s="19"/>
      <c r="FV164" s="19"/>
      <c r="FW164" s="19"/>
      <c r="FX164" s="19"/>
      <c r="FY164" s="19"/>
      <c r="FZ164" s="19"/>
      <c r="GA164" s="19"/>
      <c r="GB164" s="19"/>
      <c r="GC164" s="19"/>
      <c r="GD164" s="19"/>
      <c r="GE164" s="19"/>
      <c r="GF164" s="19"/>
      <c r="GG164" s="19"/>
      <c r="GH164" s="19"/>
      <c r="GI164" s="19"/>
      <c r="GJ164" s="19"/>
      <c r="GK164" s="19"/>
      <c r="GL164" s="19"/>
      <c r="GM164" s="19"/>
      <c r="GN164" s="19"/>
      <c r="GO164" s="19"/>
      <c r="GP164" s="19"/>
      <c r="GQ164" s="19"/>
      <c r="GR164" s="19"/>
      <c r="GS164" s="19"/>
      <c r="GT164" s="19"/>
      <c r="GU164" s="19"/>
      <c r="GV164" s="19"/>
      <c r="GW164" s="19"/>
      <c r="GX164" s="19"/>
      <c r="GY164" s="19"/>
      <c r="GZ164" s="19"/>
      <c r="HA164" s="19"/>
      <c r="HB164" s="19"/>
    </row>
    <row r="165" spans="1:210" hidden="1" x14ac:dyDescent="0.25">
      <c r="A165" s="113">
        <f t="shared" si="30"/>
        <v>-35</v>
      </c>
      <c r="B165" s="163"/>
      <c r="C165" s="172" t="str">
        <f t="shared" si="25"/>
        <v>RTH at -35 °C</v>
      </c>
      <c r="D165" s="196">
        <f t="shared" si="19"/>
        <v>3.6</v>
      </c>
      <c r="E165" s="207">
        <v>9.9999999999999997E+98</v>
      </c>
      <c r="F165" s="208">
        <v>9.9999999999999997E+98</v>
      </c>
      <c r="G165" s="209">
        <v>9.9999999999999997E+98</v>
      </c>
      <c r="H165" s="128" t="s">
        <v>18</v>
      </c>
      <c r="I165" s="29"/>
      <c r="J165" s="29">
        <v>149.4</v>
      </c>
      <c r="K165" s="29">
        <v>144.1</v>
      </c>
      <c r="L165" s="29">
        <v>138.80000000000001</v>
      </c>
      <c r="M165" s="29"/>
      <c r="N165" s="29"/>
      <c r="O165" s="29"/>
      <c r="P165" s="29"/>
      <c r="Q165" s="29"/>
      <c r="R165" s="29"/>
      <c r="S165" s="29"/>
      <c r="T165" s="29"/>
      <c r="U165" s="29"/>
      <c r="V165" s="29"/>
      <c r="W165" s="29"/>
      <c r="X165" s="29"/>
      <c r="Y165" s="30"/>
      <c r="Z165" s="18"/>
      <c r="AA165" s="19"/>
      <c r="AB165" s="19"/>
      <c r="AC165" s="20">
        <f t="shared" si="26"/>
        <v>-35</v>
      </c>
      <c r="AD165" s="20">
        <f t="shared" si="27"/>
        <v>9.9999999999999997E+98</v>
      </c>
      <c r="AE165" s="20">
        <f t="shared" si="28"/>
        <v>9.9999999999999997E+98</v>
      </c>
      <c r="AF165" s="20">
        <f t="shared" si="29"/>
        <v>9.9999999999999997E+98</v>
      </c>
      <c r="AG165" s="20">
        <f>Table9[[#This Row],[RTH(min) (kΩ)]]*RT2_TH_MIN/(RT2_TH_MIN+Table9[[#This Row],[RTH(min) (kΩ)]])</f>
        <v>30.474773623767586</v>
      </c>
      <c r="AH165" s="20">
        <f>Table9[[#This Row],[RTH(nom) (kΩ)]]*RT2_TH_S/(RT2_TH_S+Table9[[#This Row],[RTH(nom) (kΩ)]])</f>
        <v>30.505278902670256</v>
      </c>
      <c r="AI165" s="20">
        <f>Table9[[#This Row],[RTH(max) (kΩ)]]*RT2_TH_S_MAX/(RT2_TH_S_MAX+Table9[[#This Row],[RTH(max) (kΩ)]])</f>
        <v>30.535784181572922</v>
      </c>
      <c r="AJ165" s="20">
        <f>Table9[[#This Row],[RLower(min) (kΩ)]]/(Table9[[#This Row],[RLower(min) (kΩ)]]+RT1_TH_S_MAX)*100</f>
        <v>85.332443462432792</v>
      </c>
      <c r="AK165" s="20">
        <f>Table9[[#This Row],[RLower(nom) (kΩ)]]/(Table9[[#This Row],[RLower(nom) (kΩ)]]+RT1_TH_S)*100</f>
        <v>85.357458154608338</v>
      </c>
      <c r="AL165" s="20">
        <f>Table9[[#This Row],[RLower(max) (kΩ)]]/(Table9[[#This Row],[RLower(max) (kΩ)]]+RT1_TH_S_MIN)*100</f>
        <v>85.382437493546604</v>
      </c>
      <c r="AM165" s="20">
        <f>IF(Table9[[#This Row],[Vmin (%)]]&lt;$BA$14, 0, IF(Table9[[#This Row],[Vmin (%)]]&lt;$BA$12, 4, IF(Table9[[#This Row],[Vmin (%)]]&lt;$BA$9, 3, IF(Table9[[#This Row],[Vmin (%)]]&lt;$BA$7, 2, 0))))</f>
        <v>0</v>
      </c>
      <c r="AN165" s="20">
        <f>IF(Table9[[#This Row],[Vmin (%)]]&lt;$BA$13, 0, IF(Table9[[#This Row],[Vmin (%)]]&lt;$BA$11, 4, IF(Table9[[#This Row],[Vmin (%)]]&lt;$BA$10, 3, IF(Table9[[#This Row],[Vmin (%)]]&lt;$BA$8, 2, 0))))</f>
        <v>0</v>
      </c>
      <c r="AO165" s="76" t="str">
        <f>IF(Table9[[#This Row],[Vmin (%)]]&lt;$BA$14, "Hot", IF(Table9[[#This Row],[Vmin (%)]]&lt;$BA$12, "Warm", IF(Table9[[#This Row],[Vmin (%)]]&lt;$BA$9, "Normal", IF(Table9[[#This Row],[Vmin (%)]]&lt;$BA$7, "Cool", "Cold"))))</f>
        <v>Cold</v>
      </c>
      <c r="AP165" s="19"/>
      <c r="AQ165" s="19"/>
      <c r="AR165" s="19"/>
      <c r="AS165" s="19"/>
      <c r="AT165" s="19"/>
      <c r="AU165" s="19"/>
      <c r="AV165" s="19"/>
      <c r="AW165" s="19"/>
      <c r="AX165" s="19"/>
      <c r="AY165" s="19"/>
      <c r="AZ165" s="19"/>
      <c r="BA165" s="19"/>
      <c r="BB165" s="19"/>
      <c r="BC165" s="19"/>
      <c r="BD165" s="19"/>
      <c r="BE165" s="19"/>
      <c r="BF165" s="19"/>
      <c r="BG165" s="19"/>
      <c r="BH165" s="19"/>
      <c r="BI165" s="19"/>
      <c r="BJ165" s="19"/>
      <c r="BK165" s="19"/>
      <c r="BL165" s="19"/>
      <c r="BM165" s="19"/>
      <c r="BN165" s="19"/>
      <c r="BO165" s="19"/>
      <c r="BP165" s="19"/>
      <c r="BQ165" s="19"/>
      <c r="BR165" s="19"/>
      <c r="BS165" s="19"/>
      <c r="BT165" s="19"/>
      <c r="BU165" s="19"/>
      <c r="BV165" s="19"/>
      <c r="BW165" s="19"/>
      <c r="BX165" s="19"/>
      <c r="BY165" s="19"/>
      <c r="BZ165" s="19"/>
      <c r="CA165" s="19"/>
      <c r="CB165" s="19"/>
      <c r="CC165" s="19"/>
      <c r="CD165" s="19"/>
      <c r="CE165" s="19"/>
      <c r="CF165" s="19"/>
      <c r="CG165" s="19"/>
      <c r="CH165" s="19"/>
      <c r="CI165" s="19"/>
      <c r="CJ165" s="19"/>
      <c r="CK165" s="19"/>
      <c r="CL165" s="19"/>
      <c r="CM165" s="19"/>
      <c r="CN165" s="19"/>
      <c r="CO165" s="19"/>
      <c r="CP165" s="19"/>
      <c r="CQ165" s="19"/>
      <c r="CR165" s="19"/>
      <c r="CS165" s="19"/>
      <c r="CT165" s="19"/>
      <c r="CU165" s="19"/>
      <c r="CV165" s="19"/>
      <c r="CW165" s="19"/>
      <c r="CX165" s="19"/>
      <c r="CY165" s="19"/>
      <c r="CZ165" s="19"/>
      <c r="DA165" s="19"/>
      <c r="DB165" s="19"/>
      <c r="DC165" s="19"/>
      <c r="DD165" s="19"/>
      <c r="DE165" s="19"/>
      <c r="DF165" s="19"/>
      <c r="DG165" s="19"/>
      <c r="DH165" s="19"/>
      <c r="DI165" s="19"/>
      <c r="DJ165" s="19"/>
      <c r="DK165" s="19"/>
      <c r="DL165" s="19"/>
      <c r="DM165" s="19"/>
      <c r="DN165" s="19"/>
      <c r="DO165" s="19"/>
      <c r="DP165" s="19"/>
      <c r="DQ165" s="19"/>
      <c r="DR165" s="19"/>
      <c r="DS165" s="19"/>
      <c r="DT165" s="19"/>
      <c r="DU165" s="19"/>
      <c r="DV165" s="19"/>
      <c r="DW165" s="19"/>
      <c r="DX165" s="19"/>
      <c r="DY165" s="19"/>
      <c r="DZ165" s="19"/>
      <c r="EA165" s="19"/>
      <c r="EB165" s="19"/>
      <c r="EC165" s="19"/>
      <c r="ED165" s="19"/>
      <c r="EE165" s="19"/>
      <c r="EF165" s="19"/>
      <c r="EG165" s="19"/>
      <c r="EH165" s="19"/>
      <c r="EI165" s="19"/>
      <c r="EJ165" s="19"/>
      <c r="EK165" s="19"/>
      <c r="EL165" s="19"/>
      <c r="EM165" s="19"/>
      <c r="EN165" s="19"/>
      <c r="EO165" s="19"/>
      <c r="EP165" s="19"/>
      <c r="EQ165" s="19"/>
      <c r="ER165" s="19"/>
      <c r="ES165" s="19"/>
      <c r="ET165" s="19"/>
      <c r="EU165" s="19"/>
      <c r="EV165" s="19"/>
      <c r="EW165" s="19"/>
      <c r="EX165" s="19"/>
      <c r="EY165" s="19"/>
      <c r="EZ165" s="19"/>
      <c r="FA165" s="19"/>
      <c r="FB165" s="19"/>
      <c r="FC165" s="19"/>
      <c r="FD165" s="19"/>
      <c r="FE165" s="19"/>
      <c r="FF165" s="19"/>
      <c r="FG165" s="19"/>
      <c r="FH165" s="19"/>
      <c r="FI165" s="19"/>
      <c r="FJ165" s="19"/>
      <c r="FK165" s="19"/>
      <c r="FL165" s="19"/>
      <c r="FM165" s="19"/>
      <c r="FN165" s="19"/>
      <c r="FO165" s="19"/>
      <c r="FP165" s="19"/>
      <c r="FQ165" s="19"/>
      <c r="FR165" s="19"/>
      <c r="FS165" s="19"/>
      <c r="FT165" s="19"/>
      <c r="FU165" s="19"/>
      <c r="FV165" s="19"/>
      <c r="FW165" s="19"/>
      <c r="FX165" s="19"/>
      <c r="FY165" s="19"/>
      <c r="FZ165" s="19"/>
      <c r="GA165" s="19"/>
      <c r="GB165" s="19"/>
      <c r="GC165" s="19"/>
      <c r="GD165" s="19"/>
      <c r="GE165" s="19"/>
      <c r="GF165" s="19"/>
      <c r="GG165" s="19"/>
      <c r="GH165" s="19"/>
      <c r="GI165" s="19"/>
      <c r="GJ165" s="19"/>
      <c r="GK165" s="19"/>
      <c r="GL165" s="19"/>
      <c r="GM165" s="19"/>
      <c r="GN165" s="19"/>
      <c r="GO165" s="19"/>
      <c r="GP165" s="19"/>
      <c r="GQ165" s="19"/>
      <c r="GR165" s="19"/>
      <c r="GS165" s="19"/>
      <c r="GT165" s="19"/>
      <c r="GU165" s="19"/>
      <c r="GV165" s="19"/>
      <c r="GW165" s="19"/>
      <c r="GX165" s="19"/>
      <c r="GY165" s="19"/>
      <c r="GZ165" s="19"/>
      <c r="HA165" s="19"/>
      <c r="HB165" s="19"/>
    </row>
    <row r="166" spans="1:210" hidden="1" x14ac:dyDescent="0.25">
      <c r="A166" s="113">
        <f t="shared" si="30"/>
        <v>-36</v>
      </c>
      <c r="B166" s="163"/>
      <c r="C166" s="172" t="str">
        <f t="shared" si="25"/>
        <v>RTH at -36 °C</v>
      </c>
      <c r="D166" s="196">
        <f t="shared" si="19"/>
        <v>3.6433333333333335</v>
      </c>
      <c r="E166" s="207">
        <v>9.9999999999999997E+98</v>
      </c>
      <c r="F166" s="208">
        <v>9.9999999999999997E+98</v>
      </c>
      <c r="G166" s="209">
        <v>9.9999999999999997E+98</v>
      </c>
      <c r="H166" s="128" t="s">
        <v>18</v>
      </c>
      <c r="I166" s="29"/>
      <c r="J166" s="29">
        <v>157.6</v>
      </c>
      <c r="K166" s="29">
        <v>151.9</v>
      </c>
      <c r="L166" s="29">
        <v>146.30000000000001</v>
      </c>
      <c r="M166" s="29"/>
      <c r="N166" s="29"/>
      <c r="O166" s="29"/>
      <c r="P166" s="29"/>
      <c r="Q166" s="29"/>
      <c r="R166" s="29"/>
      <c r="S166" s="29"/>
      <c r="T166" s="29"/>
      <c r="U166" s="29"/>
      <c r="V166" s="29"/>
      <c r="W166" s="29"/>
      <c r="X166" s="29"/>
      <c r="Y166" s="30"/>
      <c r="Z166" s="18"/>
      <c r="AA166" s="19"/>
      <c r="AB166" s="19"/>
      <c r="AC166" s="20">
        <f t="shared" si="26"/>
        <v>-36</v>
      </c>
      <c r="AD166" s="20">
        <f t="shared" si="27"/>
        <v>9.9999999999999997E+98</v>
      </c>
      <c r="AE166" s="20">
        <f t="shared" si="28"/>
        <v>9.9999999999999997E+98</v>
      </c>
      <c r="AF166" s="20">
        <f t="shared" si="29"/>
        <v>9.9999999999999997E+98</v>
      </c>
      <c r="AG166" s="20">
        <f>Table9[[#This Row],[RTH(min) (kΩ)]]*RT2_TH_MIN/(RT2_TH_MIN+Table9[[#This Row],[RTH(min) (kΩ)]])</f>
        <v>30.474773623767586</v>
      </c>
      <c r="AH166" s="20">
        <f>Table9[[#This Row],[RTH(nom) (kΩ)]]*RT2_TH_S/(RT2_TH_S+Table9[[#This Row],[RTH(nom) (kΩ)]])</f>
        <v>30.505278902670256</v>
      </c>
      <c r="AI166" s="20">
        <f>Table9[[#This Row],[RTH(max) (kΩ)]]*RT2_TH_S_MAX/(RT2_TH_S_MAX+Table9[[#This Row],[RTH(max) (kΩ)]])</f>
        <v>30.535784181572922</v>
      </c>
      <c r="AJ166" s="20">
        <f>Table9[[#This Row],[RLower(min) (kΩ)]]/(Table9[[#This Row],[RLower(min) (kΩ)]]+RT1_TH_S_MAX)*100</f>
        <v>85.332443462432792</v>
      </c>
      <c r="AK166" s="20">
        <f>Table9[[#This Row],[RLower(nom) (kΩ)]]/(Table9[[#This Row],[RLower(nom) (kΩ)]]+RT1_TH_S)*100</f>
        <v>85.357458154608338</v>
      </c>
      <c r="AL166" s="20">
        <f>Table9[[#This Row],[RLower(max) (kΩ)]]/(Table9[[#This Row],[RLower(max) (kΩ)]]+RT1_TH_S_MIN)*100</f>
        <v>85.382437493546604</v>
      </c>
      <c r="AM166" s="20">
        <f>IF(Table9[[#This Row],[Vmin (%)]]&lt;$BA$14, 0, IF(Table9[[#This Row],[Vmin (%)]]&lt;$BA$12, 4, IF(Table9[[#This Row],[Vmin (%)]]&lt;$BA$9, 3, IF(Table9[[#This Row],[Vmin (%)]]&lt;$BA$7, 2, 0))))</f>
        <v>0</v>
      </c>
      <c r="AN166" s="20">
        <f>IF(Table9[[#This Row],[Vmin (%)]]&lt;$BA$13, 0, IF(Table9[[#This Row],[Vmin (%)]]&lt;$BA$11, 4, IF(Table9[[#This Row],[Vmin (%)]]&lt;$BA$10, 3, IF(Table9[[#This Row],[Vmin (%)]]&lt;$BA$8, 2, 0))))</f>
        <v>0</v>
      </c>
      <c r="AO166" s="76" t="str">
        <f>IF(Table9[[#This Row],[Vmin (%)]]&lt;$BA$14, "Hot", IF(Table9[[#This Row],[Vmin (%)]]&lt;$BA$12, "Warm", IF(Table9[[#This Row],[Vmin (%)]]&lt;$BA$9, "Normal", IF(Table9[[#This Row],[Vmin (%)]]&lt;$BA$7, "Cool", "Cold"))))</f>
        <v>Cold</v>
      </c>
      <c r="AP166" s="19"/>
      <c r="AQ166" s="19"/>
      <c r="AR166" s="19"/>
      <c r="AS166" s="19"/>
      <c r="AT166" s="19"/>
      <c r="AU166" s="19"/>
      <c r="AV166" s="19"/>
      <c r="AW166" s="19"/>
      <c r="AX166" s="19"/>
      <c r="AY166" s="19"/>
      <c r="AZ166" s="19"/>
      <c r="BA166" s="19"/>
      <c r="BB166" s="19"/>
      <c r="BC166" s="19"/>
      <c r="BD166" s="19"/>
      <c r="BE166" s="19"/>
      <c r="BF166" s="19"/>
      <c r="BG166" s="19"/>
      <c r="BH166" s="19"/>
      <c r="BI166" s="19"/>
      <c r="BJ166" s="19"/>
      <c r="BK166" s="19"/>
      <c r="BL166" s="19"/>
      <c r="BM166" s="19"/>
      <c r="BN166" s="19"/>
      <c r="BO166" s="19"/>
      <c r="BP166" s="19"/>
      <c r="BQ166" s="19"/>
      <c r="BR166" s="19"/>
      <c r="BS166" s="19"/>
      <c r="BT166" s="19"/>
      <c r="BU166" s="19"/>
      <c r="BV166" s="19"/>
      <c r="BW166" s="19"/>
      <c r="BX166" s="19"/>
      <c r="BY166" s="19"/>
      <c r="BZ166" s="19"/>
      <c r="CA166" s="19"/>
      <c r="CB166" s="19"/>
      <c r="CC166" s="19"/>
      <c r="CD166" s="19"/>
      <c r="CE166" s="19"/>
      <c r="CF166" s="19"/>
      <c r="CG166" s="19"/>
      <c r="CH166" s="19"/>
      <c r="CI166" s="19"/>
      <c r="CJ166" s="19"/>
      <c r="CK166" s="19"/>
      <c r="CL166" s="19"/>
      <c r="CM166" s="19"/>
      <c r="CN166" s="19"/>
      <c r="CO166" s="19"/>
      <c r="CP166" s="19"/>
      <c r="CQ166" s="19"/>
      <c r="CR166" s="19"/>
      <c r="CS166" s="19"/>
      <c r="CT166" s="19"/>
      <c r="CU166" s="19"/>
      <c r="CV166" s="19"/>
      <c r="CW166" s="19"/>
      <c r="CX166" s="19"/>
      <c r="CY166" s="19"/>
      <c r="CZ166" s="19"/>
      <c r="DA166" s="19"/>
      <c r="DB166" s="19"/>
      <c r="DC166" s="19"/>
      <c r="DD166" s="19"/>
      <c r="DE166" s="19"/>
      <c r="DF166" s="19"/>
      <c r="DG166" s="19"/>
      <c r="DH166" s="19"/>
      <c r="DI166" s="19"/>
      <c r="DJ166" s="19"/>
      <c r="DK166" s="19"/>
      <c r="DL166" s="19"/>
      <c r="DM166" s="19"/>
      <c r="DN166" s="19"/>
      <c r="DO166" s="19"/>
      <c r="DP166" s="19"/>
      <c r="DQ166" s="19"/>
      <c r="DR166" s="19"/>
      <c r="DS166" s="19"/>
      <c r="DT166" s="19"/>
      <c r="DU166" s="19"/>
      <c r="DV166" s="19"/>
      <c r="DW166" s="19"/>
      <c r="DX166" s="19"/>
      <c r="DY166" s="19"/>
      <c r="DZ166" s="19"/>
      <c r="EA166" s="19"/>
      <c r="EB166" s="19"/>
      <c r="EC166" s="19"/>
      <c r="ED166" s="19"/>
      <c r="EE166" s="19"/>
      <c r="EF166" s="19"/>
      <c r="EG166" s="19"/>
      <c r="EH166" s="19"/>
      <c r="EI166" s="19"/>
      <c r="EJ166" s="19"/>
      <c r="EK166" s="19"/>
      <c r="EL166" s="19"/>
      <c r="EM166" s="19"/>
      <c r="EN166" s="19"/>
      <c r="EO166" s="19"/>
      <c r="EP166" s="19"/>
      <c r="EQ166" s="19"/>
      <c r="ER166" s="19"/>
      <c r="ES166" s="19"/>
      <c r="ET166" s="19"/>
      <c r="EU166" s="19"/>
      <c r="EV166" s="19"/>
      <c r="EW166" s="19"/>
      <c r="EX166" s="19"/>
      <c r="EY166" s="19"/>
      <c r="EZ166" s="19"/>
      <c r="FA166" s="19"/>
      <c r="FB166" s="19"/>
      <c r="FC166" s="19"/>
      <c r="FD166" s="19"/>
      <c r="FE166" s="19"/>
      <c r="FF166" s="19"/>
      <c r="FG166" s="19"/>
      <c r="FH166" s="19"/>
      <c r="FI166" s="19"/>
      <c r="FJ166" s="19"/>
      <c r="FK166" s="19"/>
      <c r="FL166" s="19"/>
      <c r="FM166" s="19"/>
      <c r="FN166" s="19"/>
      <c r="FO166" s="19"/>
      <c r="FP166" s="19"/>
      <c r="FQ166" s="19"/>
      <c r="FR166" s="19"/>
      <c r="FS166" s="19"/>
      <c r="FT166" s="19"/>
      <c r="FU166" s="19"/>
      <c r="FV166" s="19"/>
      <c r="FW166" s="19"/>
      <c r="FX166" s="19"/>
      <c r="FY166" s="19"/>
      <c r="FZ166" s="19"/>
      <c r="GA166" s="19"/>
      <c r="GB166" s="19"/>
      <c r="GC166" s="19"/>
      <c r="GD166" s="19"/>
      <c r="GE166" s="19"/>
      <c r="GF166" s="19"/>
      <c r="GG166" s="19"/>
      <c r="GH166" s="19"/>
      <c r="GI166" s="19"/>
      <c r="GJ166" s="19"/>
      <c r="GK166" s="19"/>
      <c r="GL166" s="19"/>
      <c r="GM166" s="19"/>
      <c r="GN166" s="19"/>
      <c r="GO166" s="19"/>
      <c r="GP166" s="19"/>
      <c r="GQ166" s="19"/>
      <c r="GR166" s="19"/>
      <c r="GS166" s="19"/>
      <c r="GT166" s="19"/>
      <c r="GU166" s="19"/>
      <c r="GV166" s="19"/>
      <c r="GW166" s="19"/>
      <c r="GX166" s="19"/>
      <c r="GY166" s="19"/>
      <c r="GZ166" s="19"/>
      <c r="HA166" s="19"/>
      <c r="HB166" s="19"/>
    </row>
    <row r="167" spans="1:210" hidden="1" x14ac:dyDescent="0.25">
      <c r="A167" s="113">
        <f t="shared" si="30"/>
        <v>-37</v>
      </c>
      <c r="B167" s="163"/>
      <c r="C167" s="172" t="str">
        <f t="shared" si="25"/>
        <v>RTH at -37 °C</v>
      </c>
      <c r="D167" s="196">
        <f t="shared" si="19"/>
        <v>3.6866666666666665</v>
      </c>
      <c r="E167" s="207">
        <v>9.9999999999999997E+98</v>
      </c>
      <c r="F167" s="208">
        <v>9.9999999999999997E+98</v>
      </c>
      <c r="G167" s="209">
        <v>9.9999999999999997E+98</v>
      </c>
      <c r="H167" s="128" t="s">
        <v>18</v>
      </c>
      <c r="I167" s="29"/>
      <c r="J167" s="29">
        <v>166.3</v>
      </c>
      <c r="K167" s="29">
        <v>160.19999999999999</v>
      </c>
      <c r="L167" s="29">
        <v>154.19999999999999</v>
      </c>
      <c r="M167" s="29"/>
      <c r="N167" s="29"/>
      <c r="O167" s="29"/>
      <c r="P167" s="29"/>
      <c r="Q167" s="29"/>
      <c r="R167" s="29"/>
      <c r="S167" s="29"/>
      <c r="T167" s="29"/>
      <c r="U167" s="29"/>
      <c r="V167" s="29"/>
      <c r="W167" s="29"/>
      <c r="X167" s="29"/>
      <c r="Y167" s="30"/>
      <c r="Z167" s="18"/>
      <c r="AA167" s="19"/>
      <c r="AB167" s="19"/>
      <c r="AC167" s="20">
        <f t="shared" si="26"/>
        <v>-37</v>
      </c>
      <c r="AD167" s="20">
        <f t="shared" si="27"/>
        <v>9.9999999999999997E+98</v>
      </c>
      <c r="AE167" s="20">
        <f t="shared" si="28"/>
        <v>9.9999999999999997E+98</v>
      </c>
      <c r="AF167" s="20">
        <f t="shared" si="29"/>
        <v>9.9999999999999997E+98</v>
      </c>
      <c r="AG167" s="20">
        <f>Table9[[#This Row],[RTH(min) (kΩ)]]*RT2_TH_MIN/(RT2_TH_MIN+Table9[[#This Row],[RTH(min) (kΩ)]])</f>
        <v>30.474773623767586</v>
      </c>
      <c r="AH167" s="20">
        <f>Table9[[#This Row],[RTH(nom) (kΩ)]]*RT2_TH_S/(RT2_TH_S+Table9[[#This Row],[RTH(nom) (kΩ)]])</f>
        <v>30.505278902670256</v>
      </c>
      <c r="AI167" s="20">
        <f>Table9[[#This Row],[RTH(max) (kΩ)]]*RT2_TH_S_MAX/(RT2_TH_S_MAX+Table9[[#This Row],[RTH(max) (kΩ)]])</f>
        <v>30.535784181572922</v>
      </c>
      <c r="AJ167" s="20">
        <f>Table9[[#This Row],[RLower(min) (kΩ)]]/(Table9[[#This Row],[RLower(min) (kΩ)]]+RT1_TH_S_MAX)*100</f>
        <v>85.332443462432792</v>
      </c>
      <c r="AK167" s="20">
        <f>Table9[[#This Row],[RLower(nom) (kΩ)]]/(Table9[[#This Row],[RLower(nom) (kΩ)]]+RT1_TH_S)*100</f>
        <v>85.357458154608338</v>
      </c>
      <c r="AL167" s="20">
        <f>Table9[[#This Row],[RLower(max) (kΩ)]]/(Table9[[#This Row],[RLower(max) (kΩ)]]+RT1_TH_S_MIN)*100</f>
        <v>85.382437493546604</v>
      </c>
      <c r="AM167" s="20">
        <f>IF(Table9[[#This Row],[Vmin (%)]]&lt;$BA$14, 0, IF(Table9[[#This Row],[Vmin (%)]]&lt;$BA$12, 4, IF(Table9[[#This Row],[Vmin (%)]]&lt;$BA$9, 3, IF(Table9[[#This Row],[Vmin (%)]]&lt;$BA$7, 2, 0))))</f>
        <v>0</v>
      </c>
      <c r="AN167" s="20">
        <f>IF(Table9[[#This Row],[Vmin (%)]]&lt;$BA$13, 0, IF(Table9[[#This Row],[Vmin (%)]]&lt;$BA$11, 4, IF(Table9[[#This Row],[Vmin (%)]]&lt;$BA$10, 3, IF(Table9[[#This Row],[Vmin (%)]]&lt;$BA$8, 2, 0))))</f>
        <v>0</v>
      </c>
      <c r="AO167" s="76" t="str">
        <f>IF(Table9[[#This Row],[Vmin (%)]]&lt;$BA$14, "Hot", IF(Table9[[#This Row],[Vmin (%)]]&lt;$BA$12, "Warm", IF(Table9[[#This Row],[Vmin (%)]]&lt;$BA$9, "Normal", IF(Table9[[#This Row],[Vmin (%)]]&lt;$BA$7, "Cool", "Cold"))))</f>
        <v>Cold</v>
      </c>
      <c r="AP167" s="19"/>
      <c r="AQ167" s="19"/>
      <c r="AR167" s="19"/>
      <c r="AS167" s="19"/>
      <c r="AT167" s="19"/>
      <c r="AU167" s="19"/>
      <c r="AV167" s="19"/>
      <c r="AW167" s="19"/>
      <c r="AX167" s="19"/>
      <c r="AY167" s="19"/>
      <c r="AZ167" s="19"/>
      <c r="BA167" s="19"/>
      <c r="BB167" s="19"/>
      <c r="BC167" s="19"/>
      <c r="BD167" s="19"/>
      <c r="BE167" s="19"/>
      <c r="BF167" s="19"/>
      <c r="BG167" s="19"/>
      <c r="BH167" s="19"/>
      <c r="BI167" s="19"/>
      <c r="BJ167" s="19"/>
      <c r="BK167" s="19"/>
      <c r="BL167" s="19"/>
      <c r="BM167" s="19"/>
      <c r="BN167" s="19"/>
      <c r="BO167" s="19"/>
      <c r="BP167" s="19"/>
      <c r="BQ167" s="19"/>
      <c r="BR167" s="19"/>
      <c r="BS167" s="19"/>
      <c r="BT167" s="19"/>
      <c r="BU167" s="19"/>
      <c r="BV167" s="19"/>
      <c r="BW167" s="19"/>
      <c r="BX167" s="19"/>
      <c r="BY167" s="19"/>
      <c r="BZ167" s="19"/>
      <c r="CA167" s="19"/>
      <c r="CB167" s="19"/>
      <c r="CC167" s="19"/>
      <c r="CD167" s="19"/>
      <c r="CE167" s="19"/>
      <c r="CF167" s="19"/>
      <c r="CG167" s="19"/>
      <c r="CH167" s="19"/>
      <c r="CI167" s="19"/>
      <c r="CJ167" s="19"/>
      <c r="CK167" s="19"/>
      <c r="CL167" s="19"/>
      <c r="CM167" s="19"/>
      <c r="CN167" s="19"/>
      <c r="CO167" s="19"/>
      <c r="CP167" s="19"/>
      <c r="CQ167" s="19"/>
      <c r="CR167" s="19"/>
      <c r="CS167" s="19"/>
      <c r="CT167" s="19"/>
      <c r="CU167" s="19"/>
      <c r="CV167" s="19"/>
      <c r="CW167" s="19"/>
      <c r="CX167" s="19"/>
      <c r="CY167" s="19"/>
      <c r="CZ167" s="19"/>
      <c r="DA167" s="19"/>
      <c r="DB167" s="19"/>
      <c r="DC167" s="19"/>
      <c r="DD167" s="19"/>
      <c r="DE167" s="19"/>
      <c r="DF167" s="19"/>
      <c r="DG167" s="19"/>
      <c r="DH167" s="19"/>
      <c r="DI167" s="19"/>
      <c r="DJ167" s="19"/>
      <c r="DK167" s="19"/>
      <c r="DL167" s="19"/>
      <c r="DM167" s="19"/>
      <c r="DN167" s="19"/>
      <c r="DO167" s="19"/>
      <c r="DP167" s="19"/>
      <c r="DQ167" s="19"/>
      <c r="DR167" s="19"/>
      <c r="DS167" s="19"/>
      <c r="DT167" s="19"/>
      <c r="DU167" s="19"/>
      <c r="DV167" s="19"/>
      <c r="DW167" s="19"/>
      <c r="DX167" s="19"/>
      <c r="DY167" s="19"/>
      <c r="DZ167" s="19"/>
      <c r="EA167" s="19"/>
      <c r="EB167" s="19"/>
      <c r="EC167" s="19"/>
      <c r="ED167" s="19"/>
      <c r="EE167" s="19"/>
      <c r="EF167" s="19"/>
      <c r="EG167" s="19"/>
      <c r="EH167" s="19"/>
      <c r="EI167" s="19"/>
      <c r="EJ167" s="19"/>
      <c r="EK167" s="19"/>
      <c r="EL167" s="19"/>
      <c r="EM167" s="19"/>
      <c r="EN167" s="19"/>
      <c r="EO167" s="19"/>
      <c r="EP167" s="19"/>
      <c r="EQ167" s="19"/>
      <c r="ER167" s="19"/>
      <c r="ES167" s="19"/>
      <c r="ET167" s="19"/>
      <c r="EU167" s="19"/>
      <c r="EV167" s="19"/>
      <c r="EW167" s="19"/>
      <c r="EX167" s="19"/>
      <c r="EY167" s="19"/>
      <c r="EZ167" s="19"/>
      <c r="FA167" s="19"/>
      <c r="FB167" s="19"/>
      <c r="FC167" s="19"/>
      <c r="FD167" s="19"/>
      <c r="FE167" s="19"/>
      <c r="FF167" s="19"/>
      <c r="FG167" s="19"/>
      <c r="FH167" s="19"/>
      <c r="FI167" s="19"/>
      <c r="FJ167" s="19"/>
      <c r="FK167" s="19"/>
      <c r="FL167" s="19"/>
      <c r="FM167" s="19"/>
      <c r="FN167" s="19"/>
      <c r="FO167" s="19"/>
      <c r="FP167" s="19"/>
      <c r="FQ167" s="19"/>
      <c r="FR167" s="19"/>
      <c r="FS167" s="19"/>
      <c r="FT167" s="19"/>
      <c r="FU167" s="19"/>
      <c r="FV167" s="19"/>
      <c r="FW167" s="19"/>
      <c r="FX167" s="19"/>
      <c r="FY167" s="19"/>
      <c r="FZ167" s="19"/>
      <c r="GA167" s="19"/>
      <c r="GB167" s="19"/>
      <c r="GC167" s="19"/>
      <c r="GD167" s="19"/>
      <c r="GE167" s="19"/>
      <c r="GF167" s="19"/>
      <c r="GG167" s="19"/>
      <c r="GH167" s="19"/>
      <c r="GI167" s="19"/>
      <c r="GJ167" s="19"/>
      <c r="GK167" s="19"/>
      <c r="GL167" s="19"/>
      <c r="GM167" s="19"/>
      <c r="GN167" s="19"/>
      <c r="GO167" s="19"/>
      <c r="GP167" s="19"/>
      <c r="GQ167" s="19"/>
      <c r="GR167" s="19"/>
      <c r="GS167" s="19"/>
      <c r="GT167" s="19"/>
      <c r="GU167" s="19"/>
      <c r="GV167" s="19"/>
      <c r="GW167" s="19"/>
      <c r="GX167" s="19"/>
      <c r="GY167" s="19"/>
      <c r="GZ167" s="19"/>
      <c r="HA167" s="19"/>
      <c r="HB167" s="19"/>
    </row>
    <row r="168" spans="1:210" hidden="1" x14ac:dyDescent="0.25">
      <c r="A168" s="113">
        <f t="shared" si="30"/>
        <v>-38</v>
      </c>
      <c r="B168" s="163"/>
      <c r="C168" s="172" t="str">
        <f t="shared" si="25"/>
        <v>RTH at -38 °C</v>
      </c>
      <c r="D168" s="196">
        <f t="shared" si="19"/>
        <v>3.73</v>
      </c>
      <c r="E168" s="207">
        <v>9.9999999999999997E+98</v>
      </c>
      <c r="F168" s="208">
        <v>9.9999999999999997E+98</v>
      </c>
      <c r="G168" s="209">
        <v>9.9999999999999997E+98</v>
      </c>
      <c r="H168" s="128" t="s">
        <v>18</v>
      </c>
      <c r="I168" s="29"/>
      <c r="J168" s="29">
        <v>175.6</v>
      </c>
      <c r="K168" s="29">
        <v>169</v>
      </c>
      <c r="L168" s="29">
        <v>162.6</v>
      </c>
      <c r="M168" s="29"/>
      <c r="N168" s="29"/>
      <c r="O168" s="29"/>
      <c r="P168" s="29"/>
      <c r="Q168" s="29"/>
      <c r="R168" s="29"/>
      <c r="S168" s="29"/>
      <c r="T168" s="29"/>
      <c r="U168" s="29"/>
      <c r="V168" s="29"/>
      <c r="W168" s="29"/>
      <c r="X168" s="29"/>
      <c r="Y168" s="30"/>
      <c r="Z168" s="18"/>
      <c r="AA168" s="19"/>
      <c r="AB168" s="19"/>
      <c r="AC168" s="20">
        <f t="shared" si="26"/>
        <v>-38</v>
      </c>
      <c r="AD168" s="20">
        <f t="shared" si="27"/>
        <v>9.9999999999999997E+98</v>
      </c>
      <c r="AE168" s="20">
        <f t="shared" si="28"/>
        <v>9.9999999999999997E+98</v>
      </c>
      <c r="AF168" s="20">
        <f t="shared" si="29"/>
        <v>9.9999999999999997E+98</v>
      </c>
      <c r="AG168" s="20">
        <f>Table9[[#This Row],[RTH(min) (kΩ)]]*RT2_TH_MIN/(RT2_TH_MIN+Table9[[#This Row],[RTH(min) (kΩ)]])</f>
        <v>30.474773623767586</v>
      </c>
      <c r="AH168" s="20">
        <f>Table9[[#This Row],[RTH(nom) (kΩ)]]*RT2_TH_S/(RT2_TH_S+Table9[[#This Row],[RTH(nom) (kΩ)]])</f>
        <v>30.505278902670256</v>
      </c>
      <c r="AI168" s="20">
        <f>Table9[[#This Row],[RTH(max) (kΩ)]]*RT2_TH_S_MAX/(RT2_TH_S_MAX+Table9[[#This Row],[RTH(max) (kΩ)]])</f>
        <v>30.535784181572922</v>
      </c>
      <c r="AJ168" s="20">
        <f>Table9[[#This Row],[RLower(min) (kΩ)]]/(Table9[[#This Row],[RLower(min) (kΩ)]]+RT1_TH_S_MAX)*100</f>
        <v>85.332443462432792</v>
      </c>
      <c r="AK168" s="20">
        <f>Table9[[#This Row],[RLower(nom) (kΩ)]]/(Table9[[#This Row],[RLower(nom) (kΩ)]]+RT1_TH_S)*100</f>
        <v>85.357458154608338</v>
      </c>
      <c r="AL168" s="20">
        <f>Table9[[#This Row],[RLower(max) (kΩ)]]/(Table9[[#This Row],[RLower(max) (kΩ)]]+RT1_TH_S_MIN)*100</f>
        <v>85.382437493546604</v>
      </c>
      <c r="AM168" s="20">
        <f>IF(Table9[[#This Row],[Vmin (%)]]&lt;$BA$14, 0, IF(Table9[[#This Row],[Vmin (%)]]&lt;$BA$12, 4, IF(Table9[[#This Row],[Vmin (%)]]&lt;$BA$9, 3, IF(Table9[[#This Row],[Vmin (%)]]&lt;$BA$7, 2, 0))))</f>
        <v>0</v>
      </c>
      <c r="AN168" s="20">
        <f>IF(Table9[[#This Row],[Vmin (%)]]&lt;$BA$13, 0, IF(Table9[[#This Row],[Vmin (%)]]&lt;$BA$11, 4, IF(Table9[[#This Row],[Vmin (%)]]&lt;$BA$10, 3, IF(Table9[[#This Row],[Vmin (%)]]&lt;$BA$8, 2, 0))))</f>
        <v>0</v>
      </c>
      <c r="AO168" s="76" t="str">
        <f>IF(Table9[[#This Row],[Vmin (%)]]&lt;$BA$14, "Hot", IF(Table9[[#This Row],[Vmin (%)]]&lt;$BA$12, "Warm", IF(Table9[[#This Row],[Vmin (%)]]&lt;$BA$9, "Normal", IF(Table9[[#This Row],[Vmin (%)]]&lt;$BA$7, "Cool", "Cold"))))</f>
        <v>Cold</v>
      </c>
      <c r="AP168" s="19"/>
      <c r="AQ168" s="19"/>
      <c r="AR168" s="19"/>
      <c r="AS168" s="19"/>
      <c r="AT168" s="19"/>
      <c r="AU168" s="19"/>
      <c r="AV168" s="19"/>
      <c r="AW168" s="19"/>
      <c r="AX168" s="19"/>
      <c r="AY168" s="19"/>
      <c r="AZ168" s="19"/>
      <c r="BA168" s="19"/>
      <c r="BB168" s="19"/>
      <c r="BC168" s="19"/>
      <c r="BD168" s="19"/>
      <c r="BE168" s="19"/>
      <c r="BF168" s="19"/>
      <c r="BG168" s="19"/>
      <c r="BH168" s="19"/>
      <c r="BI168" s="19"/>
      <c r="BJ168" s="19"/>
      <c r="BK168" s="19"/>
      <c r="BL168" s="19"/>
      <c r="BM168" s="19"/>
      <c r="BN168" s="19"/>
      <c r="BO168" s="19"/>
      <c r="BP168" s="19"/>
      <c r="BQ168" s="19"/>
      <c r="BR168" s="19"/>
      <c r="BS168" s="19"/>
      <c r="BT168" s="19"/>
      <c r="BU168" s="19"/>
      <c r="BV168" s="19"/>
      <c r="BW168" s="19"/>
      <c r="BX168" s="19"/>
      <c r="BY168" s="19"/>
      <c r="BZ168" s="19"/>
      <c r="CA168" s="19"/>
      <c r="CB168" s="19"/>
      <c r="CC168" s="19"/>
      <c r="CD168" s="19"/>
      <c r="CE168" s="19"/>
      <c r="CF168" s="19"/>
      <c r="CG168" s="19"/>
      <c r="CH168" s="19"/>
      <c r="CI168" s="19"/>
      <c r="CJ168" s="19"/>
      <c r="CK168" s="19"/>
      <c r="CL168" s="19"/>
      <c r="CM168" s="19"/>
      <c r="CN168" s="19"/>
      <c r="CO168" s="19"/>
      <c r="CP168" s="19"/>
      <c r="CQ168" s="19"/>
      <c r="CR168" s="19"/>
      <c r="CS168" s="19"/>
      <c r="CT168" s="19"/>
      <c r="CU168" s="19"/>
      <c r="CV168" s="19"/>
      <c r="CW168" s="19"/>
      <c r="CX168" s="19"/>
      <c r="CY168" s="19"/>
      <c r="CZ168" s="19"/>
      <c r="DA168" s="19"/>
      <c r="DB168" s="19"/>
      <c r="DC168" s="19"/>
      <c r="DD168" s="19"/>
      <c r="DE168" s="19"/>
      <c r="DF168" s="19"/>
      <c r="DG168" s="19"/>
      <c r="DH168" s="19"/>
      <c r="DI168" s="19"/>
      <c r="DJ168" s="19"/>
      <c r="DK168" s="19"/>
      <c r="DL168" s="19"/>
      <c r="DM168" s="19"/>
      <c r="DN168" s="19"/>
      <c r="DO168" s="19"/>
      <c r="DP168" s="19"/>
      <c r="DQ168" s="19"/>
      <c r="DR168" s="19"/>
      <c r="DS168" s="19"/>
      <c r="DT168" s="19"/>
      <c r="DU168" s="19"/>
      <c r="DV168" s="19"/>
      <c r="DW168" s="19"/>
      <c r="DX168" s="19"/>
      <c r="DY168" s="19"/>
      <c r="DZ168" s="19"/>
      <c r="EA168" s="19"/>
      <c r="EB168" s="19"/>
      <c r="EC168" s="19"/>
      <c r="ED168" s="19"/>
      <c r="EE168" s="19"/>
      <c r="EF168" s="19"/>
      <c r="EG168" s="19"/>
      <c r="EH168" s="19"/>
      <c r="EI168" s="19"/>
      <c r="EJ168" s="19"/>
      <c r="EK168" s="19"/>
      <c r="EL168" s="19"/>
      <c r="EM168" s="19"/>
      <c r="EN168" s="19"/>
      <c r="EO168" s="19"/>
      <c r="EP168" s="19"/>
      <c r="EQ168" s="19"/>
      <c r="ER168" s="19"/>
      <c r="ES168" s="19"/>
      <c r="ET168" s="19"/>
      <c r="EU168" s="19"/>
      <c r="EV168" s="19"/>
      <c r="EW168" s="19"/>
      <c r="EX168" s="19"/>
      <c r="EY168" s="19"/>
      <c r="EZ168" s="19"/>
      <c r="FA168" s="19"/>
      <c r="FB168" s="19"/>
      <c r="FC168" s="19"/>
      <c r="FD168" s="19"/>
      <c r="FE168" s="19"/>
      <c r="FF168" s="19"/>
      <c r="FG168" s="19"/>
      <c r="FH168" s="19"/>
      <c r="FI168" s="19"/>
      <c r="FJ168" s="19"/>
      <c r="FK168" s="19"/>
      <c r="FL168" s="19"/>
      <c r="FM168" s="19"/>
      <c r="FN168" s="19"/>
      <c r="FO168" s="19"/>
      <c r="FP168" s="19"/>
      <c r="FQ168" s="19"/>
      <c r="FR168" s="19"/>
      <c r="FS168" s="19"/>
      <c r="FT168" s="19"/>
      <c r="FU168" s="19"/>
      <c r="FV168" s="19"/>
      <c r="FW168" s="19"/>
      <c r="FX168" s="19"/>
      <c r="FY168" s="19"/>
      <c r="FZ168" s="19"/>
      <c r="GA168" s="19"/>
      <c r="GB168" s="19"/>
      <c r="GC168" s="19"/>
      <c r="GD168" s="19"/>
      <c r="GE168" s="19"/>
      <c r="GF168" s="19"/>
      <c r="GG168" s="19"/>
      <c r="GH168" s="19"/>
      <c r="GI168" s="19"/>
      <c r="GJ168" s="19"/>
      <c r="GK168" s="19"/>
      <c r="GL168" s="19"/>
      <c r="GM168" s="19"/>
      <c r="GN168" s="19"/>
      <c r="GO168" s="19"/>
      <c r="GP168" s="19"/>
      <c r="GQ168" s="19"/>
      <c r="GR168" s="19"/>
      <c r="GS168" s="19"/>
      <c r="GT168" s="19"/>
      <c r="GU168" s="19"/>
      <c r="GV168" s="19"/>
      <c r="GW168" s="19"/>
      <c r="GX168" s="19"/>
      <c r="GY168" s="19"/>
      <c r="GZ168" s="19"/>
      <c r="HA168" s="19"/>
      <c r="HB168" s="19"/>
    </row>
    <row r="169" spans="1:210" hidden="1" x14ac:dyDescent="0.25">
      <c r="A169" s="113">
        <f t="shared" si="30"/>
        <v>-39</v>
      </c>
      <c r="B169" s="163"/>
      <c r="C169" s="172" t="str">
        <f t="shared" si="25"/>
        <v>RTH at -39 °C</v>
      </c>
      <c r="D169" s="196">
        <f t="shared" si="19"/>
        <v>3.7733333333333334</v>
      </c>
      <c r="E169" s="207">
        <v>9.9999999999999997E+98</v>
      </c>
      <c r="F169" s="208">
        <v>9.9999999999999997E+98</v>
      </c>
      <c r="G169" s="209">
        <v>9.9999999999999997E+98</v>
      </c>
      <c r="H169" s="128" t="s">
        <v>18</v>
      </c>
      <c r="I169" s="29"/>
      <c r="J169" s="29">
        <v>185.5</v>
      </c>
      <c r="K169" s="29">
        <v>178.5</v>
      </c>
      <c r="L169" s="29">
        <v>171.6</v>
      </c>
      <c r="M169" s="29"/>
      <c r="N169" s="29"/>
      <c r="O169" s="29"/>
      <c r="P169" s="29"/>
      <c r="Q169" s="29"/>
      <c r="R169" s="29"/>
      <c r="S169" s="29"/>
      <c r="T169" s="29"/>
      <c r="U169" s="29"/>
      <c r="V169" s="29"/>
      <c r="W169" s="29"/>
      <c r="X169" s="29"/>
      <c r="Y169" s="30"/>
      <c r="Z169" s="18"/>
      <c r="AA169" s="19"/>
      <c r="AB169" s="19"/>
      <c r="AC169" s="20">
        <f t="shared" si="26"/>
        <v>-39</v>
      </c>
      <c r="AD169" s="20">
        <f t="shared" si="27"/>
        <v>9.9999999999999997E+98</v>
      </c>
      <c r="AE169" s="20">
        <f t="shared" si="28"/>
        <v>9.9999999999999997E+98</v>
      </c>
      <c r="AF169" s="20">
        <f t="shared" si="29"/>
        <v>9.9999999999999997E+98</v>
      </c>
      <c r="AG169" s="20">
        <f>Table9[[#This Row],[RTH(min) (kΩ)]]*RT2_TH_MIN/(RT2_TH_MIN+Table9[[#This Row],[RTH(min) (kΩ)]])</f>
        <v>30.474773623767586</v>
      </c>
      <c r="AH169" s="20">
        <f>Table9[[#This Row],[RTH(nom) (kΩ)]]*RT2_TH_S/(RT2_TH_S+Table9[[#This Row],[RTH(nom) (kΩ)]])</f>
        <v>30.505278902670256</v>
      </c>
      <c r="AI169" s="20">
        <f>Table9[[#This Row],[RTH(max) (kΩ)]]*RT2_TH_S_MAX/(RT2_TH_S_MAX+Table9[[#This Row],[RTH(max) (kΩ)]])</f>
        <v>30.535784181572922</v>
      </c>
      <c r="AJ169" s="20">
        <f>Table9[[#This Row],[RLower(min) (kΩ)]]/(Table9[[#This Row],[RLower(min) (kΩ)]]+RT1_TH_S_MAX)*100</f>
        <v>85.332443462432792</v>
      </c>
      <c r="AK169" s="20">
        <f>Table9[[#This Row],[RLower(nom) (kΩ)]]/(Table9[[#This Row],[RLower(nom) (kΩ)]]+RT1_TH_S)*100</f>
        <v>85.357458154608338</v>
      </c>
      <c r="AL169" s="20">
        <f>Table9[[#This Row],[RLower(max) (kΩ)]]/(Table9[[#This Row],[RLower(max) (kΩ)]]+RT1_TH_S_MIN)*100</f>
        <v>85.382437493546604</v>
      </c>
      <c r="AM169" s="20">
        <f>IF(Table9[[#This Row],[Vmin (%)]]&lt;$BA$14, 0, IF(Table9[[#This Row],[Vmin (%)]]&lt;$BA$12, 4, IF(Table9[[#This Row],[Vmin (%)]]&lt;$BA$9, 3, IF(Table9[[#This Row],[Vmin (%)]]&lt;$BA$7, 2, 0))))</f>
        <v>0</v>
      </c>
      <c r="AN169" s="20">
        <f>IF(Table9[[#This Row],[Vmin (%)]]&lt;$BA$13, 0, IF(Table9[[#This Row],[Vmin (%)]]&lt;$BA$11, 4, IF(Table9[[#This Row],[Vmin (%)]]&lt;$BA$10, 3, IF(Table9[[#This Row],[Vmin (%)]]&lt;$BA$8, 2, 0))))</f>
        <v>0</v>
      </c>
      <c r="AO169" s="76" t="str">
        <f>IF(Table9[[#This Row],[Vmin (%)]]&lt;$BA$14, "Hot", IF(Table9[[#This Row],[Vmin (%)]]&lt;$BA$12, "Warm", IF(Table9[[#This Row],[Vmin (%)]]&lt;$BA$9, "Normal", IF(Table9[[#This Row],[Vmin (%)]]&lt;$BA$7, "Cool", "Cold"))))</f>
        <v>Cold</v>
      </c>
      <c r="AP169" s="19"/>
      <c r="AQ169" s="19"/>
      <c r="AR169" s="19"/>
      <c r="AS169" s="19"/>
      <c r="AT169" s="19"/>
      <c r="AU169" s="19"/>
      <c r="AV169" s="19"/>
      <c r="AW169" s="19"/>
      <c r="AX169" s="19"/>
      <c r="AY169" s="19"/>
      <c r="AZ169" s="19"/>
      <c r="BA169" s="19"/>
      <c r="BB169" s="19"/>
      <c r="BC169" s="19"/>
      <c r="BD169" s="19"/>
      <c r="BE169" s="19"/>
      <c r="BF169" s="19"/>
      <c r="BG169" s="19"/>
      <c r="BH169" s="19"/>
      <c r="BI169" s="19"/>
      <c r="BJ169" s="19"/>
      <c r="BK169" s="19"/>
      <c r="BL169" s="19"/>
      <c r="BM169" s="19"/>
      <c r="BN169" s="19"/>
      <c r="BO169" s="19"/>
      <c r="BP169" s="19"/>
      <c r="BQ169" s="19"/>
      <c r="BR169" s="19"/>
      <c r="BS169" s="19"/>
      <c r="BT169" s="19"/>
      <c r="BU169" s="19"/>
      <c r="BV169" s="19"/>
      <c r="BW169" s="19"/>
      <c r="BX169" s="19"/>
      <c r="BY169" s="19"/>
      <c r="BZ169" s="19"/>
      <c r="CA169" s="19"/>
      <c r="CB169" s="19"/>
      <c r="CC169" s="19"/>
      <c r="CD169" s="19"/>
      <c r="CE169" s="19"/>
      <c r="CF169" s="19"/>
      <c r="CG169" s="19"/>
      <c r="CH169" s="19"/>
      <c r="CI169" s="19"/>
      <c r="CJ169" s="19"/>
      <c r="CK169" s="19"/>
      <c r="CL169" s="19"/>
      <c r="CM169" s="19"/>
      <c r="CN169" s="19"/>
      <c r="CO169" s="19"/>
      <c r="CP169" s="19"/>
      <c r="CQ169" s="19"/>
      <c r="CR169" s="19"/>
      <c r="CS169" s="19"/>
      <c r="CT169" s="19"/>
      <c r="CU169" s="19"/>
      <c r="CV169" s="19"/>
      <c r="CW169" s="19"/>
      <c r="CX169" s="19"/>
      <c r="CY169" s="19"/>
      <c r="CZ169" s="19"/>
      <c r="DA169" s="19"/>
      <c r="DB169" s="19"/>
      <c r="DC169" s="19"/>
      <c r="DD169" s="19"/>
      <c r="DE169" s="19"/>
      <c r="DF169" s="19"/>
      <c r="DG169" s="19"/>
      <c r="DH169" s="19"/>
      <c r="DI169" s="19"/>
      <c r="DJ169" s="19"/>
      <c r="DK169" s="19"/>
      <c r="DL169" s="19"/>
      <c r="DM169" s="19"/>
      <c r="DN169" s="19"/>
      <c r="DO169" s="19"/>
      <c r="DP169" s="19"/>
      <c r="DQ169" s="19"/>
      <c r="DR169" s="19"/>
      <c r="DS169" s="19"/>
      <c r="DT169" s="19"/>
      <c r="DU169" s="19"/>
      <c r="DV169" s="19"/>
      <c r="DW169" s="19"/>
      <c r="DX169" s="19"/>
      <c r="DY169" s="19"/>
      <c r="DZ169" s="19"/>
      <c r="EA169" s="19"/>
      <c r="EB169" s="19"/>
      <c r="EC169" s="19"/>
      <c r="ED169" s="19"/>
      <c r="EE169" s="19"/>
      <c r="EF169" s="19"/>
      <c r="EG169" s="19"/>
      <c r="EH169" s="19"/>
      <c r="EI169" s="19"/>
      <c r="EJ169" s="19"/>
      <c r="EK169" s="19"/>
      <c r="EL169" s="19"/>
      <c r="EM169" s="19"/>
      <c r="EN169" s="19"/>
      <c r="EO169" s="19"/>
      <c r="EP169" s="19"/>
      <c r="EQ169" s="19"/>
      <c r="ER169" s="19"/>
      <c r="ES169" s="19"/>
      <c r="ET169" s="19"/>
      <c r="EU169" s="19"/>
      <c r="EV169" s="19"/>
      <c r="EW169" s="19"/>
      <c r="EX169" s="19"/>
      <c r="EY169" s="19"/>
      <c r="EZ169" s="19"/>
      <c r="FA169" s="19"/>
      <c r="FB169" s="19"/>
      <c r="FC169" s="19"/>
      <c r="FD169" s="19"/>
      <c r="FE169" s="19"/>
      <c r="FF169" s="19"/>
      <c r="FG169" s="19"/>
      <c r="FH169" s="19"/>
      <c r="FI169" s="19"/>
      <c r="FJ169" s="19"/>
      <c r="FK169" s="19"/>
      <c r="FL169" s="19"/>
      <c r="FM169" s="19"/>
      <c r="FN169" s="19"/>
      <c r="FO169" s="19"/>
      <c r="FP169" s="19"/>
      <c r="FQ169" s="19"/>
      <c r="FR169" s="19"/>
      <c r="FS169" s="19"/>
      <c r="FT169" s="19"/>
      <c r="FU169" s="19"/>
      <c r="FV169" s="19"/>
      <c r="FW169" s="19"/>
      <c r="FX169" s="19"/>
      <c r="FY169" s="19"/>
      <c r="FZ169" s="19"/>
      <c r="GA169" s="19"/>
      <c r="GB169" s="19"/>
      <c r="GC169" s="19"/>
      <c r="GD169" s="19"/>
      <c r="GE169" s="19"/>
      <c r="GF169" s="19"/>
      <c r="GG169" s="19"/>
      <c r="GH169" s="19"/>
      <c r="GI169" s="19"/>
      <c r="GJ169" s="19"/>
      <c r="GK169" s="19"/>
      <c r="GL169" s="19"/>
      <c r="GM169" s="19"/>
      <c r="GN169" s="19"/>
      <c r="GO169" s="19"/>
      <c r="GP169" s="19"/>
      <c r="GQ169" s="19"/>
      <c r="GR169" s="19"/>
      <c r="GS169" s="19"/>
      <c r="GT169" s="19"/>
      <c r="GU169" s="19"/>
      <c r="GV169" s="19"/>
      <c r="GW169" s="19"/>
      <c r="GX169" s="19"/>
      <c r="GY169" s="19"/>
      <c r="GZ169" s="19"/>
      <c r="HA169" s="19"/>
      <c r="HB169" s="19"/>
    </row>
    <row r="170" spans="1:210" hidden="1" x14ac:dyDescent="0.25">
      <c r="A170" s="113">
        <f t="shared" si="30"/>
        <v>-40</v>
      </c>
      <c r="B170" s="163"/>
      <c r="C170" s="172" t="str">
        <f t="shared" si="25"/>
        <v>RTH at -40 °C</v>
      </c>
      <c r="D170" s="196">
        <f t="shared" si="19"/>
        <v>3.8166666666666669</v>
      </c>
      <c r="E170" s="207">
        <v>9.9999999999999997E+98</v>
      </c>
      <c r="F170" s="208">
        <v>9.9999999999999997E+98</v>
      </c>
      <c r="G170" s="209">
        <v>9.9999999999999997E+98</v>
      </c>
      <c r="H170" s="128" t="s">
        <v>18</v>
      </c>
      <c r="I170" s="29"/>
      <c r="J170" s="29">
        <v>196</v>
      </c>
      <c r="K170" s="29">
        <v>188.5</v>
      </c>
      <c r="L170" s="29">
        <v>181.1</v>
      </c>
      <c r="M170" s="29"/>
      <c r="N170" s="29"/>
      <c r="O170" s="29"/>
      <c r="P170" s="29"/>
      <c r="Q170" s="29"/>
      <c r="R170" s="29"/>
      <c r="S170" s="29"/>
      <c r="T170" s="29"/>
      <c r="U170" s="29"/>
      <c r="V170" s="29"/>
      <c r="W170" s="29"/>
      <c r="X170" s="29"/>
      <c r="Y170" s="30"/>
      <c r="Z170" s="18"/>
      <c r="AA170" s="19"/>
      <c r="AB170" s="19"/>
      <c r="AC170" s="20">
        <f t="shared" si="26"/>
        <v>-40</v>
      </c>
      <c r="AD170" s="20">
        <f t="shared" si="27"/>
        <v>9.9999999999999997E+98</v>
      </c>
      <c r="AE170" s="20">
        <f t="shared" si="28"/>
        <v>9.9999999999999997E+98</v>
      </c>
      <c r="AF170" s="20">
        <f t="shared" si="29"/>
        <v>9.9999999999999997E+98</v>
      </c>
      <c r="AG170" s="20">
        <f>Table9[[#This Row],[RTH(min) (kΩ)]]*RT2_TH_MIN/(RT2_TH_MIN+Table9[[#This Row],[RTH(min) (kΩ)]])</f>
        <v>30.474773623767586</v>
      </c>
      <c r="AH170" s="20">
        <f>Table9[[#This Row],[RTH(nom) (kΩ)]]*RT2_TH_S/(RT2_TH_S+Table9[[#This Row],[RTH(nom) (kΩ)]])</f>
        <v>30.505278902670256</v>
      </c>
      <c r="AI170" s="20">
        <f>Table9[[#This Row],[RTH(max) (kΩ)]]*RT2_TH_S_MAX/(RT2_TH_S_MAX+Table9[[#This Row],[RTH(max) (kΩ)]])</f>
        <v>30.535784181572922</v>
      </c>
      <c r="AJ170" s="20">
        <f>Table9[[#This Row],[RLower(min) (kΩ)]]/(Table9[[#This Row],[RLower(min) (kΩ)]]+RT1_TH_S_MAX)*100</f>
        <v>85.332443462432792</v>
      </c>
      <c r="AK170" s="20">
        <f>Table9[[#This Row],[RLower(nom) (kΩ)]]/(Table9[[#This Row],[RLower(nom) (kΩ)]]+RT1_TH_S)*100</f>
        <v>85.357458154608338</v>
      </c>
      <c r="AL170" s="20">
        <f>Table9[[#This Row],[RLower(max) (kΩ)]]/(Table9[[#This Row],[RLower(max) (kΩ)]]+RT1_TH_S_MIN)*100</f>
        <v>85.382437493546604</v>
      </c>
      <c r="AM170" s="20">
        <f>IF(Table9[[#This Row],[Vmin (%)]]&lt;$BA$14, 0, IF(Table9[[#This Row],[Vmin (%)]]&lt;$BA$12, 4, IF(Table9[[#This Row],[Vmin (%)]]&lt;$BA$9, 3, IF(Table9[[#This Row],[Vmin (%)]]&lt;$BA$7, 2, 0))))</f>
        <v>0</v>
      </c>
      <c r="AN170" s="20">
        <f>IF(Table9[[#This Row],[Vmin (%)]]&lt;$BA$13, 0, IF(Table9[[#This Row],[Vmin (%)]]&lt;$BA$11, 4, IF(Table9[[#This Row],[Vmin (%)]]&lt;$BA$10, 3, IF(Table9[[#This Row],[Vmin (%)]]&lt;$BA$8, 2, 0))))</f>
        <v>0</v>
      </c>
      <c r="AO170" s="76" t="str">
        <f>IF(Table9[[#This Row],[Vmin (%)]]&lt;$BA$14, "Hot", IF(Table9[[#This Row],[Vmin (%)]]&lt;$BA$12, "Warm", IF(Table9[[#This Row],[Vmin (%)]]&lt;$BA$9, "Normal", IF(Table9[[#This Row],[Vmin (%)]]&lt;$BA$7, "Cool", "Cold"))))</f>
        <v>Cold</v>
      </c>
      <c r="AP170" s="19"/>
      <c r="AQ170" s="19"/>
      <c r="AR170" s="19"/>
      <c r="AS170" s="19"/>
      <c r="AT170" s="19"/>
      <c r="AU170" s="19"/>
      <c r="AV170" s="19"/>
      <c r="AW170" s="19"/>
      <c r="AX170" s="19"/>
      <c r="AY170" s="19"/>
      <c r="AZ170" s="19"/>
      <c r="BA170" s="19"/>
      <c r="BB170" s="19"/>
      <c r="BC170" s="19"/>
      <c r="BD170" s="19"/>
      <c r="BE170" s="19"/>
      <c r="BF170" s="19"/>
      <c r="BG170" s="19"/>
      <c r="BH170" s="19"/>
      <c r="BI170" s="19"/>
      <c r="BJ170" s="19"/>
      <c r="BK170" s="19"/>
      <c r="BL170" s="19"/>
      <c r="BM170" s="19"/>
      <c r="BN170" s="19"/>
      <c r="BO170" s="19"/>
      <c r="BP170" s="19"/>
      <c r="BQ170" s="19"/>
      <c r="BR170" s="19"/>
      <c r="BS170" s="19"/>
      <c r="BT170" s="19"/>
      <c r="BU170" s="19"/>
      <c r="BV170" s="19"/>
      <c r="BW170" s="19"/>
      <c r="BX170" s="19"/>
      <c r="BY170" s="19"/>
      <c r="BZ170" s="19"/>
      <c r="CA170" s="19"/>
      <c r="CB170" s="19"/>
      <c r="CC170" s="19"/>
      <c r="CD170" s="19"/>
      <c r="CE170" s="19"/>
      <c r="CF170" s="19"/>
      <c r="CG170" s="19"/>
      <c r="CH170" s="19"/>
      <c r="CI170" s="19"/>
      <c r="CJ170" s="19"/>
      <c r="CK170" s="19"/>
      <c r="CL170" s="19"/>
      <c r="CM170" s="19"/>
      <c r="CN170" s="19"/>
      <c r="CO170" s="19"/>
      <c r="CP170" s="19"/>
      <c r="CQ170" s="19"/>
      <c r="CR170" s="19"/>
      <c r="CS170" s="19"/>
      <c r="CT170" s="19"/>
      <c r="CU170" s="19"/>
      <c r="CV170" s="19"/>
      <c r="CW170" s="19"/>
      <c r="CX170" s="19"/>
      <c r="CY170" s="19"/>
      <c r="CZ170" s="19"/>
      <c r="DA170" s="19"/>
      <c r="DB170" s="19"/>
      <c r="DC170" s="19"/>
      <c r="DD170" s="19"/>
      <c r="DE170" s="19"/>
      <c r="DF170" s="19"/>
      <c r="DG170" s="19"/>
      <c r="DH170" s="19"/>
      <c r="DI170" s="19"/>
      <c r="DJ170" s="19"/>
      <c r="DK170" s="19"/>
      <c r="DL170" s="19"/>
      <c r="DM170" s="19"/>
      <c r="DN170" s="19"/>
      <c r="DO170" s="19"/>
      <c r="DP170" s="19"/>
      <c r="DQ170" s="19"/>
      <c r="DR170" s="19"/>
      <c r="DS170" s="19"/>
      <c r="DT170" s="19"/>
      <c r="DU170" s="19"/>
      <c r="DV170" s="19"/>
      <c r="DW170" s="19"/>
      <c r="DX170" s="19"/>
      <c r="DY170" s="19"/>
      <c r="DZ170" s="19"/>
      <c r="EA170" s="19"/>
      <c r="EB170" s="19"/>
      <c r="EC170" s="19"/>
      <c r="ED170" s="19"/>
      <c r="EE170" s="19"/>
      <c r="EF170" s="19"/>
      <c r="EG170" s="19"/>
      <c r="EH170" s="19"/>
      <c r="EI170" s="19"/>
      <c r="EJ170" s="19"/>
      <c r="EK170" s="19"/>
      <c r="EL170" s="19"/>
      <c r="EM170" s="19"/>
      <c r="EN170" s="19"/>
      <c r="EO170" s="19"/>
      <c r="EP170" s="19"/>
      <c r="EQ170" s="19"/>
      <c r="ER170" s="19"/>
      <c r="ES170" s="19"/>
      <c r="ET170" s="19"/>
      <c r="EU170" s="19"/>
      <c r="EV170" s="19"/>
      <c r="EW170" s="19"/>
      <c r="EX170" s="19"/>
      <c r="EY170" s="19"/>
      <c r="EZ170" s="19"/>
      <c r="FA170" s="19"/>
      <c r="FB170" s="19"/>
      <c r="FC170" s="19"/>
      <c r="FD170" s="19"/>
      <c r="FE170" s="19"/>
      <c r="FF170" s="19"/>
      <c r="FG170" s="19"/>
      <c r="FH170" s="19"/>
      <c r="FI170" s="19"/>
      <c r="FJ170" s="19"/>
      <c r="FK170" s="19"/>
      <c r="FL170" s="19"/>
      <c r="FM170" s="19"/>
      <c r="FN170" s="19"/>
      <c r="FO170" s="19"/>
      <c r="FP170" s="19"/>
      <c r="FQ170" s="19"/>
      <c r="FR170" s="19"/>
      <c r="FS170" s="19"/>
      <c r="FT170" s="19"/>
      <c r="FU170" s="19"/>
      <c r="FV170" s="19"/>
      <c r="FW170" s="19"/>
      <c r="FX170" s="19"/>
      <c r="FY170" s="19"/>
      <c r="FZ170" s="19"/>
      <c r="GA170" s="19"/>
      <c r="GB170" s="19"/>
      <c r="GC170" s="19"/>
      <c r="GD170" s="19"/>
      <c r="GE170" s="19"/>
      <c r="GF170" s="19"/>
      <c r="GG170" s="19"/>
      <c r="GH170" s="19"/>
      <c r="GI170" s="19"/>
      <c r="GJ170" s="19"/>
      <c r="GK170" s="19"/>
      <c r="GL170" s="19"/>
      <c r="GM170" s="19"/>
      <c r="GN170" s="19"/>
      <c r="GO170" s="19"/>
      <c r="GP170" s="19"/>
      <c r="GQ170" s="19"/>
      <c r="GR170" s="19"/>
      <c r="GS170" s="19"/>
      <c r="GT170" s="19"/>
      <c r="GU170" s="19"/>
      <c r="GV170" s="19"/>
      <c r="GW170" s="19"/>
      <c r="GX170" s="19"/>
      <c r="GY170" s="19"/>
      <c r="GZ170" s="19"/>
      <c r="HA170" s="19"/>
      <c r="HB170" s="19"/>
    </row>
    <row r="171" spans="1:210" hidden="1" x14ac:dyDescent="0.25">
      <c r="A171" s="113">
        <f t="shared" si="30"/>
        <v>-41</v>
      </c>
      <c r="B171" s="163"/>
      <c r="C171" s="172" t="str">
        <f t="shared" si="25"/>
        <v>RTH at -41 °C</v>
      </c>
      <c r="D171" s="196">
        <f t="shared" ref="D171:D179" si="31">$D$105+(ROW(D171)-ROW($D$105))*($D$180-$D$105)/(ROW($D$180)-ROW($D$105))</f>
        <v>3.86</v>
      </c>
      <c r="E171" s="207">
        <v>9.9999999999999997E+98</v>
      </c>
      <c r="F171" s="208">
        <v>9.9999999999999997E+98</v>
      </c>
      <c r="G171" s="209">
        <v>9.9999999999999997E+98</v>
      </c>
      <c r="H171" s="128" t="s">
        <v>18</v>
      </c>
      <c r="I171" s="29"/>
      <c r="J171" s="29">
        <v>207</v>
      </c>
      <c r="K171" s="29">
        <v>198.9</v>
      </c>
      <c r="L171" s="29">
        <v>191</v>
      </c>
      <c r="M171" s="29"/>
      <c r="N171" s="29"/>
      <c r="O171" s="29"/>
      <c r="P171" s="29"/>
      <c r="Q171" s="29"/>
      <c r="R171" s="29"/>
      <c r="S171" s="29"/>
      <c r="T171" s="29"/>
      <c r="U171" s="29"/>
      <c r="V171" s="29"/>
      <c r="W171" s="29"/>
      <c r="X171" s="29"/>
      <c r="Y171" s="30"/>
      <c r="Z171" s="18"/>
      <c r="AA171" s="19"/>
      <c r="AB171" s="19"/>
      <c r="AC171" s="20">
        <f t="shared" si="26"/>
        <v>-41</v>
      </c>
      <c r="AD171" s="20">
        <f t="shared" si="27"/>
        <v>9.9999999999999997E+98</v>
      </c>
      <c r="AE171" s="20">
        <f t="shared" si="28"/>
        <v>9.9999999999999997E+98</v>
      </c>
      <c r="AF171" s="20">
        <f t="shared" si="29"/>
        <v>9.9999999999999997E+98</v>
      </c>
      <c r="AG171" s="20">
        <f>Table9[[#This Row],[RTH(min) (kΩ)]]*RT2_TH_MIN/(RT2_TH_MIN+Table9[[#This Row],[RTH(min) (kΩ)]])</f>
        <v>30.474773623767586</v>
      </c>
      <c r="AH171" s="20">
        <f>Table9[[#This Row],[RTH(nom) (kΩ)]]*RT2_TH_S/(RT2_TH_S+Table9[[#This Row],[RTH(nom) (kΩ)]])</f>
        <v>30.505278902670256</v>
      </c>
      <c r="AI171" s="20">
        <f>Table9[[#This Row],[RTH(max) (kΩ)]]*RT2_TH_S_MAX/(RT2_TH_S_MAX+Table9[[#This Row],[RTH(max) (kΩ)]])</f>
        <v>30.535784181572922</v>
      </c>
      <c r="AJ171" s="20">
        <f>Table9[[#This Row],[RLower(min) (kΩ)]]/(Table9[[#This Row],[RLower(min) (kΩ)]]+RT1_TH_S_MAX)*100</f>
        <v>85.332443462432792</v>
      </c>
      <c r="AK171" s="20">
        <f>Table9[[#This Row],[RLower(nom) (kΩ)]]/(Table9[[#This Row],[RLower(nom) (kΩ)]]+RT1_TH_S)*100</f>
        <v>85.357458154608338</v>
      </c>
      <c r="AL171" s="20">
        <f>Table9[[#This Row],[RLower(max) (kΩ)]]/(Table9[[#This Row],[RLower(max) (kΩ)]]+RT1_TH_S_MIN)*100</f>
        <v>85.382437493546604</v>
      </c>
      <c r="AM171" s="20">
        <f>IF(Table9[[#This Row],[Vmin (%)]]&lt;$BA$14, 0, IF(Table9[[#This Row],[Vmin (%)]]&lt;$BA$12, 4, IF(Table9[[#This Row],[Vmin (%)]]&lt;$BA$9, 3, IF(Table9[[#This Row],[Vmin (%)]]&lt;$BA$7, 2, 0))))</f>
        <v>0</v>
      </c>
      <c r="AN171" s="20">
        <f>IF(Table9[[#This Row],[Vmin (%)]]&lt;$BA$13, 0, IF(Table9[[#This Row],[Vmin (%)]]&lt;$BA$11, 4, IF(Table9[[#This Row],[Vmin (%)]]&lt;$BA$10, 3, IF(Table9[[#This Row],[Vmin (%)]]&lt;$BA$8, 2, 0))))</f>
        <v>0</v>
      </c>
      <c r="AO171" s="76" t="str">
        <f>IF(Table9[[#This Row],[Vmin (%)]]&lt;$BA$14, "Hot", IF(Table9[[#This Row],[Vmin (%)]]&lt;$BA$12, "Warm", IF(Table9[[#This Row],[Vmin (%)]]&lt;$BA$9, "Normal", IF(Table9[[#This Row],[Vmin (%)]]&lt;$BA$7, "Cool", "Cold"))))</f>
        <v>Cold</v>
      </c>
      <c r="AP171" s="19"/>
      <c r="AQ171" s="19"/>
      <c r="AR171" s="19"/>
      <c r="AS171" s="19"/>
      <c r="AT171" s="19"/>
      <c r="AU171" s="19"/>
      <c r="AV171" s="19"/>
      <c r="AW171" s="19"/>
      <c r="AX171" s="19"/>
      <c r="AY171" s="19"/>
      <c r="AZ171" s="19"/>
      <c r="BA171" s="19"/>
      <c r="BB171" s="19"/>
      <c r="BC171" s="19"/>
      <c r="BD171" s="19"/>
      <c r="BE171" s="19"/>
      <c r="BF171" s="19"/>
      <c r="BG171" s="19"/>
      <c r="BH171" s="19"/>
      <c r="BI171" s="19"/>
      <c r="BJ171" s="19"/>
      <c r="BK171" s="19"/>
      <c r="BL171" s="19"/>
      <c r="BM171" s="19"/>
      <c r="BN171" s="19"/>
      <c r="BO171" s="19"/>
      <c r="BP171" s="19"/>
      <c r="BQ171" s="19"/>
      <c r="BR171" s="19"/>
      <c r="BS171" s="19"/>
      <c r="BT171" s="19"/>
      <c r="BU171" s="19"/>
      <c r="BV171" s="19"/>
      <c r="BW171" s="19"/>
      <c r="BX171" s="19"/>
      <c r="BY171" s="19"/>
      <c r="BZ171" s="19"/>
      <c r="CA171" s="19"/>
      <c r="CB171" s="19"/>
      <c r="CC171" s="19"/>
      <c r="CD171" s="19"/>
      <c r="CE171" s="19"/>
      <c r="CF171" s="19"/>
      <c r="CG171" s="19"/>
      <c r="CH171" s="19"/>
      <c r="CI171" s="19"/>
      <c r="CJ171" s="19"/>
      <c r="CK171" s="19"/>
      <c r="CL171" s="19"/>
      <c r="CM171" s="19"/>
      <c r="CN171" s="19"/>
      <c r="CO171" s="19"/>
      <c r="CP171" s="19"/>
      <c r="CQ171" s="19"/>
      <c r="CR171" s="19"/>
      <c r="CS171" s="19"/>
      <c r="CT171" s="19"/>
      <c r="CU171" s="19"/>
      <c r="CV171" s="19"/>
      <c r="CW171" s="19"/>
      <c r="CX171" s="19"/>
      <c r="CY171" s="19"/>
      <c r="CZ171" s="19"/>
      <c r="DA171" s="19"/>
      <c r="DB171" s="19"/>
      <c r="DC171" s="19"/>
      <c r="DD171" s="19"/>
      <c r="DE171" s="19"/>
      <c r="DF171" s="19"/>
      <c r="DG171" s="19"/>
      <c r="DH171" s="19"/>
      <c r="DI171" s="19"/>
      <c r="DJ171" s="19"/>
      <c r="DK171" s="19"/>
      <c r="DL171" s="19"/>
      <c r="DM171" s="19"/>
      <c r="DN171" s="19"/>
      <c r="DO171" s="19"/>
      <c r="DP171" s="19"/>
      <c r="DQ171" s="19"/>
      <c r="DR171" s="19"/>
      <c r="DS171" s="19"/>
      <c r="DT171" s="19"/>
      <c r="DU171" s="19"/>
      <c r="DV171" s="19"/>
      <c r="DW171" s="19"/>
      <c r="DX171" s="19"/>
      <c r="DY171" s="19"/>
      <c r="DZ171" s="19"/>
      <c r="EA171" s="19"/>
      <c r="EB171" s="19"/>
      <c r="EC171" s="19"/>
      <c r="ED171" s="19"/>
      <c r="EE171" s="19"/>
      <c r="EF171" s="19"/>
      <c r="EG171" s="19"/>
      <c r="EH171" s="19"/>
      <c r="EI171" s="19"/>
      <c r="EJ171" s="19"/>
      <c r="EK171" s="19"/>
      <c r="EL171" s="19"/>
      <c r="EM171" s="19"/>
      <c r="EN171" s="19"/>
      <c r="EO171" s="19"/>
      <c r="EP171" s="19"/>
      <c r="EQ171" s="19"/>
      <c r="ER171" s="19"/>
      <c r="ES171" s="19"/>
      <c r="ET171" s="19"/>
      <c r="EU171" s="19"/>
      <c r="EV171" s="19"/>
      <c r="EW171" s="19"/>
      <c r="EX171" s="19"/>
      <c r="EY171" s="19"/>
      <c r="EZ171" s="19"/>
      <c r="FA171" s="19"/>
      <c r="FB171" s="19"/>
      <c r="FC171" s="19"/>
      <c r="FD171" s="19"/>
      <c r="FE171" s="19"/>
      <c r="FF171" s="19"/>
      <c r="FG171" s="19"/>
      <c r="FH171" s="19"/>
      <c r="FI171" s="19"/>
      <c r="FJ171" s="19"/>
      <c r="FK171" s="19"/>
      <c r="FL171" s="19"/>
      <c r="FM171" s="19"/>
      <c r="FN171" s="19"/>
      <c r="FO171" s="19"/>
      <c r="FP171" s="19"/>
      <c r="FQ171" s="19"/>
      <c r="FR171" s="19"/>
      <c r="FS171" s="19"/>
      <c r="FT171" s="19"/>
      <c r="FU171" s="19"/>
      <c r="FV171" s="19"/>
      <c r="FW171" s="19"/>
      <c r="FX171" s="19"/>
      <c r="FY171" s="19"/>
      <c r="FZ171" s="19"/>
      <c r="GA171" s="19"/>
      <c r="GB171" s="19"/>
      <c r="GC171" s="19"/>
      <c r="GD171" s="19"/>
      <c r="GE171" s="19"/>
      <c r="GF171" s="19"/>
      <c r="GG171" s="19"/>
      <c r="GH171" s="19"/>
      <c r="GI171" s="19"/>
      <c r="GJ171" s="19"/>
      <c r="GK171" s="19"/>
      <c r="GL171" s="19"/>
      <c r="GM171" s="19"/>
      <c r="GN171" s="19"/>
      <c r="GO171" s="19"/>
      <c r="GP171" s="19"/>
      <c r="GQ171" s="19"/>
      <c r="GR171" s="19"/>
      <c r="GS171" s="19"/>
      <c r="GT171" s="19"/>
      <c r="GU171" s="19"/>
      <c r="GV171" s="19"/>
      <c r="GW171" s="19"/>
      <c r="GX171" s="19"/>
      <c r="GY171" s="19"/>
      <c r="GZ171" s="19"/>
      <c r="HA171" s="19"/>
      <c r="HB171" s="19"/>
    </row>
    <row r="172" spans="1:210" hidden="1" x14ac:dyDescent="0.25">
      <c r="A172" s="113">
        <f t="shared" si="30"/>
        <v>-42</v>
      </c>
      <c r="B172" s="163"/>
      <c r="C172" s="172" t="str">
        <f t="shared" si="25"/>
        <v>RTH at -42 °C</v>
      </c>
      <c r="D172" s="196">
        <f t="shared" si="31"/>
        <v>3.9033333333333333</v>
      </c>
      <c r="E172" s="207">
        <v>9.9999999999999997E+98</v>
      </c>
      <c r="F172" s="208">
        <v>9.9999999999999997E+98</v>
      </c>
      <c r="G172" s="209">
        <v>9.9999999999999997E+98</v>
      </c>
      <c r="H172" s="128" t="s">
        <v>18</v>
      </c>
      <c r="I172" s="29"/>
      <c r="J172" s="29">
        <v>218.6</v>
      </c>
      <c r="K172" s="29">
        <v>209.9</v>
      </c>
      <c r="L172" s="29">
        <v>201.6</v>
      </c>
      <c r="M172" s="29"/>
      <c r="N172" s="29"/>
      <c r="O172" s="29"/>
      <c r="P172" s="29"/>
      <c r="Q172" s="29"/>
      <c r="R172" s="29"/>
      <c r="S172" s="29"/>
      <c r="T172" s="29"/>
      <c r="U172" s="29"/>
      <c r="V172" s="29"/>
      <c r="W172" s="29"/>
      <c r="X172" s="29"/>
      <c r="Y172" s="30"/>
      <c r="Z172" s="18"/>
      <c r="AA172" s="19"/>
      <c r="AB172" s="19"/>
      <c r="AC172" s="20">
        <f t="shared" si="26"/>
        <v>-42</v>
      </c>
      <c r="AD172" s="20">
        <f t="shared" si="27"/>
        <v>9.9999999999999997E+98</v>
      </c>
      <c r="AE172" s="20">
        <f t="shared" si="28"/>
        <v>9.9999999999999997E+98</v>
      </c>
      <c r="AF172" s="20">
        <f t="shared" si="29"/>
        <v>9.9999999999999997E+98</v>
      </c>
      <c r="AG172" s="20">
        <f>Table9[[#This Row],[RTH(min) (kΩ)]]*RT2_TH_MIN/(RT2_TH_MIN+Table9[[#This Row],[RTH(min) (kΩ)]])</f>
        <v>30.474773623767586</v>
      </c>
      <c r="AH172" s="20">
        <f>Table9[[#This Row],[RTH(nom) (kΩ)]]*RT2_TH_S/(RT2_TH_S+Table9[[#This Row],[RTH(nom) (kΩ)]])</f>
        <v>30.505278902670256</v>
      </c>
      <c r="AI172" s="20">
        <f>Table9[[#This Row],[RTH(max) (kΩ)]]*RT2_TH_S_MAX/(RT2_TH_S_MAX+Table9[[#This Row],[RTH(max) (kΩ)]])</f>
        <v>30.535784181572922</v>
      </c>
      <c r="AJ172" s="20">
        <f>Table9[[#This Row],[RLower(min) (kΩ)]]/(Table9[[#This Row],[RLower(min) (kΩ)]]+RT1_TH_S_MAX)*100</f>
        <v>85.332443462432792</v>
      </c>
      <c r="AK172" s="20">
        <f>Table9[[#This Row],[RLower(nom) (kΩ)]]/(Table9[[#This Row],[RLower(nom) (kΩ)]]+RT1_TH_S)*100</f>
        <v>85.357458154608338</v>
      </c>
      <c r="AL172" s="20">
        <f>Table9[[#This Row],[RLower(max) (kΩ)]]/(Table9[[#This Row],[RLower(max) (kΩ)]]+RT1_TH_S_MIN)*100</f>
        <v>85.382437493546604</v>
      </c>
      <c r="AM172" s="20">
        <f>IF(Table9[[#This Row],[Vmin (%)]]&lt;$BA$14, 0, IF(Table9[[#This Row],[Vmin (%)]]&lt;$BA$12, 4, IF(Table9[[#This Row],[Vmin (%)]]&lt;$BA$9, 3, IF(Table9[[#This Row],[Vmin (%)]]&lt;$BA$7, 2, 0))))</f>
        <v>0</v>
      </c>
      <c r="AN172" s="20">
        <f>IF(Table9[[#This Row],[Vmin (%)]]&lt;$BA$13, 0, IF(Table9[[#This Row],[Vmin (%)]]&lt;$BA$11, 4, IF(Table9[[#This Row],[Vmin (%)]]&lt;$BA$10, 3, IF(Table9[[#This Row],[Vmin (%)]]&lt;$BA$8, 2, 0))))</f>
        <v>0</v>
      </c>
      <c r="AO172" s="76" t="str">
        <f>IF(Table9[[#This Row],[Vmin (%)]]&lt;$BA$14, "Hot", IF(Table9[[#This Row],[Vmin (%)]]&lt;$BA$12, "Warm", IF(Table9[[#This Row],[Vmin (%)]]&lt;$BA$9, "Normal", IF(Table9[[#This Row],[Vmin (%)]]&lt;$BA$7, "Cool", "Cold"))))</f>
        <v>Cold</v>
      </c>
      <c r="AP172" s="19"/>
      <c r="AQ172" s="19"/>
      <c r="AR172" s="19"/>
      <c r="AS172" s="19"/>
      <c r="AT172" s="19"/>
      <c r="AU172" s="19"/>
      <c r="AV172" s="19"/>
      <c r="AW172" s="19"/>
      <c r="AX172" s="19"/>
      <c r="AY172" s="19"/>
      <c r="AZ172" s="19"/>
      <c r="BA172" s="19"/>
      <c r="BB172" s="19"/>
      <c r="BC172" s="19"/>
      <c r="BD172" s="19"/>
      <c r="BE172" s="19"/>
      <c r="BF172" s="19"/>
      <c r="BG172" s="19"/>
      <c r="BH172" s="19"/>
      <c r="BI172" s="19"/>
      <c r="BJ172" s="19"/>
      <c r="BK172" s="19"/>
      <c r="BL172" s="19"/>
      <c r="BM172" s="19"/>
      <c r="BN172" s="19"/>
      <c r="BO172" s="19"/>
      <c r="BP172" s="19"/>
      <c r="BQ172" s="19"/>
      <c r="BR172" s="19"/>
      <c r="BS172" s="19"/>
      <c r="BT172" s="19"/>
      <c r="BU172" s="19"/>
      <c r="BV172" s="19"/>
      <c r="BW172" s="19"/>
      <c r="BX172" s="19"/>
      <c r="BY172" s="19"/>
      <c r="BZ172" s="19"/>
      <c r="CA172" s="19"/>
      <c r="CB172" s="19"/>
      <c r="CC172" s="19"/>
      <c r="CD172" s="19"/>
      <c r="CE172" s="19"/>
      <c r="CF172" s="19"/>
      <c r="CG172" s="19"/>
      <c r="CH172" s="19"/>
      <c r="CI172" s="19"/>
      <c r="CJ172" s="19"/>
      <c r="CK172" s="19"/>
      <c r="CL172" s="19"/>
      <c r="CM172" s="19"/>
      <c r="CN172" s="19"/>
      <c r="CO172" s="19"/>
      <c r="CP172" s="19"/>
      <c r="CQ172" s="19"/>
      <c r="CR172" s="19"/>
      <c r="CS172" s="19"/>
      <c r="CT172" s="19"/>
      <c r="CU172" s="19"/>
      <c r="CV172" s="19"/>
      <c r="CW172" s="19"/>
      <c r="CX172" s="19"/>
      <c r="CY172" s="19"/>
      <c r="CZ172" s="19"/>
      <c r="DA172" s="19"/>
      <c r="DB172" s="19"/>
      <c r="DC172" s="19"/>
      <c r="DD172" s="19"/>
      <c r="DE172" s="19"/>
      <c r="DF172" s="19"/>
      <c r="DG172" s="19"/>
      <c r="DH172" s="19"/>
      <c r="DI172" s="19"/>
      <c r="DJ172" s="19"/>
      <c r="DK172" s="19"/>
      <c r="DL172" s="19"/>
      <c r="DM172" s="19"/>
      <c r="DN172" s="19"/>
      <c r="DO172" s="19"/>
      <c r="DP172" s="19"/>
      <c r="DQ172" s="19"/>
      <c r="DR172" s="19"/>
      <c r="DS172" s="19"/>
      <c r="DT172" s="19"/>
      <c r="DU172" s="19"/>
      <c r="DV172" s="19"/>
      <c r="DW172" s="19"/>
      <c r="DX172" s="19"/>
      <c r="DY172" s="19"/>
      <c r="DZ172" s="19"/>
      <c r="EA172" s="19"/>
      <c r="EB172" s="19"/>
      <c r="EC172" s="19"/>
      <c r="ED172" s="19"/>
      <c r="EE172" s="19"/>
      <c r="EF172" s="19"/>
      <c r="EG172" s="19"/>
      <c r="EH172" s="19"/>
      <c r="EI172" s="19"/>
      <c r="EJ172" s="19"/>
      <c r="EK172" s="19"/>
      <c r="EL172" s="19"/>
      <c r="EM172" s="19"/>
      <c r="EN172" s="19"/>
      <c r="EO172" s="19"/>
      <c r="EP172" s="19"/>
      <c r="EQ172" s="19"/>
      <c r="ER172" s="19"/>
      <c r="ES172" s="19"/>
      <c r="ET172" s="19"/>
      <c r="EU172" s="19"/>
      <c r="EV172" s="19"/>
      <c r="EW172" s="19"/>
      <c r="EX172" s="19"/>
      <c r="EY172" s="19"/>
      <c r="EZ172" s="19"/>
      <c r="FA172" s="19"/>
      <c r="FB172" s="19"/>
      <c r="FC172" s="19"/>
      <c r="FD172" s="19"/>
      <c r="FE172" s="19"/>
      <c r="FF172" s="19"/>
      <c r="FG172" s="19"/>
      <c r="FH172" s="19"/>
      <c r="FI172" s="19"/>
      <c r="FJ172" s="19"/>
      <c r="FK172" s="19"/>
      <c r="FL172" s="19"/>
      <c r="FM172" s="19"/>
      <c r="FN172" s="19"/>
      <c r="FO172" s="19"/>
      <c r="FP172" s="19"/>
      <c r="FQ172" s="19"/>
      <c r="FR172" s="19"/>
      <c r="FS172" s="19"/>
      <c r="FT172" s="19"/>
      <c r="FU172" s="19"/>
      <c r="FV172" s="19"/>
      <c r="FW172" s="19"/>
      <c r="FX172" s="19"/>
      <c r="FY172" s="19"/>
      <c r="FZ172" s="19"/>
      <c r="GA172" s="19"/>
      <c r="GB172" s="19"/>
      <c r="GC172" s="19"/>
      <c r="GD172" s="19"/>
      <c r="GE172" s="19"/>
      <c r="GF172" s="19"/>
      <c r="GG172" s="19"/>
      <c r="GH172" s="19"/>
      <c r="GI172" s="19"/>
      <c r="GJ172" s="19"/>
      <c r="GK172" s="19"/>
      <c r="GL172" s="19"/>
      <c r="GM172" s="19"/>
      <c r="GN172" s="19"/>
      <c r="GO172" s="19"/>
      <c r="GP172" s="19"/>
      <c r="GQ172" s="19"/>
      <c r="GR172" s="19"/>
      <c r="GS172" s="19"/>
      <c r="GT172" s="19"/>
      <c r="GU172" s="19"/>
      <c r="GV172" s="19"/>
      <c r="GW172" s="19"/>
      <c r="GX172" s="19"/>
      <c r="GY172" s="19"/>
      <c r="GZ172" s="19"/>
      <c r="HA172" s="19"/>
      <c r="HB172" s="19"/>
    </row>
    <row r="173" spans="1:210" hidden="1" x14ac:dyDescent="0.25">
      <c r="A173" s="113">
        <f t="shared" si="30"/>
        <v>-43</v>
      </c>
      <c r="B173" s="163"/>
      <c r="C173" s="172" t="str">
        <f t="shared" si="25"/>
        <v>RTH at -43 °C</v>
      </c>
      <c r="D173" s="196">
        <f t="shared" si="31"/>
        <v>3.9466666666666668</v>
      </c>
      <c r="E173" s="207">
        <v>9.9999999999999997E+98</v>
      </c>
      <c r="F173" s="208">
        <v>9.9999999999999997E+98</v>
      </c>
      <c r="G173" s="209">
        <v>9.9999999999999997E+98</v>
      </c>
      <c r="H173" s="128" t="s">
        <v>18</v>
      </c>
      <c r="I173" s="29"/>
      <c r="J173" s="29">
        <v>231</v>
      </c>
      <c r="K173" s="29">
        <v>221.7</v>
      </c>
      <c r="L173" s="29">
        <v>212.8</v>
      </c>
      <c r="M173" s="29"/>
      <c r="N173" s="29"/>
      <c r="O173" s="29"/>
      <c r="P173" s="29"/>
      <c r="Q173" s="29"/>
      <c r="R173" s="29"/>
      <c r="S173" s="29"/>
      <c r="T173" s="29"/>
      <c r="U173" s="29"/>
      <c r="V173" s="29"/>
      <c r="W173" s="29"/>
      <c r="X173" s="29"/>
      <c r="Y173" s="30"/>
      <c r="Z173" s="18"/>
      <c r="AA173" s="19"/>
      <c r="AB173" s="19"/>
      <c r="AC173" s="20">
        <f t="shared" si="26"/>
        <v>-43</v>
      </c>
      <c r="AD173" s="20">
        <f t="shared" si="27"/>
        <v>9.9999999999999997E+98</v>
      </c>
      <c r="AE173" s="20">
        <f t="shared" si="28"/>
        <v>9.9999999999999997E+98</v>
      </c>
      <c r="AF173" s="20">
        <f t="shared" si="29"/>
        <v>9.9999999999999997E+98</v>
      </c>
      <c r="AG173" s="20">
        <f>Table9[[#This Row],[RTH(min) (kΩ)]]*RT2_TH_MIN/(RT2_TH_MIN+Table9[[#This Row],[RTH(min) (kΩ)]])</f>
        <v>30.474773623767586</v>
      </c>
      <c r="AH173" s="20">
        <f>Table9[[#This Row],[RTH(nom) (kΩ)]]*RT2_TH_S/(RT2_TH_S+Table9[[#This Row],[RTH(nom) (kΩ)]])</f>
        <v>30.505278902670256</v>
      </c>
      <c r="AI173" s="20">
        <f>Table9[[#This Row],[RTH(max) (kΩ)]]*RT2_TH_S_MAX/(RT2_TH_S_MAX+Table9[[#This Row],[RTH(max) (kΩ)]])</f>
        <v>30.535784181572922</v>
      </c>
      <c r="AJ173" s="20">
        <f>Table9[[#This Row],[RLower(min) (kΩ)]]/(Table9[[#This Row],[RLower(min) (kΩ)]]+RT1_TH_S_MAX)*100</f>
        <v>85.332443462432792</v>
      </c>
      <c r="AK173" s="20">
        <f>Table9[[#This Row],[RLower(nom) (kΩ)]]/(Table9[[#This Row],[RLower(nom) (kΩ)]]+RT1_TH_S)*100</f>
        <v>85.357458154608338</v>
      </c>
      <c r="AL173" s="20">
        <f>Table9[[#This Row],[RLower(max) (kΩ)]]/(Table9[[#This Row],[RLower(max) (kΩ)]]+RT1_TH_S_MIN)*100</f>
        <v>85.382437493546604</v>
      </c>
      <c r="AM173" s="20">
        <f>IF(Table9[[#This Row],[Vmin (%)]]&lt;$BA$14, 0, IF(Table9[[#This Row],[Vmin (%)]]&lt;$BA$12, 4, IF(Table9[[#This Row],[Vmin (%)]]&lt;$BA$9, 3, IF(Table9[[#This Row],[Vmin (%)]]&lt;$BA$7, 2, 0))))</f>
        <v>0</v>
      </c>
      <c r="AN173" s="20">
        <f>IF(Table9[[#This Row],[Vmin (%)]]&lt;$BA$13, 0, IF(Table9[[#This Row],[Vmin (%)]]&lt;$BA$11, 4, IF(Table9[[#This Row],[Vmin (%)]]&lt;$BA$10, 3, IF(Table9[[#This Row],[Vmin (%)]]&lt;$BA$8, 2, 0))))</f>
        <v>0</v>
      </c>
      <c r="AO173" s="76" t="str">
        <f>IF(Table9[[#This Row],[Vmin (%)]]&lt;$BA$14, "Hot", IF(Table9[[#This Row],[Vmin (%)]]&lt;$BA$12, "Warm", IF(Table9[[#This Row],[Vmin (%)]]&lt;$BA$9, "Normal", IF(Table9[[#This Row],[Vmin (%)]]&lt;$BA$7, "Cool", "Cold"))))</f>
        <v>Cold</v>
      </c>
      <c r="AP173" s="19"/>
      <c r="AQ173" s="19"/>
      <c r="AR173" s="19"/>
      <c r="AS173" s="19"/>
      <c r="AT173" s="19"/>
      <c r="AU173" s="19"/>
      <c r="AV173" s="19"/>
      <c r="AW173" s="19"/>
      <c r="AX173" s="19"/>
      <c r="AY173" s="19"/>
      <c r="AZ173" s="19"/>
      <c r="BA173" s="19"/>
      <c r="BB173" s="19"/>
      <c r="BC173" s="19"/>
      <c r="BD173" s="19"/>
      <c r="BE173" s="19"/>
      <c r="BF173" s="19"/>
      <c r="BG173" s="19"/>
      <c r="BH173" s="19"/>
      <c r="BI173" s="19"/>
      <c r="BJ173" s="19"/>
      <c r="BK173" s="19"/>
      <c r="BL173" s="19"/>
      <c r="BM173" s="19"/>
      <c r="BN173" s="19"/>
      <c r="BO173" s="19"/>
      <c r="BP173" s="19"/>
      <c r="BQ173" s="19"/>
      <c r="BR173" s="19"/>
      <c r="BS173" s="19"/>
      <c r="BT173" s="19"/>
      <c r="BU173" s="19"/>
      <c r="BV173" s="19"/>
      <c r="BW173" s="19"/>
      <c r="BX173" s="19"/>
      <c r="BY173" s="19"/>
      <c r="BZ173" s="19"/>
      <c r="CA173" s="19"/>
      <c r="CB173" s="19"/>
      <c r="CC173" s="19"/>
      <c r="CD173" s="19"/>
      <c r="CE173" s="19"/>
      <c r="CF173" s="19"/>
      <c r="CG173" s="19"/>
      <c r="CH173" s="19"/>
      <c r="CI173" s="19"/>
      <c r="CJ173" s="19"/>
      <c r="CK173" s="19"/>
      <c r="CL173" s="19"/>
      <c r="CM173" s="19"/>
      <c r="CN173" s="19"/>
      <c r="CO173" s="19"/>
      <c r="CP173" s="19"/>
      <c r="CQ173" s="19"/>
      <c r="CR173" s="19"/>
      <c r="CS173" s="19"/>
      <c r="CT173" s="19"/>
      <c r="CU173" s="19"/>
      <c r="CV173" s="19"/>
      <c r="CW173" s="19"/>
      <c r="CX173" s="19"/>
      <c r="CY173" s="19"/>
      <c r="CZ173" s="19"/>
      <c r="DA173" s="19"/>
      <c r="DB173" s="19"/>
      <c r="DC173" s="19"/>
      <c r="DD173" s="19"/>
      <c r="DE173" s="19"/>
      <c r="DF173" s="19"/>
      <c r="DG173" s="19"/>
      <c r="DH173" s="19"/>
      <c r="DI173" s="19"/>
      <c r="DJ173" s="19"/>
      <c r="DK173" s="19"/>
      <c r="DL173" s="19"/>
      <c r="DM173" s="19"/>
      <c r="DN173" s="19"/>
      <c r="DO173" s="19"/>
      <c r="DP173" s="19"/>
      <c r="DQ173" s="19"/>
      <c r="DR173" s="19"/>
      <c r="DS173" s="19"/>
      <c r="DT173" s="19"/>
      <c r="DU173" s="19"/>
      <c r="DV173" s="19"/>
      <c r="DW173" s="19"/>
      <c r="DX173" s="19"/>
      <c r="DY173" s="19"/>
      <c r="DZ173" s="19"/>
      <c r="EA173" s="19"/>
      <c r="EB173" s="19"/>
      <c r="EC173" s="19"/>
      <c r="ED173" s="19"/>
      <c r="EE173" s="19"/>
      <c r="EF173" s="19"/>
      <c r="EG173" s="19"/>
      <c r="EH173" s="19"/>
      <c r="EI173" s="19"/>
      <c r="EJ173" s="19"/>
      <c r="EK173" s="19"/>
      <c r="EL173" s="19"/>
      <c r="EM173" s="19"/>
      <c r="EN173" s="19"/>
      <c r="EO173" s="19"/>
      <c r="EP173" s="19"/>
      <c r="EQ173" s="19"/>
      <c r="ER173" s="19"/>
      <c r="ES173" s="19"/>
      <c r="ET173" s="19"/>
      <c r="EU173" s="19"/>
      <c r="EV173" s="19"/>
      <c r="EW173" s="19"/>
      <c r="EX173" s="19"/>
      <c r="EY173" s="19"/>
      <c r="EZ173" s="19"/>
      <c r="FA173" s="19"/>
      <c r="FB173" s="19"/>
      <c r="FC173" s="19"/>
      <c r="FD173" s="19"/>
      <c r="FE173" s="19"/>
      <c r="FF173" s="19"/>
      <c r="FG173" s="19"/>
      <c r="FH173" s="19"/>
      <c r="FI173" s="19"/>
      <c r="FJ173" s="19"/>
      <c r="FK173" s="19"/>
      <c r="FL173" s="19"/>
      <c r="FM173" s="19"/>
      <c r="FN173" s="19"/>
      <c r="FO173" s="19"/>
      <c r="FP173" s="19"/>
      <c r="FQ173" s="19"/>
      <c r="FR173" s="19"/>
      <c r="FS173" s="19"/>
      <c r="FT173" s="19"/>
      <c r="FU173" s="19"/>
      <c r="FV173" s="19"/>
      <c r="FW173" s="19"/>
      <c r="FX173" s="19"/>
      <c r="FY173" s="19"/>
      <c r="FZ173" s="19"/>
      <c r="GA173" s="19"/>
      <c r="GB173" s="19"/>
      <c r="GC173" s="19"/>
      <c r="GD173" s="19"/>
      <c r="GE173" s="19"/>
      <c r="GF173" s="19"/>
      <c r="GG173" s="19"/>
      <c r="GH173" s="19"/>
      <c r="GI173" s="19"/>
      <c r="GJ173" s="19"/>
      <c r="GK173" s="19"/>
      <c r="GL173" s="19"/>
      <c r="GM173" s="19"/>
      <c r="GN173" s="19"/>
      <c r="GO173" s="19"/>
      <c r="GP173" s="19"/>
      <c r="GQ173" s="19"/>
      <c r="GR173" s="19"/>
      <c r="GS173" s="19"/>
      <c r="GT173" s="19"/>
      <c r="GU173" s="19"/>
      <c r="GV173" s="19"/>
      <c r="GW173" s="19"/>
      <c r="GX173" s="19"/>
      <c r="GY173" s="19"/>
      <c r="GZ173" s="19"/>
      <c r="HA173" s="19"/>
      <c r="HB173" s="19"/>
    </row>
    <row r="174" spans="1:210" hidden="1" x14ac:dyDescent="0.25">
      <c r="A174" s="113">
        <f t="shared" si="30"/>
        <v>-44</v>
      </c>
      <c r="B174" s="163"/>
      <c r="C174" s="172" t="str">
        <f t="shared" si="25"/>
        <v>RTH at -44 °C</v>
      </c>
      <c r="D174" s="196">
        <f t="shared" si="31"/>
        <v>3.99</v>
      </c>
      <c r="E174" s="207">
        <v>9.9999999999999997E+98</v>
      </c>
      <c r="F174" s="208">
        <v>9.9999999999999997E+98</v>
      </c>
      <c r="G174" s="209">
        <v>9.9999999999999997E+98</v>
      </c>
      <c r="H174" s="128" t="s">
        <v>18</v>
      </c>
      <c r="I174" s="29"/>
      <c r="J174" s="29">
        <v>244.2</v>
      </c>
      <c r="K174" s="29">
        <v>234.3</v>
      </c>
      <c r="L174" s="29">
        <v>224.7</v>
      </c>
      <c r="M174" s="29"/>
      <c r="N174" s="29"/>
      <c r="O174" s="29"/>
      <c r="P174" s="29"/>
      <c r="Q174" s="29"/>
      <c r="R174" s="29"/>
      <c r="S174" s="29"/>
      <c r="T174" s="29"/>
      <c r="U174" s="29"/>
      <c r="V174" s="29"/>
      <c r="W174" s="29"/>
      <c r="X174" s="29"/>
      <c r="Y174" s="30"/>
      <c r="Z174" s="18"/>
      <c r="AA174" s="19"/>
      <c r="AB174" s="19"/>
      <c r="AC174" s="20">
        <f t="shared" si="26"/>
        <v>-44</v>
      </c>
      <c r="AD174" s="20">
        <f t="shared" si="27"/>
        <v>9.9999999999999997E+98</v>
      </c>
      <c r="AE174" s="20">
        <f t="shared" si="28"/>
        <v>9.9999999999999997E+98</v>
      </c>
      <c r="AF174" s="20">
        <f t="shared" si="29"/>
        <v>9.9999999999999997E+98</v>
      </c>
      <c r="AG174" s="20">
        <f>Table9[[#This Row],[RTH(min) (kΩ)]]*RT2_TH_MIN/(RT2_TH_MIN+Table9[[#This Row],[RTH(min) (kΩ)]])</f>
        <v>30.474773623767586</v>
      </c>
      <c r="AH174" s="20">
        <f>Table9[[#This Row],[RTH(nom) (kΩ)]]*RT2_TH_S/(RT2_TH_S+Table9[[#This Row],[RTH(nom) (kΩ)]])</f>
        <v>30.505278902670256</v>
      </c>
      <c r="AI174" s="20">
        <f>Table9[[#This Row],[RTH(max) (kΩ)]]*RT2_TH_S_MAX/(RT2_TH_S_MAX+Table9[[#This Row],[RTH(max) (kΩ)]])</f>
        <v>30.535784181572922</v>
      </c>
      <c r="AJ174" s="20">
        <f>Table9[[#This Row],[RLower(min) (kΩ)]]/(Table9[[#This Row],[RLower(min) (kΩ)]]+RT1_TH_S_MAX)*100</f>
        <v>85.332443462432792</v>
      </c>
      <c r="AK174" s="20">
        <f>Table9[[#This Row],[RLower(nom) (kΩ)]]/(Table9[[#This Row],[RLower(nom) (kΩ)]]+RT1_TH_S)*100</f>
        <v>85.357458154608338</v>
      </c>
      <c r="AL174" s="20">
        <f>Table9[[#This Row],[RLower(max) (kΩ)]]/(Table9[[#This Row],[RLower(max) (kΩ)]]+RT1_TH_S_MIN)*100</f>
        <v>85.382437493546604</v>
      </c>
      <c r="AM174" s="20">
        <f>IF(Table9[[#This Row],[Vmin (%)]]&lt;$BA$14, 0, IF(Table9[[#This Row],[Vmin (%)]]&lt;$BA$12, 4, IF(Table9[[#This Row],[Vmin (%)]]&lt;$BA$9, 3, IF(Table9[[#This Row],[Vmin (%)]]&lt;$BA$7, 2, 0))))</f>
        <v>0</v>
      </c>
      <c r="AN174" s="20">
        <f>IF(Table9[[#This Row],[Vmin (%)]]&lt;$BA$13, 0, IF(Table9[[#This Row],[Vmin (%)]]&lt;$BA$11, 4, IF(Table9[[#This Row],[Vmin (%)]]&lt;$BA$10, 3, IF(Table9[[#This Row],[Vmin (%)]]&lt;$BA$8, 2, 0))))</f>
        <v>0</v>
      </c>
      <c r="AO174" s="76" t="str">
        <f>IF(Table9[[#This Row],[Vmin (%)]]&lt;$BA$14, "Hot", IF(Table9[[#This Row],[Vmin (%)]]&lt;$BA$12, "Warm", IF(Table9[[#This Row],[Vmin (%)]]&lt;$BA$9, "Normal", IF(Table9[[#This Row],[Vmin (%)]]&lt;$BA$7, "Cool", "Cold"))))</f>
        <v>Cold</v>
      </c>
      <c r="AP174" s="19"/>
      <c r="AQ174" s="19"/>
      <c r="AR174" s="19"/>
      <c r="AS174" s="19"/>
      <c r="AT174" s="19"/>
      <c r="AU174" s="19"/>
      <c r="AV174" s="19"/>
      <c r="AW174" s="19"/>
      <c r="AX174" s="19"/>
      <c r="AY174" s="19"/>
      <c r="AZ174" s="19"/>
      <c r="BA174" s="19"/>
      <c r="BB174" s="19"/>
      <c r="BC174" s="19"/>
      <c r="BD174" s="19"/>
      <c r="BE174" s="19"/>
      <c r="BF174" s="19"/>
      <c r="BG174" s="19"/>
      <c r="BH174" s="19"/>
      <c r="BI174" s="19"/>
      <c r="BJ174" s="19"/>
      <c r="BK174" s="19"/>
      <c r="BL174" s="19"/>
      <c r="BM174" s="19"/>
      <c r="BN174" s="19"/>
      <c r="BO174" s="19"/>
      <c r="BP174" s="19"/>
      <c r="BQ174" s="19"/>
      <c r="BR174" s="19"/>
      <c r="BS174" s="19"/>
      <c r="BT174" s="19"/>
      <c r="BU174" s="19"/>
      <c r="BV174" s="19"/>
      <c r="BW174" s="19"/>
      <c r="BX174" s="19"/>
      <c r="BY174" s="19"/>
      <c r="BZ174" s="19"/>
      <c r="CA174" s="19"/>
      <c r="CB174" s="19"/>
      <c r="CC174" s="19"/>
      <c r="CD174" s="19"/>
      <c r="CE174" s="19"/>
      <c r="CF174" s="19"/>
      <c r="CG174" s="19"/>
      <c r="CH174" s="19"/>
      <c r="CI174" s="19"/>
      <c r="CJ174" s="19"/>
      <c r="CK174" s="19"/>
      <c r="CL174" s="19"/>
      <c r="CM174" s="19"/>
      <c r="CN174" s="19"/>
      <c r="CO174" s="19"/>
      <c r="CP174" s="19"/>
      <c r="CQ174" s="19"/>
      <c r="CR174" s="19"/>
      <c r="CS174" s="19"/>
      <c r="CT174" s="19"/>
      <c r="CU174" s="19"/>
      <c r="CV174" s="19"/>
      <c r="CW174" s="19"/>
      <c r="CX174" s="19"/>
      <c r="CY174" s="19"/>
      <c r="CZ174" s="19"/>
      <c r="DA174" s="19"/>
      <c r="DB174" s="19"/>
      <c r="DC174" s="19"/>
      <c r="DD174" s="19"/>
      <c r="DE174" s="19"/>
      <c r="DF174" s="19"/>
      <c r="DG174" s="19"/>
      <c r="DH174" s="19"/>
      <c r="DI174" s="19"/>
      <c r="DJ174" s="19"/>
      <c r="DK174" s="19"/>
      <c r="DL174" s="19"/>
      <c r="DM174" s="19"/>
      <c r="DN174" s="19"/>
      <c r="DO174" s="19"/>
      <c r="DP174" s="19"/>
      <c r="DQ174" s="19"/>
      <c r="DR174" s="19"/>
      <c r="DS174" s="19"/>
      <c r="DT174" s="19"/>
      <c r="DU174" s="19"/>
      <c r="DV174" s="19"/>
      <c r="DW174" s="19"/>
      <c r="DX174" s="19"/>
      <c r="DY174" s="19"/>
      <c r="DZ174" s="19"/>
      <c r="EA174" s="19"/>
      <c r="EB174" s="19"/>
      <c r="EC174" s="19"/>
      <c r="ED174" s="19"/>
      <c r="EE174" s="19"/>
      <c r="EF174" s="19"/>
      <c r="EG174" s="19"/>
      <c r="EH174" s="19"/>
      <c r="EI174" s="19"/>
      <c r="EJ174" s="19"/>
      <c r="EK174" s="19"/>
      <c r="EL174" s="19"/>
      <c r="EM174" s="19"/>
      <c r="EN174" s="19"/>
      <c r="EO174" s="19"/>
      <c r="EP174" s="19"/>
      <c r="EQ174" s="19"/>
      <c r="ER174" s="19"/>
      <c r="ES174" s="19"/>
      <c r="ET174" s="19"/>
      <c r="EU174" s="19"/>
      <c r="EV174" s="19"/>
      <c r="EW174" s="19"/>
      <c r="EX174" s="19"/>
      <c r="EY174" s="19"/>
      <c r="EZ174" s="19"/>
      <c r="FA174" s="19"/>
      <c r="FB174" s="19"/>
      <c r="FC174" s="19"/>
      <c r="FD174" s="19"/>
      <c r="FE174" s="19"/>
      <c r="FF174" s="19"/>
      <c r="FG174" s="19"/>
      <c r="FH174" s="19"/>
      <c r="FI174" s="19"/>
      <c r="FJ174" s="19"/>
      <c r="FK174" s="19"/>
      <c r="FL174" s="19"/>
      <c r="FM174" s="19"/>
      <c r="FN174" s="19"/>
      <c r="FO174" s="19"/>
      <c r="FP174" s="19"/>
      <c r="FQ174" s="19"/>
      <c r="FR174" s="19"/>
      <c r="FS174" s="19"/>
      <c r="FT174" s="19"/>
      <c r="FU174" s="19"/>
      <c r="FV174" s="19"/>
      <c r="FW174" s="19"/>
      <c r="FX174" s="19"/>
      <c r="FY174" s="19"/>
      <c r="FZ174" s="19"/>
      <c r="GA174" s="19"/>
      <c r="GB174" s="19"/>
      <c r="GC174" s="19"/>
      <c r="GD174" s="19"/>
      <c r="GE174" s="19"/>
      <c r="GF174" s="19"/>
      <c r="GG174" s="19"/>
      <c r="GH174" s="19"/>
      <c r="GI174" s="19"/>
      <c r="GJ174" s="19"/>
      <c r="GK174" s="19"/>
      <c r="GL174" s="19"/>
      <c r="GM174" s="19"/>
      <c r="GN174" s="19"/>
      <c r="GO174" s="19"/>
      <c r="GP174" s="19"/>
      <c r="GQ174" s="19"/>
      <c r="GR174" s="19"/>
      <c r="GS174" s="19"/>
      <c r="GT174" s="19"/>
      <c r="GU174" s="19"/>
      <c r="GV174" s="19"/>
      <c r="GW174" s="19"/>
      <c r="GX174" s="19"/>
      <c r="GY174" s="19"/>
      <c r="GZ174" s="19"/>
      <c r="HA174" s="19"/>
      <c r="HB174" s="19"/>
    </row>
    <row r="175" spans="1:210" hidden="1" x14ac:dyDescent="0.25">
      <c r="A175" s="113">
        <f t="shared" si="30"/>
        <v>-45</v>
      </c>
      <c r="B175" s="163"/>
      <c r="C175" s="172" t="str">
        <f t="shared" si="25"/>
        <v>RTH at -45 °C</v>
      </c>
      <c r="D175" s="196">
        <f t="shared" si="31"/>
        <v>4.0333333333333332</v>
      </c>
      <c r="E175" s="207">
        <v>9.9999999999999997E+98</v>
      </c>
      <c r="F175" s="208">
        <v>9.9999999999999997E+98</v>
      </c>
      <c r="G175" s="209">
        <v>9.9999999999999997E+98</v>
      </c>
      <c r="H175" s="128" t="s">
        <v>18</v>
      </c>
      <c r="I175" s="29"/>
      <c r="J175" s="29">
        <v>258.3</v>
      </c>
      <c r="K175" s="29">
        <v>247.7</v>
      </c>
      <c r="L175" s="29">
        <v>237.4</v>
      </c>
      <c r="M175" s="29"/>
      <c r="N175" s="29"/>
      <c r="O175" s="29"/>
      <c r="P175" s="29"/>
      <c r="Q175" s="29"/>
      <c r="R175" s="29"/>
      <c r="S175" s="29"/>
      <c r="T175" s="29"/>
      <c r="U175" s="29"/>
      <c r="V175" s="29"/>
      <c r="W175" s="29"/>
      <c r="X175" s="29"/>
      <c r="Y175" s="30"/>
      <c r="Z175" s="18"/>
      <c r="AA175" s="19"/>
      <c r="AB175" s="19"/>
      <c r="AC175" s="20">
        <f t="shared" si="26"/>
        <v>-45</v>
      </c>
      <c r="AD175" s="20">
        <f t="shared" si="27"/>
        <v>9.9999999999999997E+98</v>
      </c>
      <c r="AE175" s="20">
        <f t="shared" si="28"/>
        <v>9.9999999999999997E+98</v>
      </c>
      <c r="AF175" s="20">
        <f t="shared" si="29"/>
        <v>9.9999999999999997E+98</v>
      </c>
      <c r="AG175" s="20">
        <f>Table9[[#This Row],[RTH(min) (kΩ)]]*RT2_TH_MIN/(RT2_TH_MIN+Table9[[#This Row],[RTH(min) (kΩ)]])</f>
        <v>30.474773623767586</v>
      </c>
      <c r="AH175" s="20">
        <f>Table9[[#This Row],[RTH(nom) (kΩ)]]*RT2_TH_S/(RT2_TH_S+Table9[[#This Row],[RTH(nom) (kΩ)]])</f>
        <v>30.505278902670256</v>
      </c>
      <c r="AI175" s="20">
        <f>Table9[[#This Row],[RTH(max) (kΩ)]]*RT2_TH_S_MAX/(RT2_TH_S_MAX+Table9[[#This Row],[RTH(max) (kΩ)]])</f>
        <v>30.535784181572922</v>
      </c>
      <c r="AJ175" s="20">
        <f>Table9[[#This Row],[RLower(min) (kΩ)]]/(Table9[[#This Row],[RLower(min) (kΩ)]]+RT1_TH_S_MAX)*100</f>
        <v>85.332443462432792</v>
      </c>
      <c r="AK175" s="20">
        <f>Table9[[#This Row],[RLower(nom) (kΩ)]]/(Table9[[#This Row],[RLower(nom) (kΩ)]]+RT1_TH_S)*100</f>
        <v>85.357458154608338</v>
      </c>
      <c r="AL175" s="20">
        <f>Table9[[#This Row],[RLower(max) (kΩ)]]/(Table9[[#This Row],[RLower(max) (kΩ)]]+RT1_TH_S_MIN)*100</f>
        <v>85.382437493546604</v>
      </c>
      <c r="AM175" s="20">
        <f>IF(Table9[[#This Row],[Vmin (%)]]&lt;$BA$14, 0, IF(Table9[[#This Row],[Vmin (%)]]&lt;$BA$12, 4, IF(Table9[[#This Row],[Vmin (%)]]&lt;$BA$9, 3, IF(Table9[[#This Row],[Vmin (%)]]&lt;$BA$7, 2, 0))))</f>
        <v>0</v>
      </c>
      <c r="AN175" s="20">
        <f>IF(Table9[[#This Row],[Vmin (%)]]&lt;$BA$13, 0, IF(Table9[[#This Row],[Vmin (%)]]&lt;$BA$11, 4, IF(Table9[[#This Row],[Vmin (%)]]&lt;$BA$10, 3, IF(Table9[[#This Row],[Vmin (%)]]&lt;$BA$8, 2, 0))))</f>
        <v>0</v>
      </c>
      <c r="AO175" s="76" t="str">
        <f>IF(Table9[[#This Row],[Vmin (%)]]&lt;$BA$14, "Hot", IF(Table9[[#This Row],[Vmin (%)]]&lt;$BA$12, "Warm", IF(Table9[[#This Row],[Vmin (%)]]&lt;$BA$9, "Normal", IF(Table9[[#This Row],[Vmin (%)]]&lt;$BA$7, "Cool", "Cold"))))</f>
        <v>Cold</v>
      </c>
      <c r="AP175" s="19"/>
      <c r="AQ175" s="19"/>
      <c r="AR175" s="19"/>
      <c r="AS175" s="19"/>
      <c r="AT175" s="19"/>
      <c r="AU175" s="19"/>
      <c r="AV175" s="19"/>
      <c r="AW175" s="19"/>
      <c r="AX175" s="19"/>
      <c r="AY175" s="19"/>
      <c r="AZ175" s="19"/>
      <c r="BA175" s="19"/>
      <c r="BB175" s="19"/>
      <c r="BC175" s="19"/>
      <c r="BD175" s="19"/>
      <c r="BE175" s="19"/>
      <c r="BF175" s="19"/>
      <c r="BG175" s="19"/>
      <c r="BH175" s="19"/>
      <c r="BI175" s="19"/>
      <c r="BJ175" s="19"/>
      <c r="BK175" s="19"/>
      <c r="BL175" s="19"/>
      <c r="BM175" s="19"/>
      <c r="BN175" s="19"/>
      <c r="BO175" s="19"/>
      <c r="BP175" s="19"/>
      <c r="BQ175" s="19"/>
      <c r="BR175" s="19"/>
      <c r="BS175" s="19"/>
      <c r="BT175" s="19"/>
      <c r="BU175" s="19"/>
      <c r="BV175" s="19"/>
      <c r="BW175" s="19"/>
      <c r="BX175" s="19"/>
      <c r="BY175" s="19"/>
      <c r="BZ175" s="19"/>
      <c r="CA175" s="19"/>
      <c r="CB175" s="19"/>
      <c r="CC175" s="19"/>
      <c r="CD175" s="19"/>
      <c r="CE175" s="19"/>
      <c r="CF175" s="19"/>
      <c r="CG175" s="19"/>
      <c r="CH175" s="19"/>
      <c r="CI175" s="19"/>
      <c r="CJ175" s="19"/>
      <c r="CK175" s="19"/>
      <c r="CL175" s="19"/>
      <c r="CM175" s="19"/>
      <c r="CN175" s="19"/>
      <c r="CO175" s="19"/>
      <c r="CP175" s="19"/>
      <c r="CQ175" s="19"/>
      <c r="CR175" s="19"/>
      <c r="CS175" s="19"/>
      <c r="CT175" s="19"/>
      <c r="CU175" s="19"/>
      <c r="CV175" s="19"/>
      <c r="CW175" s="19"/>
      <c r="CX175" s="19"/>
      <c r="CY175" s="19"/>
      <c r="CZ175" s="19"/>
      <c r="DA175" s="19"/>
      <c r="DB175" s="19"/>
      <c r="DC175" s="19"/>
      <c r="DD175" s="19"/>
      <c r="DE175" s="19"/>
      <c r="DF175" s="19"/>
      <c r="DG175" s="19"/>
      <c r="DH175" s="19"/>
      <c r="DI175" s="19"/>
      <c r="DJ175" s="19"/>
      <c r="DK175" s="19"/>
      <c r="DL175" s="19"/>
      <c r="DM175" s="19"/>
      <c r="DN175" s="19"/>
      <c r="DO175" s="19"/>
      <c r="DP175" s="19"/>
      <c r="DQ175" s="19"/>
      <c r="DR175" s="19"/>
      <c r="DS175" s="19"/>
      <c r="DT175" s="19"/>
      <c r="DU175" s="19"/>
      <c r="DV175" s="19"/>
      <c r="DW175" s="19"/>
      <c r="DX175" s="19"/>
      <c r="DY175" s="19"/>
      <c r="DZ175" s="19"/>
      <c r="EA175" s="19"/>
      <c r="EB175" s="19"/>
      <c r="EC175" s="19"/>
      <c r="ED175" s="19"/>
      <c r="EE175" s="19"/>
      <c r="EF175" s="19"/>
      <c r="EG175" s="19"/>
      <c r="EH175" s="19"/>
      <c r="EI175" s="19"/>
      <c r="EJ175" s="19"/>
      <c r="EK175" s="19"/>
      <c r="EL175" s="19"/>
      <c r="EM175" s="19"/>
      <c r="EN175" s="19"/>
      <c r="EO175" s="19"/>
      <c r="EP175" s="19"/>
      <c r="EQ175" s="19"/>
      <c r="ER175" s="19"/>
      <c r="ES175" s="19"/>
      <c r="ET175" s="19"/>
      <c r="EU175" s="19"/>
      <c r="EV175" s="19"/>
      <c r="EW175" s="19"/>
      <c r="EX175" s="19"/>
      <c r="EY175" s="19"/>
      <c r="EZ175" s="19"/>
      <c r="FA175" s="19"/>
      <c r="FB175" s="19"/>
      <c r="FC175" s="19"/>
      <c r="FD175" s="19"/>
      <c r="FE175" s="19"/>
      <c r="FF175" s="19"/>
      <c r="FG175" s="19"/>
      <c r="FH175" s="19"/>
      <c r="FI175" s="19"/>
      <c r="FJ175" s="19"/>
      <c r="FK175" s="19"/>
      <c r="FL175" s="19"/>
      <c r="FM175" s="19"/>
      <c r="FN175" s="19"/>
      <c r="FO175" s="19"/>
      <c r="FP175" s="19"/>
      <c r="FQ175" s="19"/>
      <c r="FR175" s="19"/>
      <c r="FS175" s="19"/>
      <c r="FT175" s="19"/>
      <c r="FU175" s="19"/>
      <c r="FV175" s="19"/>
      <c r="FW175" s="19"/>
      <c r="FX175" s="19"/>
      <c r="FY175" s="19"/>
      <c r="FZ175" s="19"/>
      <c r="GA175" s="19"/>
      <c r="GB175" s="19"/>
      <c r="GC175" s="19"/>
      <c r="GD175" s="19"/>
      <c r="GE175" s="19"/>
      <c r="GF175" s="19"/>
      <c r="GG175" s="19"/>
      <c r="GH175" s="19"/>
      <c r="GI175" s="19"/>
      <c r="GJ175" s="19"/>
      <c r="GK175" s="19"/>
      <c r="GL175" s="19"/>
      <c r="GM175" s="19"/>
      <c r="GN175" s="19"/>
      <c r="GO175" s="19"/>
      <c r="GP175" s="19"/>
      <c r="GQ175" s="19"/>
      <c r="GR175" s="19"/>
      <c r="GS175" s="19"/>
      <c r="GT175" s="19"/>
      <c r="GU175" s="19"/>
      <c r="GV175" s="19"/>
      <c r="GW175" s="19"/>
      <c r="GX175" s="19"/>
      <c r="GY175" s="19"/>
      <c r="GZ175" s="19"/>
      <c r="HA175" s="19"/>
      <c r="HB175" s="19"/>
    </row>
    <row r="176" spans="1:210" hidden="1" x14ac:dyDescent="0.25">
      <c r="A176" s="113">
        <f t="shared" si="30"/>
        <v>-46</v>
      </c>
      <c r="B176" s="163"/>
      <c r="C176" s="172" t="str">
        <f t="shared" si="25"/>
        <v>RTH at -46 °C</v>
      </c>
      <c r="D176" s="196">
        <f t="shared" si="31"/>
        <v>4.0766666666666662</v>
      </c>
      <c r="E176" s="207">
        <v>9.9999999999999997E+98</v>
      </c>
      <c r="F176" s="208">
        <v>9.9999999999999997E+98</v>
      </c>
      <c r="G176" s="209">
        <v>9.9999999999999997E+98</v>
      </c>
      <c r="H176" s="128" t="s">
        <v>18</v>
      </c>
      <c r="I176" s="29"/>
      <c r="J176" s="29">
        <v>273.39999999999998</v>
      </c>
      <c r="K176" s="29">
        <v>262</v>
      </c>
      <c r="L176" s="29">
        <v>251</v>
      </c>
      <c r="M176" s="29"/>
      <c r="N176" s="29"/>
      <c r="O176" s="29"/>
      <c r="P176" s="29"/>
      <c r="Q176" s="29"/>
      <c r="R176" s="29"/>
      <c r="S176" s="29"/>
      <c r="T176" s="29"/>
      <c r="U176" s="29"/>
      <c r="V176" s="29"/>
      <c r="W176" s="29"/>
      <c r="X176" s="29"/>
      <c r="Y176" s="30"/>
      <c r="Z176" s="18"/>
      <c r="AA176" s="19"/>
      <c r="AB176" s="19"/>
      <c r="AC176" s="20">
        <f t="shared" si="26"/>
        <v>-46</v>
      </c>
      <c r="AD176" s="20">
        <f t="shared" si="27"/>
        <v>9.9999999999999997E+98</v>
      </c>
      <c r="AE176" s="20">
        <f t="shared" si="28"/>
        <v>9.9999999999999997E+98</v>
      </c>
      <c r="AF176" s="20">
        <f t="shared" si="29"/>
        <v>9.9999999999999997E+98</v>
      </c>
      <c r="AG176" s="20">
        <f>Table9[[#This Row],[RTH(min) (kΩ)]]*RT2_TH_MIN/(RT2_TH_MIN+Table9[[#This Row],[RTH(min) (kΩ)]])</f>
        <v>30.474773623767586</v>
      </c>
      <c r="AH176" s="20">
        <f>Table9[[#This Row],[RTH(nom) (kΩ)]]*RT2_TH_S/(RT2_TH_S+Table9[[#This Row],[RTH(nom) (kΩ)]])</f>
        <v>30.505278902670256</v>
      </c>
      <c r="AI176" s="20">
        <f>Table9[[#This Row],[RTH(max) (kΩ)]]*RT2_TH_S_MAX/(RT2_TH_S_MAX+Table9[[#This Row],[RTH(max) (kΩ)]])</f>
        <v>30.535784181572922</v>
      </c>
      <c r="AJ176" s="20">
        <f>Table9[[#This Row],[RLower(min) (kΩ)]]/(Table9[[#This Row],[RLower(min) (kΩ)]]+RT1_TH_S_MAX)*100</f>
        <v>85.332443462432792</v>
      </c>
      <c r="AK176" s="20">
        <f>Table9[[#This Row],[RLower(nom) (kΩ)]]/(Table9[[#This Row],[RLower(nom) (kΩ)]]+RT1_TH_S)*100</f>
        <v>85.357458154608338</v>
      </c>
      <c r="AL176" s="20">
        <f>Table9[[#This Row],[RLower(max) (kΩ)]]/(Table9[[#This Row],[RLower(max) (kΩ)]]+RT1_TH_S_MIN)*100</f>
        <v>85.382437493546604</v>
      </c>
      <c r="AM176" s="20">
        <f>IF(Table9[[#This Row],[Vmin (%)]]&lt;$BA$14, 0, IF(Table9[[#This Row],[Vmin (%)]]&lt;$BA$12, 4, IF(Table9[[#This Row],[Vmin (%)]]&lt;$BA$9, 3, IF(Table9[[#This Row],[Vmin (%)]]&lt;$BA$7, 2, 0))))</f>
        <v>0</v>
      </c>
      <c r="AN176" s="20">
        <f>IF(Table9[[#This Row],[Vmin (%)]]&lt;$BA$13, 0, IF(Table9[[#This Row],[Vmin (%)]]&lt;$BA$11, 4, IF(Table9[[#This Row],[Vmin (%)]]&lt;$BA$10, 3, IF(Table9[[#This Row],[Vmin (%)]]&lt;$BA$8, 2, 0))))</f>
        <v>0</v>
      </c>
      <c r="AO176" s="76" t="str">
        <f>IF(Table9[[#This Row],[Vmin (%)]]&lt;$BA$14, "Hot", IF(Table9[[#This Row],[Vmin (%)]]&lt;$BA$12, "Warm", IF(Table9[[#This Row],[Vmin (%)]]&lt;$BA$9, "Normal", IF(Table9[[#This Row],[Vmin (%)]]&lt;$BA$7, "Cool", "Cold"))))</f>
        <v>Cold</v>
      </c>
      <c r="AP176" s="19"/>
      <c r="AQ176" s="19"/>
      <c r="AR176" s="19"/>
      <c r="AS176" s="19"/>
      <c r="AT176" s="19"/>
      <c r="AU176" s="19"/>
      <c r="AV176" s="19"/>
      <c r="AW176" s="19"/>
      <c r="AX176" s="19"/>
      <c r="AY176" s="19"/>
      <c r="AZ176" s="19"/>
      <c r="BA176" s="19"/>
      <c r="BB176" s="19"/>
      <c r="BC176" s="19"/>
      <c r="BD176" s="19"/>
      <c r="BE176" s="19"/>
      <c r="BF176" s="19"/>
      <c r="BG176" s="19"/>
      <c r="BH176" s="19"/>
      <c r="BI176" s="19"/>
      <c r="BJ176" s="19"/>
      <c r="BK176" s="19"/>
      <c r="BL176" s="19"/>
      <c r="BM176" s="19"/>
      <c r="BN176" s="19"/>
      <c r="BO176" s="19"/>
      <c r="BP176" s="19"/>
      <c r="BQ176" s="19"/>
      <c r="BR176" s="19"/>
      <c r="BS176" s="19"/>
      <c r="BT176" s="19"/>
      <c r="BU176" s="19"/>
      <c r="BV176" s="19"/>
      <c r="BW176" s="19"/>
      <c r="BX176" s="19"/>
      <c r="BY176" s="19"/>
      <c r="BZ176" s="19"/>
      <c r="CA176" s="19"/>
      <c r="CB176" s="19"/>
      <c r="CC176" s="19"/>
      <c r="CD176" s="19"/>
      <c r="CE176" s="19"/>
      <c r="CF176" s="19"/>
      <c r="CG176" s="19"/>
      <c r="CH176" s="19"/>
      <c r="CI176" s="19"/>
      <c r="CJ176" s="19"/>
      <c r="CK176" s="19"/>
      <c r="CL176" s="19"/>
      <c r="CM176" s="19"/>
      <c r="CN176" s="19"/>
      <c r="CO176" s="19"/>
      <c r="CP176" s="19"/>
      <c r="CQ176" s="19"/>
      <c r="CR176" s="19"/>
      <c r="CS176" s="19"/>
      <c r="CT176" s="19"/>
      <c r="CU176" s="19"/>
      <c r="CV176" s="19"/>
      <c r="CW176" s="19"/>
      <c r="CX176" s="19"/>
      <c r="CY176" s="19"/>
      <c r="CZ176" s="19"/>
      <c r="DA176" s="19"/>
      <c r="DB176" s="19"/>
      <c r="DC176" s="19"/>
      <c r="DD176" s="19"/>
      <c r="DE176" s="19"/>
      <c r="DF176" s="19"/>
      <c r="DG176" s="19"/>
      <c r="DH176" s="19"/>
      <c r="DI176" s="19"/>
      <c r="DJ176" s="19"/>
      <c r="DK176" s="19"/>
      <c r="DL176" s="19"/>
      <c r="DM176" s="19"/>
      <c r="DN176" s="19"/>
      <c r="DO176" s="19"/>
      <c r="DP176" s="19"/>
      <c r="DQ176" s="19"/>
      <c r="DR176" s="19"/>
      <c r="DS176" s="19"/>
      <c r="DT176" s="19"/>
      <c r="DU176" s="19"/>
      <c r="DV176" s="19"/>
      <c r="DW176" s="19"/>
      <c r="DX176" s="19"/>
      <c r="DY176" s="19"/>
      <c r="DZ176" s="19"/>
      <c r="EA176" s="19"/>
      <c r="EB176" s="19"/>
      <c r="EC176" s="19"/>
      <c r="ED176" s="19"/>
      <c r="EE176" s="19"/>
      <c r="EF176" s="19"/>
      <c r="EG176" s="19"/>
      <c r="EH176" s="19"/>
      <c r="EI176" s="19"/>
      <c r="EJ176" s="19"/>
      <c r="EK176" s="19"/>
      <c r="EL176" s="19"/>
      <c r="EM176" s="19"/>
      <c r="EN176" s="19"/>
      <c r="EO176" s="19"/>
      <c r="EP176" s="19"/>
      <c r="EQ176" s="19"/>
      <c r="ER176" s="19"/>
      <c r="ES176" s="19"/>
      <c r="ET176" s="19"/>
      <c r="EU176" s="19"/>
      <c r="EV176" s="19"/>
      <c r="EW176" s="19"/>
      <c r="EX176" s="19"/>
      <c r="EY176" s="19"/>
      <c r="EZ176" s="19"/>
      <c r="FA176" s="19"/>
      <c r="FB176" s="19"/>
      <c r="FC176" s="19"/>
      <c r="FD176" s="19"/>
      <c r="FE176" s="19"/>
      <c r="FF176" s="19"/>
      <c r="FG176" s="19"/>
      <c r="FH176" s="19"/>
      <c r="FI176" s="19"/>
      <c r="FJ176" s="19"/>
      <c r="FK176" s="19"/>
      <c r="FL176" s="19"/>
      <c r="FM176" s="19"/>
      <c r="FN176" s="19"/>
      <c r="FO176" s="19"/>
      <c r="FP176" s="19"/>
      <c r="FQ176" s="19"/>
      <c r="FR176" s="19"/>
      <c r="FS176" s="19"/>
      <c r="FT176" s="19"/>
      <c r="FU176" s="19"/>
      <c r="FV176" s="19"/>
      <c r="FW176" s="19"/>
      <c r="FX176" s="19"/>
      <c r="FY176" s="19"/>
      <c r="FZ176" s="19"/>
      <c r="GA176" s="19"/>
      <c r="GB176" s="19"/>
      <c r="GC176" s="19"/>
      <c r="GD176" s="19"/>
      <c r="GE176" s="19"/>
      <c r="GF176" s="19"/>
      <c r="GG176" s="19"/>
      <c r="GH176" s="19"/>
      <c r="GI176" s="19"/>
      <c r="GJ176" s="19"/>
      <c r="GK176" s="19"/>
      <c r="GL176" s="19"/>
      <c r="GM176" s="19"/>
      <c r="GN176" s="19"/>
      <c r="GO176" s="19"/>
      <c r="GP176" s="19"/>
      <c r="GQ176" s="19"/>
      <c r="GR176" s="19"/>
      <c r="GS176" s="19"/>
      <c r="GT176" s="19"/>
      <c r="GU176" s="19"/>
      <c r="GV176" s="19"/>
      <c r="GW176" s="19"/>
      <c r="GX176" s="19"/>
      <c r="GY176" s="19"/>
      <c r="GZ176" s="19"/>
      <c r="HA176" s="19"/>
      <c r="HB176" s="19"/>
    </row>
    <row r="177" spans="1:210" hidden="1" x14ac:dyDescent="0.25">
      <c r="A177" s="113">
        <f t="shared" si="30"/>
        <v>-47</v>
      </c>
      <c r="B177" s="163"/>
      <c r="C177" s="172" t="str">
        <f t="shared" si="25"/>
        <v>RTH at -47 °C</v>
      </c>
      <c r="D177" s="196">
        <f t="shared" si="31"/>
        <v>4.12</v>
      </c>
      <c r="E177" s="207">
        <v>9.9999999999999997E+98</v>
      </c>
      <c r="F177" s="208">
        <v>9.9999999999999997E+98</v>
      </c>
      <c r="G177" s="209">
        <v>9.9999999999999997E+98</v>
      </c>
      <c r="H177" s="128" t="s">
        <v>18</v>
      </c>
      <c r="I177" s="29"/>
      <c r="J177" s="29">
        <v>289.39999999999998</v>
      </c>
      <c r="K177" s="29">
        <v>277.2</v>
      </c>
      <c r="L177" s="29">
        <v>265.39999999999998</v>
      </c>
      <c r="M177" s="29"/>
      <c r="N177" s="29"/>
      <c r="O177" s="29"/>
      <c r="P177" s="29"/>
      <c r="Q177" s="29"/>
      <c r="R177" s="29"/>
      <c r="S177" s="29"/>
      <c r="T177" s="29"/>
      <c r="U177" s="29"/>
      <c r="V177" s="29"/>
      <c r="W177" s="29"/>
      <c r="X177" s="29"/>
      <c r="Y177" s="30"/>
      <c r="Z177" s="18"/>
      <c r="AA177" s="19"/>
      <c r="AB177" s="19"/>
      <c r="AC177" s="20">
        <f t="shared" si="26"/>
        <v>-47</v>
      </c>
      <c r="AD177" s="20">
        <f t="shared" si="27"/>
        <v>9.9999999999999997E+98</v>
      </c>
      <c r="AE177" s="20">
        <f t="shared" si="28"/>
        <v>9.9999999999999997E+98</v>
      </c>
      <c r="AF177" s="20">
        <f t="shared" si="29"/>
        <v>9.9999999999999997E+98</v>
      </c>
      <c r="AG177" s="20">
        <f>Table9[[#This Row],[RTH(min) (kΩ)]]*RT2_TH_MIN/(RT2_TH_MIN+Table9[[#This Row],[RTH(min) (kΩ)]])</f>
        <v>30.474773623767586</v>
      </c>
      <c r="AH177" s="20">
        <f>Table9[[#This Row],[RTH(nom) (kΩ)]]*RT2_TH_S/(RT2_TH_S+Table9[[#This Row],[RTH(nom) (kΩ)]])</f>
        <v>30.505278902670256</v>
      </c>
      <c r="AI177" s="20">
        <f>Table9[[#This Row],[RTH(max) (kΩ)]]*RT2_TH_S_MAX/(RT2_TH_S_MAX+Table9[[#This Row],[RTH(max) (kΩ)]])</f>
        <v>30.535784181572922</v>
      </c>
      <c r="AJ177" s="20">
        <f>Table9[[#This Row],[RLower(min) (kΩ)]]/(Table9[[#This Row],[RLower(min) (kΩ)]]+RT1_TH_S_MAX)*100</f>
        <v>85.332443462432792</v>
      </c>
      <c r="AK177" s="20">
        <f>Table9[[#This Row],[RLower(nom) (kΩ)]]/(Table9[[#This Row],[RLower(nom) (kΩ)]]+RT1_TH_S)*100</f>
        <v>85.357458154608338</v>
      </c>
      <c r="AL177" s="20">
        <f>Table9[[#This Row],[RLower(max) (kΩ)]]/(Table9[[#This Row],[RLower(max) (kΩ)]]+RT1_TH_S_MIN)*100</f>
        <v>85.382437493546604</v>
      </c>
      <c r="AM177" s="20">
        <f>IF(Table9[[#This Row],[Vmin (%)]]&lt;$BA$14, 0, IF(Table9[[#This Row],[Vmin (%)]]&lt;$BA$12, 4, IF(Table9[[#This Row],[Vmin (%)]]&lt;$BA$9, 3, IF(Table9[[#This Row],[Vmin (%)]]&lt;$BA$7, 2, 0))))</f>
        <v>0</v>
      </c>
      <c r="AN177" s="20">
        <f>IF(Table9[[#This Row],[Vmin (%)]]&lt;$BA$13, 0, IF(Table9[[#This Row],[Vmin (%)]]&lt;$BA$11, 4, IF(Table9[[#This Row],[Vmin (%)]]&lt;$BA$10, 3, IF(Table9[[#This Row],[Vmin (%)]]&lt;$BA$8, 2, 0))))</f>
        <v>0</v>
      </c>
      <c r="AO177" s="76" t="str">
        <f>IF(Table9[[#This Row],[Vmin (%)]]&lt;$BA$14, "Hot", IF(Table9[[#This Row],[Vmin (%)]]&lt;$BA$12, "Warm", IF(Table9[[#This Row],[Vmin (%)]]&lt;$BA$9, "Normal", IF(Table9[[#This Row],[Vmin (%)]]&lt;$BA$7, "Cool", "Cold"))))</f>
        <v>Cold</v>
      </c>
      <c r="AP177" s="19"/>
      <c r="AQ177" s="19"/>
      <c r="AR177" s="19"/>
      <c r="AS177" s="19"/>
      <c r="AT177" s="19"/>
      <c r="AU177" s="19"/>
      <c r="AV177" s="19"/>
      <c r="AW177" s="19"/>
      <c r="AX177" s="19"/>
      <c r="AY177" s="19"/>
      <c r="AZ177" s="19"/>
      <c r="BA177" s="19"/>
      <c r="BB177" s="19"/>
      <c r="BC177" s="19"/>
      <c r="BD177" s="19"/>
      <c r="BE177" s="19"/>
      <c r="BF177" s="19"/>
      <c r="BG177" s="19"/>
      <c r="BH177" s="19"/>
      <c r="BI177" s="19"/>
      <c r="BJ177" s="19"/>
      <c r="BK177" s="19"/>
      <c r="BL177" s="19"/>
      <c r="BM177" s="19"/>
      <c r="BN177" s="19"/>
      <c r="BO177" s="19"/>
      <c r="BP177" s="19"/>
      <c r="BQ177" s="19"/>
      <c r="BR177" s="19"/>
      <c r="BS177" s="19"/>
      <c r="BT177" s="19"/>
      <c r="BU177" s="19"/>
      <c r="BV177" s="19"/>
      <c r="BW177" s="19"/>
      <c r="BX177" s="19"/>
      <c r="BY177" s="19"/>
      <c r="BZ177" s="19"/>
      <c r="CA177" s="19"/>
      <c r="CB177" s="19"/>
      <c r="CC177" s="19"/>
      <c r="CD177" s="19"/>
      <c r="CE177" s="19"/>
      <c r="CF177" s="19"/>
      <c r="CG177" s="19"/>
      <c r="CH177" s="19"/>
      <c r="CI177" s="19"/>
      <c r="CJ177" s="19"/>
      <c r="CK177" s="19"/>
      <c r="CL177" s="19"/>
      <c r="CM177" s="19"/>
      <c r="CN177" s="19"/>
      <c r="CO177" s="19"/>
      <c r="CP177" s="19"/>
      <c r="CQ177" s="19"/>
      <c r="CR177" s="19"/>
      <c r="CS177" s="19"/>
      <c r="CT177" s="19"/>
      <c r="CU177" s="19"/>
      <c r="CV177" s="19"/>
      <c r="CW177" s="19"/>
      <c r="CX177" s="19"/>
      <c r="CY177" s="19"/>
      <c r="CZ177" s="19"/>
      <c r="DA177" s="19"/>
      <c r="DB177" s="19"/>
      <c r="DC177" s="19"/>
      <c r="DD177" s="19"/>
      <c r="DE177" s="19"/>
      <c r="DF177" s="19"/>
      <c r="DG177" s="19"/>
      <c r="DH177" s="19"/>
      <c r="DI177" s="19"/>
      <c r="DJ177" s="19"/>
      <c r="DK177" s="19"/>
      <c r="DL177" s="19"/>
      <c r="DM177" s="19"/>
      <c r="DN177" s="19"/>
      <c r="DO177" s="19"/>
      <c r="DP177" s="19"/>
      <c r="DQ177" s="19"/>
      <c r="DR177" s="19"/>
      <c r="DS177" s="19"/>
      <c r="DT177" s="19"/>
      <c r="DU177" s="19"/>
      <c r="DV177" s="19"/>
      <c r="DW177" s="19"/>
      <c r="DX177" s="19"/>
      <c r="DY177" s="19"/>
      <c r="DZ177" s="19"/>
      <c r="EA177" s="19"/>
      <c r="EB177" s="19"/>
      <c r="EC177" s="19"/>
      <c r="ED177" s="19"/>
      <c r="EE177" s="19"/>
      <c r="EF177" s="19"/>
      <c r="EG177" s="19"/>
      <c r="EH177" s="19"/>
      <c r="EI177" s="19"/>
      <c r="EJ177" s="19"/>
      <c r="EK177" s="19"/>
      <c r="EL177" s="19"/>
      <c r="EM177" s="19"/>
      <c r="EN177" s="19"/>
      <c r="EO177" s="19"/>
      <c r="EP177" s="19"/>
      <c r="EQ177" s="19"/>
      <c r="ER177" s="19"/>
      <c r="ES177" s="19"/>
      <c r="ET177" s="19"/>
      <c r="EU177" s="19"/>
      <c r="EV177" s="19"/>
      <c r="EW177" s="19"/>
      <c r="EX177" s="19"/>
      <c r="EY177" s="19"/>
      <c r="EZ177" s="19"/>
      <c r="FA177" s="19"/>
      <c r="FB177" s="19"/>
      <c r="FC177" s="19"/>
      <c r="FD177" s="19"/>
      <c r="FE177" s="19"/>
      <c r="FF177" s="19"/>
      <c r="FG177" s="19"/>
      <c r="FH177" s="19"/>
      <c r="FI177" s="19"/>
      <c r="FJ177" s="19"/>
      <c r="FK177" s="19"/>
      <c r="FL177" s="19"/>
      <c r="FM177" s="19"/>
      <c r="FN177" s="19"/>
      <c r="FO177" s="19"/>
      <c r="FP177" s="19"/>
      <c r="FQ177" s="19"/>
      <c r="FR177" s="19"/>
      <c r="FS177" s="19"/>
      <c r="FT177" s="19"/>
      <c r="FU177" s="19"/>
      <c r="FV177" s="19"/>
      <c r="FW177" s="19"/>
      <c r="FX177" s="19"/>
      <c r="FY177" s="19"/>
      <c r="FZ177" s="19"/>
      <c r="GA177" s="19"/>
      <c r="GB177" s="19"/>
      <c r="GC177" s="19"/>
      <c r="GD177" s="19"/>
      <c r="GE177" s="19"/>
      <c r="GF177" s="19"/>
      <c r="GG177" s="19"/>
      <c r="GH177" s="19"/>
      <c r="GI177" s="19"/>
      <c r="GJ177" s="19"/>
      <c r="GK177" s="19"/>
      <c r="GL177" s="19"/>
      <c r="GM177" s="19"/>
      <c r="GN177" s="19"/>
      <c r="GO177" s="19"/>
      <c r="GP177" s="19"/>
      <c r="GQ177" s="19"/>
      <c r="GR177" s="19"/>
      <c r="GS177" s="19"/>
      <c r="GT177" s="19"/>
      <c r="GU177" s="19"/>
      <c r="GV177" s="19"/>
      <c r="GW177" s="19"/>
      <c r="GX177" s="19"/>
      <c r="GY177" s="19"/>
      <c r="GZ177" s="19"/>
      <c r="HA177" s="19"/>
      <c r="HB177" s="19"/>
    </row>
    <row r="178" spans="1:210" hidden="1" x14ac:dyDescent="0.25">
      <c r="A178" s="113">
        <f t="shared" si="30"/>
        <v>-48</v>
      </c>
      <c r="B178" s="163"/>
      <c r="C178" s="172" t="str">
        <f t="shared" si="25"/>
        <v>RTH at -48 °C</v>
      </c>
      <c r="D178" s="196">
        <f t="shared" si="31"/>
        <v>4.163333333333334</v>
      </c>
      <c r="E178" s="207">
        <v>9.9999999999999997E+98</v>
      </c>
      <c r="F178" s="208">
        <v>9.9999999999999997E+98</v>
      </c>
      <c r="G178" s="209">
        <v>9.9999999999999997E+98</v>
      </c>
      <c r="H178" s="128" t="s">
        <v>18</v>
      </c>
      <c r="I178" s="29"/>
      <c r="J178" s="29">
        <v>306.60000000000002</v>
      </c>
      <c r="K178" s="29">
        <v>293.5</v>
      </c>
      <c r="L178" s="29">
        <v>280.89999999999998</v>
      </c>
      <c r="M178" s="29"/>
      <c r="N178" s="29"/>
      <c r="O178" s="29"/>
      <c r="P178" s="29"/>
      <c r="Q178" s="29"/>
      <c r="R178" s="29"/>
      <c r="S178" s="29"/>
      <c r="T178" s="29"/>
      <c r="U178" s="29"/>
      <c r="V178" s="29"/>
      <c r="W178" s="29"/>
      <c r="X178" s="29"/>
      <c r="Y178" s="30"/>
      <c r="Z178" s="18"/>
      <c r="AA178" s="19"/>
      <c r="AB178" s="19"/>
      <c r="AC178" s="20">
        <f t="shared" si="26"/>
        <v>-48</v>
      </c>
      <c r="AD178" s="20">
        <f t="shared" si="27"/>
        <v>9.9999999999999997E+98</v>
      </c>
      <c r="AE178" s="20">
        <f t="shared" si="28"/>
        <v>9.9999999999999997E+98</v>
      </c>
      <c r="AF178" s="20">
        <f t="shared" si="29"/>
        <v>9.9999999999999997E+98</v>
      </c>
      <c r="AG178" s="20">
        <f>Table9[[#This Row],[RTH(min) (kΩ)]]*RT2_TH_MIN/(RT2_TH_MIN+Table9[[#This Row],[RTH(min) (kΩ)]])</f>
        <v>30.474773623767586</v>
      </c>
      <c r="AH178" s="20">
        <f>Table9[[#This Row],[RTH(nom) (kΩ)]]*RT2_TH_S/(RT2_TH_S+Table9[[#This Row],[RTH(nom) (kΩ)]])</f>
        <v>30.505278902670256</v>
      </c>
      <c r="AI178" s="20">
        <f>Table9[[#This Row],[RTH(max) (kΩ)]]*RT2_TH_S_MAX/(RT2_TH_S_MAX+Table9[[#This Row],[RTH(max) (kΩ)]])</f>
        <v>30.535784181572922</v>
      </c>
      <c r="AJ178" s="20">
        <f>Table9[[#This Row],[RLower(min) (kΩ)]]/(Table9[[#This Row],[RLower(min) (kΩ)]]+RT1_TH_S_MAX)*100</f>
        <v>85.332443462432792</v>
      </c>
      <c r="AK178" s="20">
        <f>Table9[[#This Row],[RLower(nom) (kΩ)]]/(Table9[[#This Row],[RLower(nom) (kΩ)]]+RT1_TH_S)*100</f>
        <v>85.357458154608338</v>
      </c>
      <c r="AL178" s="20">
        <f>Table9[[#This Row],[RLower(max) (kΩ)]]/(Table9[[#This Row],[RLower(max) (kΩ)]]+RT1_TH_S_MIN)*100</f>
        <v>85.382437493546604</v>
      </c>
      <c r="AM178" s="20">
        <f>IF(Table9[[#This Row],[Vmin (%)]]&lt;$BA$14, 0, IF(Table9[[#This Row],[Vmin (%)]]&lt;$BA$12, 4, IF(Table9[[#This Row],[Vmin (%)]]&lt;$BA$9, 3, IF(Table9[[#This Row],[Vmin (%)]]&lt;$BA$7, 2, 0))))</f>
        <v>0</v>
      </c>
      <c r="AN178" s="20">
        <f>IF(Table9[[#This Row],[Vmin (%)]]&lt;$BA$13, 0, IF(Table9[[#This Row],[Vmin (%)]]&lt;$BA$11, 4, IF(Table9[[#This Row],[Vmin (%)]]&lt;$BA$10, 3, IF(Table9[[#This Row],[Vmin (%)]]&lt;$BA$8, 2, 0))))</f>
        <v>0</v>
      </c>
      <c r="AO178" s="76" t="str">
        <f>IF(Table9[[#This Row],[Vmin (%)]]&lt;$BA$14, "Hot", IF(Table9[[#This Row],[Vmin (%)]]&lt;$BA$12, "Warm", IF(Table9[[#This Row],[Vmin (%)]]&lt;$BA$9, "Normal", IF(Table9[[#This Row],[Vmin (%)]]&lt;$BA$7, "Cool", "Cold"))))</f>
        <v>Cold</v>
      </c>
      <c r="AP178" s="19"/>
      <c r="AQ178" s="19"/>
      <c r="AR178" s="19"/>
      <c r="AS178" s="19"/>
      <c r="AT178" s="19"/>
      <c r="AU178" s="19"/>
      <c r="AV178" s="19"/>
      <c r="AW178" s="19"/>
      <c r="AX178" s="19"/>
      <c r="AY178" s="19"/>
      <c r="AZ178" s="19"/>
      <c r="BA178" s="19"/>
      <c r="BB178" s="19"/>
      <c r="BC178" s="19"/>
      <c r="BD178" s="19"/>
      <c r="BE178" s="19"/>
      <c r="BF178" s="19"/>
      <c r="BG178" s="19"/>
      <c r="BH178" s="19"/>
      <c r="BI178" s="19"/>
      <c r="BJ178" s="19"/>
      <c r="BK178" s="19"/>
      <c r="BL178" s="19"/>
      <c r="BM178" s="19"/>
      <c r="BN178" s="19"/>
      <c r="BO178" s="19"/>
      <c r="BP178" s="19"/>
      <c r="BQ178" s="19"/>
      <c r="BR178" s="19"/>
      <c r="BS178" s="19"/>
      <c r="BT178" s="19"/>
      <c r="BU178" s="19"/>
      <c r="BV178" s="19"/>
      <c r="BW178" s="19"/>
      <c r="BX178" s="19"/>
      <c r="BY178" s="19"/>
      <c r="BZ178" s="19"/>
      <c r="CA178" s="19"/>
      <c r="CB178" s="19"/>
      <c r="CC178" s="19"/>
      <c r="CD178" s="19"/>
      <c r="CE178" s="19"/>
      <c r="CF178" s="19"/>
      <c r="CG178" s="19"/>
      <c r="CH178" s="19"/>
      <c r="CI178" s="19"/>
      <c r="CJ178" s="19"/>
      <c r="CK178" s="19"/>
      <c r="CL178" s="19"/>
      <c r="CM178" s="19"/>
      <c r="CN178" s="19"/>
      <c r="CO178" s="19"/>
      <c r="CP178" s="19"/>
      <c r="CQ178" s="19"/>
      <c r="CR178" s="19"/>
      <c r="CS178" s="19"/>
      <c r="CT178" s="19"/>
      <c r="CU178" s="19"/>
      <c r="CV178" s="19"/>
      <c r="CW178" s="19"/>
      <c r="CX178" s="19"/>
      <c r="CY178" s="19"/>
      <c r="CZ178" s="19"/>
      <c r="DA178" s="19"/>
      <c r="DB178" s="19"/>
      <c r="DC178" s="19"/>
      <c r="DD178" s="19"/>
      <c r="DE178" s="19"/>
      <c r="DF178" s="19"/>
      <c r="DG178" s="19"/>
      <c r="DH178" s="19"/>
      <c r="DI178" s="19"/>
      <c r="DJ178" s="19"/>
      <c r="DK178" s="19"/>
      <c r="DL178" s="19"/>
      <c r="DM178" s="19"/>
      <c r="DN178" s="19"/>
      <c r="DO178" s="19"/>
      <c r="DP178" s="19"/>
      <c r="DQ178" s="19"/>
      <c r="DR178" s="19"/>
      <c r="DS178" s="19"/>
      <c r="DT178" s="19"/>
      <c r="DU178" s="19"/>
      <c r="DV178" s="19"/>
      <c r="DW178" s="19"/>
      <c r="DX178" s="19"/>
      <c r="DY178" s="19"/>
      <c r="DZ178" s="19"/>
      <c r="EA178" s="19"/>
      <c r="EB178" s="19"/>
      <c r="EC178" s="19"/>
      <c r="ED178" s="19"/>
      <c r="EE178" s="19"/>
      <c r="EF178" s="19"/>
      <c r="EG178" s="19"/>
      <c r="EH178" s="19"/>
      <c r="EI178" s="19"/>
      <c r="EJ178" s="19"/>
      <c r="EK178" s="19"/>
      <c r="EL178" s="19"/>
      <c r="EM178" s="19"/>
      <c r="EN178" s="19"/>
      <c r="EO178" s="19"/>
      <c r="EP178" s="19"/>
      <c r="EQ178" s="19"/>
      <c r="ER178" s="19"/>
      <c r="ES178" s="19"/>
      <c r="ET178" s="19"/>
      <c r="EU178" s="19"/>
      <c r="EV178" s="19"/>
      <c r="EW178" s="19"/>
      <c r="EX178" s="19"/>
      <c r="EY178" s="19"/>
      <c r="EZ178" s="19"/>
      <c r="FA178" s="19"/>
      <c r="FB178" s="19"/>
      <c r="FC178" s="19"/>
      <c r="FD178" s="19"/>
      <c r="FE178" s="19"/>
      <c r="FF178" s="19"/>
      <c r="FG178" s="19"/>
      <c r="FH178" s="19"/>
      <c r="FI178" s="19"/>
      <c r="FJ178" s="19"/>
      <c r="FK178" s="19"/>
      <c r="FL178" s="19"/>
      <c r="FM178" s="19"/>
      <c r="FN178" s="19"/>
      <c r="FO178" s="19"/>
      <c r="FP178" s="19"/>
      <c r="FQ178" s="19"/>
      <c r="FR178" s="19"/>
      <c r="FS178" s="19"/>
      <c r="FT178" s="19"/>
      <c r="FU178" s="19"/>
      <c r="FV178" s="19"/>
      <c r="FW178" s="19"/>
      <c r="FX178" s="19"/>
      <c r="FY178" s="19"/>
      <c r="FZ178" s="19"/>
      <c r="GA178" s="19"/>
      <c r="GB178" s="19"/>
      <c r="GC178" s="19"/>
      <c r="GD178" s="19"/>
      <c r="GE178" s="19"/>
      <c r="GF178" s="19"/>
      <c r="GG178" s="19"/>
      <c r="GH178" s="19"/>
      <c r="GI178" s="19"/>
      <c r="GJ178" s="19"/>
      <c r="GK178" s="19"/>
      <c r="GL178" s="19"/>
      <c r="GM178" s="19"/>
      <c r="GN178" s="19"/>
      <c r="GO178" s="19"/>
      <c r="GP178" s="19"/>
      <c r="GQ178" s="19"/>
      <c r="GR178" s="19"/>
      <c r="GS178" s="19"/>
      <c r="GT178" s="19"/>
      <c r="GU178" s="19"/>
      <c r="GV178" s="19"/>
      <c r="GW178" s="19"/>
      <c r="GX178" s="19"/>
      <c r="GY178" s="19"/>
      <c r="GZ178" s="19"/>
      <c r="HA178" s="19"/>
      <c r="HB178" s="19"/>
    </row>
    <row r="179" spans="1:210" hidden="1" x14ac:dyDescent="0.25">
      <c r="A179" s="113">
        <f t="shared" si="30"/>
        <v>-49</v>
      </c>
      <c r="B179" s="163"/>
      <c r="C179" s="172" t="str">
        <f t="shared" si="25"/>
        <v>RTH at -49 °C</v>
      </c>
      <c r="D179" s="196">
        <f t="shared" si="31"/>
        <v>4.206666666666667</v>
      </c>
      <c r="E179" s="207">
        <v>9.9999999999999997E+98</v>
      </c>
      <c r="F179" s="208">
        <v>9.9999999999999997E+98</v>
      </c>
      <c r="G179" s="209">
        <v>9.9999999999999997E+98</v>
      </c>
      <c r="H179" s="128" t="s">
        <v>18</v>
      </c>
      <c r="I179" s="29"/>
      <c r="J179" s="29">
        <v>325</v>
      </c>
      <c r="K179" s="29">
        <v>310.89999999999998</v>
      </c>
      <c r="L179" s="29">
        <v>297.3</v>
      </c>
      <c r="M179" s="29"/>
      <c r="N179" s="29"/>
      <c r="O179" s="29"/>
      <c r="P179" s="29"/>
      <c r="Q179" s="29"/>
      <c r="R179" s="29"/>
      <c r="S179" s="29"/>
      <c r="T179" s="29"/>
      <c r="U179" s="29"/>
      <c r="V179" s="29"/>
      <c r="W179" s="29"/>
      <c r="X179" s="29"/>
      <c r="Y179" s="30"/>
      <c r="Z179" s="18"/>
      <c r="AA179" s="19"/>
      <c r="AB179" s="19"/>
      <c r="AC179" s="20">
        <f t="shared" si="26"/>
        <v>-49</v>
      </c>
      <c r="AD179" s="20">
        <f t="shared" si="27"/>
        <v>9.9999999999999997E+98</v>
      </c>
      <c r="AE179" s="20">
        <f t="shared" si="28"/>
        <v>9.9999999999999997E+98</v>
      </c>
      <c r="AF179" s="20">
        <f t="shared" si="29"/>
        <v>9.9999999999999997E+98</v>
      </c>
      <c r="AG179" s="20">
        <f>Table9[[#This Row],[RTH(min) (kΩ)]]*RT2_TH_MIN/(RT2_TH_MIN+Table9[[#This Row],[RTH(min) (kΩ)]])</f>
        <v>30.474773623767586</v>
      </c>
      <c r="AH179" s="20">
        <f>Table9[[#This Row],[RTH(nom) (kΩ)]]*RT2_TH_S/(RT2_TH_S+Table9[[#This Row],[RTH(nom) (kΩ)]])</f>
        <v>30.505278902670256</v>
      </c>
      <c r="AI179" s="20">
        <f>Table9[[#This Row],[RTH(max) (kΩ)]]*RT2_TH_S_MAX/(RT2_TH_S_MAX+Table9[[#This Row],[RTH(max) (kΩ)]])</f>
        <v>30.535784181572922</v>
      </c>
      <c r="AJ179" s="20">
        <f>Table9[[#This Row],[RLower(min) (kΩ)]]/(Table9[[#This Row],[RLower(min) (kΩ)]]+RT1_TH_S_MAX)*100</f>
        <v>85.332443462432792</v>
      </c>
      <c r="AK179" s="20">
        <f>Table9[[#This Row],[RLower(nom) (kΩ)]]/(Table9[[#This Row],[RLower(nom) (kΩ)]]+RT1_TH_S)*100</f>
        <v>85.357458154608338</v>
      </c>
      <c r="AL179" s="20">
        <f>Table9[[#This Row],[RLower(max) (kΩ)]]/(Table9[[#This Row],[RLower(max) (kΩ)]]+RT1_TH_S_MIN)*100</f>
        <v>85.382437493546604</v>
      </c>
      <c r="AM179" s="20">
        <f>IF(Table9[[#This Row],[Vmin (%)]]&lt;$BA$14, 0, IF(Table9[[#This Row],[Vmin (%)]]&lt;$BA$12, 4, IF(Table9[[#This Row],[Vmin (%)]]&lt;$BA$9, 3, IF(Table9[[#This Row],[Vmin (%)]]&lt;$BA$7, 2, 0))))</f>
        <v>0</v>
      </c>
      <c r="AN179" s="20">
        <f>IF(Table9[[#This Row],[Vmin (%)]]&lt;$BA$13, 0, IF(Table9[[#This Row],[Vmin (%)]]&lt;$BA$11, 4, IF(Table9[[#This Row],[Vmin (%)]]&lt;$BA$10, 3, IF(Table9[[#This Row],[Vmin (%)]]&lt;$BA$8, 2, 0))))</f>
        <v>0</v>
      </c>
      <c r="AO179" s="76" t="str">
        <f>IF(Table9[[#This Row],[Vmin (%)]]&lt;$BA$14, "Hot", IF(Table9[[#This Row],[Vmin (%)]]&lt;$BA$12, "Warm", IF(Table9[[#This Row],[Vmin (%)]]&lt;$BA$9, "Normal", IF(Table9[[#This Row],[Vmin (%)]]&lt;$BA$7, "Cool", "Cold"))))</f>
        <v>Cold</v>
      </c>
      <c r="AP179" s="19"/>
      <c r="AQ179" s="19"/>
      <c r="AR179" s="19"/>
      <c r="AS179" s="19"/>
      <c r="AT179" s="19"/>
      <c r="AU179" s="19"/>
      <c r="AV179" s="19"/>
      <c r="AW179" s="19"/>
      <c r="AX179" s="19"/>
      <c r="AY179" s="19"/>
      <c r="AZ179" s="19"/>
      <c r="BA179" s="19"/>
      <c r="BB179" s="19"/>
      <c r="BC179" s="19"/>
      <c r="BD179" s="19"/>
      <c r="BE179" s="19"/>
      <c r="BF179" s="19"/>
      <c r="BG179" s="19"/>
      <c r="BH179" s="19"/>
      <c r="BI179" s="19"/>
      <c r="BJ179" s="19"/>
      <c r="BK179" s="19"/>
      <c r="BL179" s="19"/>
      <c r="BM179" s="19"/>
      <c r="BN179" s="19"/>
      <c r="BO179" s="19"/>
      <c r="BP179" s="19"/>
      <c r="BQ179" s="19"/>
      <c r="BR179" s="19"/>
      <c r="BS179" s="19"/>
      <c r="BT179" s="19"/>
      <c r="BU179" s="19"/>
      <c r="BV179" s="19"/>
      <c r="BW179" s="19"/>
      <c r="BX179" s="19"/>
      <c r="BY179" s="19"/>
      <c r="BZ179" s="19"/>
      <c r="CA179" s="19"/>
      <c r="CB179" s="19"/>
      <c r="CC179" s="19"/>
      <c r="CD179" s="19"/>
      <c r="CE179" s="19"/>
      <c r="CF179" s="19"/>
      <c r="CG179" s="19"/>
      <c r="CH179" s="19"/>
      <c r="CI179" s="19"/>
      <c r="CJ179" s="19"/>
      <c r="CK179" s="19"/>
      <c r="CL179" s="19"/>
      <c r="CM179" s="19"/>
      <c r="CN179" s="19"/>
      <c r="CO179" s="19"/>
      <c r="CP179" s="19"/>
      <c r="CQ179" s="19"/>
      <c r="CR179" s="19"/>
      <c r="CS179" s="19"/>
      <c r="CT179" s="19"/>
      <c r="CU179" s="19"/>
      <c r="CV179" s="19"/>
      <c r="CW179" s="19"/>
      <c r="CX179" s="19"/>
      <c r="CY179" s="19"/>
      <c r="CZ179" s="19"/>
      <c r="DA179" s="19"/>
      <c r="DB179" s="19"/>
      <c r="DC179" s="19"/>
      <c r="DD179" s="19"/>
      <c r="DE179" s="19"/>
      <c r="DF179" s="19"/>
      <c r="DG179" s="19"/>
      <c r="DH179" s="19"/>
      <c r="DI179" s="19"/>
      <c r="DJ179" s="19"/>
      <c r="DK179" s="19"/>
      <c r="DL179" s="19"/>
      <c r="DM179" s="19"/>
      <c r="DN179" s="19"/>
      <c r="DO179" s="19"/>
      <c r="DP179" s="19"/>
      <c r="DQ179" s="19"/>
      <c r="DR179" s="19"/>
      <c r="DS179" s="19"/>
      <c r="DT179" s="19"/>
      <c r="DU179" s="19"/>
      <c r="DV179" s="19"/>
      <c r="DW179" s="19"/>
      <c r="DX179" s="19"/>
      <c r="DY179" s="19"/>
      <c r="DZ179" s="19"/>
      <c r="EA179" s="19"/>
      <c r="EB179" s="19"/>
      <c r="EC179" s="19"/>
      <c r="ED179" s="19"/>
      <c r="EE179" s="19"/>
      <c r="EF179" s="19"/>
      <c r="EG179" s="19"/>
      <c r="EH179" s="19"/>
      <c r="EI179" s="19"/>
      <c r="EJ179" s="19"/>
      <c r="EK179" s="19"/>
      <c r="EL179" s="19"/>
      <c r="EM179" s="19"/>
      <c r="EN179" s="19"/>
      <c r="EO179" s="19"/>
      <c r="EP179" s="19"/>
      <c r="EQ179" s="19"/>
      <c r="ER179" s="19"/>
      <c r="ES179" s="19"/>
      <c r="ET179" s="19"/>
      <c r="EU179" s="19"/>
      <c r="EV179" s="19"/>
      <c r="EW179" s="19"/>
      <c r="EX179" s="19"/>
      <c r="EY179" s="19"/>
      <c r="EZ179" s="19"/>
      <c r="FA179" s="19"/>
      <c r="FB179" s="19"/>
      <c r="FC179" s="19"/>
      <c r="FD179" s="19"/>
      <c r="FE179" s="19"/>
      <c r="FF179" s="19"/>
      <c r="FG179" s="19"/>
      <c r="FH179" s="19"/>
      <c r="FI179" s="19"/>
      <c r="FJ179" s="19"/>
      <c r="FK179" s="19"/>
      <c r="FL179" s="19"/>
      <c r="FM179" s="19"/>
      <c r="FN179" s="19"/>
      <c r="FO179" s="19"/>
      <c r="FP179" s="19"/>
      <c r="FQ179" s="19"/>
      <c r="FR179" s="19"/>
      <c r="FS179" s="19"/>
      <c r="FT179" s="19"/>
      <c r="FU179" s="19"/>
      <c r="FV179" s="19"/>
      <c r="FW179" s="19"/>
      <c r="FX179" s="19"/>
      <c r="FY179" s="19"/>
      <c r="FZ179" s="19"/>
      <c r="GA179" s="19"/>
      <c r="GB179" s="19"/>
      <c r="GC179" s="19"/>
      <c r="GD179" s="19"/>
      <c r="GE179" s="19"/>
      <c r="GF179" s="19"/>
      <c r="GG179" s="19"/>
      <c r="GH179" s="19"/>
      <c r="GI179" s="19"/>
      <c r="GJ179" s="19"/>
      <c r="GK179" s="19"/>
      <c r="GL179" s="19"/>
      <c r="GM179" s="19"/>
      <c r="GN179" s="19"/>
      <c r="GO179" s="19"/>
      <c r="GP179" s="19"/>
      <c r="GQ179" s="19"/>
      <c r="GR179" s="19"/>
      <c r="GS179" s="19"/>
      <c r="GT179" s="19"/>
      <c r="GU179" s="19"/>
      <c r="GV179" s="19"/>
      <c r="GW179" s="19"/>
      <c r="GX179" s="19"/>
      <c r="GY179" s="19"/>
      <c r="GZ179" s="19"/>
      <c r="HA179" s="19"/>
      <c r="HB179" s="19"/>
    </row>
    <row r="180" spans="1:210" ht="15.75" hidden="1" thickBot="1" x14ac:dyDescent="0.3">
      <c r="A180" s="173">
        <f t="shared" si="30"/>
        <v>-50</v>
      </c>
      <c r="B180" s="162"/>
      <c r="C180" s="174" t="str">
        <f t="shared" si="25"/>
        <v>RTH at -50 °C</v>
      </c>
      <c r="D180" s="200">
        <v>4.25</v>
      </c>
      <c r="E180" s="204">
        <v>9.9999999999999997E+98</v>
      </c>
      <c r="F180" s="205">
        <v>9.9999999999999997E+98</v>
      </c>
      <c r="G180" s="206">
        <v>9.9999999999999997E+98</v>
      </c>
      <c r="H180" s="134" t="s">
        <v>18</v>
      </c>
      <c r="I180" s="29"/>
      <c r="J180" s="29">
        <v>344.6</v>
      </c>
      <c r="K180" s="29">
        <v>329.5</v>
      </c>
      <c r="L180" s="29">
        <v>314.89999999999998</v>
      </c>
      <c r="M180" s="29"/>
      <c r="N180" s="29"/>
      <c r="O180" s="29"/>
      <c r="P180" s="29"/>
      <c r="Q180" s="29"/>
      <c r="R180" s="29"/>
      <c r="S180" s="29"/>
      <c r="T180" s="29"/>
      <c r="U180" s="29"/>
      <c r="V180" s="29"/>
      <c r="W180" s="29"/>
      <c r="X180" s="29"/>
      <c r="Y180" s="30"/>
      <c r="Z180" s="18"/>
      <c r="AA180" s="19"/>
      <c r="AB180" s="19"/>
      <c r="AC180" s="20">
        <f t="shared" si="26"/>
        <v>-50</v>
      </c>
      <c r="AD180" s="20">
        <f t="shared" si="27"/>
        <v>9.9999999999999997E+98</v>
      </c>
      <c r="AE180" s="20">
        <f t="shared" si="28"/>
        <v>9.9999999999999997E+98</v>
      </c>
      <c r="AF180" s="20">
        <f t="shared" si="29"/>
        <v>9.9999999999999997E+98</v>
      </c>
      <c r="AG180" s="20">
        <f>Table9[[#This Row],[RTH(min) (kΩ)]]*RT2_TH_MIN/(RT2_TH_MIN+Table9[[#This Row],[RTH(min) (kΩ)]])</f>
        <v>30.474773623767586</v>
      </c>
      <c r="AH180" s="20">
        <f>Table9[[#This Row],[RTH(nom) (kΩ)]]*RT2_TH_S/(RT2_TH_S+Table9[[#This Row],[RTH(nom) (kΩ)]])</f>
        <v>30.505278902670256</v>
      </c>
      <c r="AI180" s="20">
        <f>Table9[[#This Row],[RTH(max) (kΩ)]]*RT2_TH_S_MAX/(RT2_TH_S_MAX+Table9[[#This Row],[RTH(max) (kΩ)]])</f>
        <v>30.535784181572922</v>
      </c>
      <c r="AJ180" s="20">
        <f>Table9[[#This Row],[RLower(min) (kΩ)]]/(Table9[[#This Row],[RLower(min) (kΩ)]]+RT1_TH_S_MAX)*100</f>
        <v>85.332443462432792</v>
      </c>
      <c r="AK180" s="20">
        <f>Table9[[#This Row],[RLower(nom) (kΩ)]]/(Table9[[#This Row],[RLower(nom) (kΩ)]]+RT1_TH_S)*100</f>
        <v>85.357458154608338</v>
      </c>
      <c r="AL180" s="20">
        <f>Table9[[#This Row],[RLower(max) (kΩ)]]/(Table9[[#This Row],[RLower(max) (kΩ)]]+RT1_TH_S_MIN)*100</f>
        <v>85.382437493546604</v>
      </c>
      <c r="AM180" s="20">
        <f>IF(Table9[[#This Row],[Vmin (%)]]&lt;$BA$14, 0, IF(Table9[[#This Row],[Vmin (%)]]&lt;$BA$12, 4, IF(Table9[[#This Row],[Vmin (%)]]&lt;$BA$9, 3, IF(Table9[[#This Row],[Vmin (%)]]&lt;$BA$7, 2, 0))))</f>
        <v>0</v>
      </c>
      <c r="AN180" s="20">
        <f>IF(Table9[[#This Row],[Vmin (%)]]&lt;$BA$13, 0, IF(Table9[[#This Row],[Vmin (%)]]&lt;$BA$11, 4, IF(Table9[[#This Row],[Vmin (%)]]&lt;$BA$10, 3, IF(Table9[[#This Row],[Vmin (%)]]&lt;$BA$8, 2, 0))))</f>
        <v>0</v>
      </c>
      <c r="AO180" s="76" t="str">
        <f>IF(Table9[[#This Row],[Vmin (%)]]&lt;$BA$14, "Hot", IF(Table9[[#This Row],[Vmin (%)]]&lt;$BA$12, "Warm", IF(Table9[[#This Row],[Vmin (%)]]&lt;$BA$9, "Normal", IF(Table9[[#This Row],[Vmin (%)]]&lt;$BA$7, "Cool", "Cold"))))</f>
        <v>Cold</v>
      </c>
      <c r="AP180" s="19"/>
      <c r="AQ180" s="19"/>
      <c r="AR180" s="19"/>
      <c r="AS180" s="19"/>
      <c r="AT180" s="19"/>
      <c r="AU180" s="19"/>
      <c r="AV180" s="19"/>
      <c r="AW180" s="19"/>
      <c r="AX180" s="19"/>
      <c r="AY180" s="19"/>
      <c r="AZ180" s="19"/>
      <c r="BA180" s="19"/>
      <c r="BB180" s="19"/>
      <c r="BC180" s="19"/>
      <c r="BD180" s="19"/>
      <c r="BE180" s="19"/>
      <c r="BF180" s="19"/>
      <c r="BG180" s="19"/>
      <c r="BH180" s="19"/>
      <c r="BI180" s="19"/>
      <c r="BJ180" s="19"/>
      <c r="BK180" s="19"/>
      <c r="BL180" s="19"/>
      <c r="BM180" s="19"/>
      <c r="BN180" s="19"/>
      <c r="BO180" s="19"/>
      <c r="BP180" s="19"/>
      <c r="BQ180" s="19"/>
      <c r="BR180" s="19"/>
      <c r="BS180" s="19"/>
      <c r="BT180" s="19"/>
      <c r="BU180" s="19"/>
      <c r="BV180" s="19"/>
      <c r="BW180" s="19"/>
      <c r="BX180" s="19"/>
      <c r="BY180" s="19"/>
      <c r="BZ180" s="19"/>
      <c r="CA180" s="19"/>
      <c r="CB180" s="19"/>
      <c r="CC180" s="19"/>
      <c r="CD180" s="19"/>
      <c r="CE180" s="19"/>
      <c r="CF180" s="19"/>
      <c r="CG180" s="19"/>
      <c r="CH180" s="19"/>
      <c r="CI180" s="19"/>
      <c r="CJ180" s="19"/>
      <c r="CK180" s="19"/>
      <c r="CL180" s="19"/>
      <c r="CM180" s="19"/>
      <c r="CN180" s="19"/>
      <c r="CO180" s="19"/>
      <c r="CP180" s="19"/>
      <c r="CQ180" s="19"/>
      <c r="CR180" s="19"/>
      <c r="CS180" s="19"/>
      <c r="CT180" s="19"/>
      <c r="CU180" s="19"/>
      <c r="CV180" s="19"/>
      <c r="CW180" s="19"/>
      <c r="CX180" s="19"/>
      <c r="CY180" s="19"/>
      <c r="CZ180" s="19"/>
      <c r="DA180" s="19"/>
      <c r="DB180" s="19"/>
      <c r="DC180" s="19"/>
      <c r="DD180" s="19"/>
      <c r="DE180" s="19"/>
      <c r="DF180" s="19"/>
      <c r="DG180" s="19"/>
      <c r="DH180" s="19"/>
      <c r="DI180" s="19"/>
      <c r="DJ180" s="19"/>
      <c r="DK180" s="19"/>
      <c r="DL180" s="19"/>
      <c r="DM180" s="19"/>
      <c r="DN180" s="19"/>
      <c r="DO180" s="19"/>
      <c r="DP180" s="19"/>
      <c r="DQ180" s="19"/>
      <c r="DR180" s="19"/>
      <c r="DS180" s="19"/>
      <c r="DT180" s="19"/>
      <c r="DU180" s="19"/>
      <c r="DV180" s="19"/>
      <c r="DW180" s="19"/>
      <c r="DX180" s="19"/>
      <c r="DY180" s="19"/>
      <c r="DZ180" s="19"/>
      <c r="EA180" s="19"/>
      <c r="EB180" s="19"/>
      <c r="EC180" s="19"/>
      <c r="ED180" s="19"/>
      <c r="EE180" s="19"/>
      <c r="EF180" s="19"/>
      <c r="EG180" s="19"/>
      <c r="EH180" s="19"/>
      <c r="EI180" s="19"/>
      <c r="EJ180" s="19"/>
      <c r="EK180" s="19"/>
      <c r="EL180" s="19"/>
      <c r="EM180" s="19"/>
      <c r="EN180" s="19"/>
      <c r="EO180" s="19"/>
      <c r="EP180" s="19"/>
      <c r="EQ180" s="19"/>
      <c r="ER180" s="19"/>
      <c r="ES180" s="19"/>
      <c r="ET180" s="19"/>
      <c r="EU180" s="19"/>
      <c r="EV180" s="19"/>
      <c r="EW180" s="19"/>
      <c r="EX180" s="19"/>
      <c r="EY180" s="19"/>
      <c r="EZ180" s="19"/>
      <c r="FA180" s="19"/>
      <c r="FB180" s="19"/>
      <c r="FC180" s="19"/>
      <c r="FD180" s="19"/>
      <c r="FE180" s="19"/>
      <c r="FF180" s="19"/>
      <c r="FG180" s="19"/>
      <c r="FH180" s="19"/>
      <c r="FI180" s="19"/>
      <c r="FJ180" s="19"/>
      <c r="FK180" s="19"/>
      <c r="FL180" s="19"/>
      <c r="FM180" s="19"/>
      <c r="FN180" s="19"/>
      <c r="FO180" s="19"/>
      <c r="FP180" s="19"/>
      <c r="FQ180" s="19"/>
      <c r="FR180" s="19"/>
      <c r="FS180" s="19"/>
      <c r="FT180" s="19"/>
      <c r="FU180" s="19"/>
      <c r="FV180" s="19"/>
      <c r="FW180" s="19"/>
      <c r="FX180" s="19"/>
      <c r="FY180" s="19"/>
      <c r="FZ180" s="19"/>
      <c r="GA180" s="19"/>
      <c r="GB180" s="19"/>
      <c r="GC180" s="19"/>
      <c r="GD180" s="19"/>
      <c r="GE180" s="19"/>
      <c r="GF180" s="19"/>
      <c r="GG180" s="19"/>
      <c r="GH180" s="19"/>
      <c r="GI180" s="19"/>
      <c r="GJ180" s="19"/>
      <c r="GK180" s="19"/>
      <c r="GL180" s="19"/>
      <c r="GM180" s="19"/>
      <c r="GN180" s="19"/>
      <c r="GO180" s="19"/>
      <c r="GP180" s="19"/>
      <c r="GQ180" s="19"/>
      <c r="GR180" s="19"/>
      <c r="GS180" s="19"/>
      <c r="GT180" s="19"/>
      <c r="GU180" s="19"/>
      <c r="GV180" s="19"/>
      <c r="GW180" s="19"/>
      <c r="GX180" s="19"/>
      <c r="GY180" s="19"/>
      <c r="GZ180" s="19"/>
      <c r="HA180" s="19"/>
      <c r="HB180" s="19"/>
    </row>
    <row r="181" spans="1:210" x14ac:dyDescent="0.25">
      <c r="A181" s="112"/>
      <c r="B181" s="160"/>
      <c r="C181" s="160"/>
      <c r="D181" s="160"/>
      <c r="E181" s="160"/>
      <c r="F181" s="160"/>
      <c r="G181" s="25"/>
      <c r="H181" s="25"/>
      <c r="I181" s="29"/>
      <c r="J181" s="29"/>
      <c r="K181" s="29"/>
      <c r="L181" s="29"/>
      <c r="M181" s="29"/>
      <c r="N181" s="29"/>
      <c r="O181" s="29"/>
      <c r="P181" s="29"/>
      <c r="Q181" s="29"/>
      <c r="R181" s="29"/>
      <c r="S181" s="29"/>
      <c r="T181" s="29"/>
      <c r="U181" s="29"/>
      <c r="V181" s="29"/>
      <c r="W181" s="29"/>
      <c r="X181" s="29"/>
      <c r="Y181" s="30"/>
      <c r="Z181" s="18"/>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c r="BE181" s="19"/>
      <c r="BF181" s="19"/>
      <c r="BG181" s="19"/>
      <c r="BH181" s="19"/>
      <c r="BI181" s="19"/>
      <c r="BJ181" s="19"/>
      <c r="BK181" s="19"/>
      <c r="BL181" s="19"/>
      <c r="BM181" s="19"/>
      <c r="BN181" s="19"/>
      <c r="BO181" s="19"/>
      <c r="BP181" s="19"/>
      <c r="BQ181" s="19"/>
      <c r="BR181" s="19"/>
      <c r="BS181" s="19"/>
      <c r="BT181" s="19"/>
      <c r="BU181" s="19"/>
      <c r="BV181" s="19"/>
      <c r="BW181" s="19"/>
      <c r="BX181" s="19"/>
      <c r="BY181" s="19"/>
      <c r="BZ181" s="19"/>
      <c r="CA181" s="19"/>
      <c r="CB181" s="19"/>
      <c r="CC181" s="19"/>
      <c r="CD181" s="19"/>
      <c r="CE181" s="19"/>
      <c r="CF181" s="19"/>
      <c r="CG181" s="19"/>
      <c r="CH181" s="19"/>
      <c r="CI181" s="19"/>
      <c r="CJ181" s="19"/>
      <c r="CK181" s="19"/>
      <c r="CL181" s="19"/>
      <c r="CM181" s="19"/>
      <c r="CN181" s="19"/>
      <c r="CO181" s="19"/>
      <c r="CP181" s="19"/>
      <c r="CQ181" s="19"/>
      <c r="CR181" s="19"/>
      <c r="CS181" s="19"/>
      <c r="CT181" s="19"/>
      <c r="CU181" s="19"/>
      <c r="CV181" s="19"/>
      <c r="CW181" s="19"/>
      <c r="CX181" s="19"/>
      <c r="CY181" s="19"/>
      <c r="CZ181" s="19"/>
      <c r="DA181" s="19"/>
      <c r="DB181" s="19"/>
      <c r="DC181" s="19"/>
      <c r="DD181" s="19"/>
      <c r="DE181" s="19"/>
      <c r="DF181" s="19"/>
      <c r="DG181" s="19"/>
      <c r="DH181" s="19"/>
      <c r="DI181" s="19"/>
      <c r="DJ181" s="19"/>
      <c r="DK181" s="19"/>
      <c r="DL181" s="19"/>
      <c r="DM181" s="19"/>
      <c r="DN181" s="19"/>
      <c r="DO181" s="19"/>
      <c r="DP181" s="19"/>
      <c r="DQ181" s="19"/>
      <c r="DR181" s="19"/>
      <c r="DS181" s="19"/>
      <c r="DT181" s="19"/>
      <c r="DU181" s="19"/>
      <c r="DV181" s="19"/>
      <c r="DW181" s="19"/>
      <c r="DX181" s="19"/>
      <c r="DY181" s="19"/>
      <c r="DZ181" s="19"/>
      <c r="EA181" s="19"/>
      <c r="EB181" s="19"/>
      <c r="EC181" s="19"/>
      <c r="ED181" s="19"/>
      <c r="EE181" s="19"/>
      <c r="EF181" s="19"/>
      <c r="EG181" s="19"/>
      <c r="EH181" s="19"/>
      <c r="EI181" s="19"/>
      <c r="EJ181" s="19"/>
      <c r="EK181" s="19"/>
      <c r="EL181" s="19"/>
      <c r="EM181" s="19"/>
      <c r="EN181" s="19"/>
      <c r="EO181" s="19"/>
      <c r="EP181" s="19"/>
      <c r="EQ181" s="19"/>
      <c r="ER181" s="19"/>
      <c r="ES181" s="19"/>
      <c r="ET181" s="19"/>
      <c r="EU181" s="19"/>
      <c r="EV181" s="19"/>
      <c r="EW181" s="19"/>
      <c r="EX181" s="19"/>
      <c r="EY181" s="19"/>
      <c r="EZ181" s="19"/>
      <c r="FA181" s="19"/>
      <c r="FB181" s="19"/>
      <c r="FC181" s="19"/>
      <c r="FD181" s="19"/>
      <c r="FE181" s="19"/>
      <c r="FF181" s="19"/>
      <c r="FG181" s="19"/>
      <c r="FH181" s="19"/>
      <c r="FI181" s="19"/>
      <c r="FJ181" s="19"/>
      <c r="FK181" s="19"/>
      <c r="FL181" s="19"/>
      <c r="FM181" s="19"/>
      <c r="FN181" s="19"/>
      <c r="FO181" s="19"/>
      <c r="FP181" s="19"/>
      <c r="FQ181" s="19"/>
      <c r="FR181" s="19"/>
      <c r="FS181" s="19"/>
      <c r="FT181" s="19"/>
      <c r="FU181" s="19"/>
      <c r="FV181" s="19"/>
      <c r="FW181" s="19"/>
      <c r="FX181" s="19"/>
      <c r="FY181" s="19"/>
      <c r="FZ181" s="19"/>
      <c r="GA181" s="19"/>
      <c r="GB181" s="19"/>
      <c r="GC181" s="19"/>
      <c r="GD181" s="19"/>
      <c r="GE181" s="19"/>
      <c r="GF181" s="19"/>
      <c r="GG181" s="19"/>
      <c r="GH181" s="19"/>
      <c r="GI181" s="19"/>
      <c r="GJ181" s="19"/>
      <c r="GK181" s="19"/>
      <c r="GL181" s="19"/>
      <c r="GM181" s="19"/>
      <c r="GN181" s="19"/>
      <c r="GO181" s="19"/>
      <c r="GP181" s="19"/>
      <c r="GQ181" s="19"/>
      <c r="GR181" s="19"/>
      <c r="GS181" s="19"/>
      <c r="GT181" s="19"/>
      <c r="GU181" s="19"/>
      <c r="GV181" s="19"/>
      <c r="GW181" s="19"/>
      <c r="GX181" s="19"/>
      <c r="GY181" s="19"/>
      <c r="GZ181" s="19"/>
      <c r="HA181" s="19"/>
      <c r="HB181" s="19"/>
    </row>
    <row r="182" spans="1:210" ht="15.75" thickBot="1" x14ac:dyDescent="0.3">
      <c r="A182" s="173"/>
      <c r="B182" s="162"/>
      <c r="C182" s="162"/>
      <c r="D182" s="162"/>
      <c r="E182" s="162"/>
      <c r="F182" s="162"/>
      <c r="G182" s="114"/>
      <c r="H182" s="114"/>
      <c r="I182" s="114"/>
      <c r="J182" s="114"/>
      <c r="K182" s="114"/>
      <c r="L182" s="114"/>
      <c r="M182" s="114"/>
      <c r="N182" s="114"/>
      <c r="O182" s="114"/>
      <c r="P182" s="114"/>
      <c r="Q182" s="114"/>
      <c r="R182" s="114"/>
      <c r="S182" s="114"/>
      <c r="T182" s="114"/>
      <c r="U182" s="114"/>
      <c r="V182" s="114"/>
      <c r="W182" s="114"/>
      <c r="X182" s="114"/>
      <c r="Y182" s="115"/>
      <c r="Z182" s="18"/>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c r="BE182" s="19"/>
      <c r="BF182" s="19"/>
      <c r="BG182" s="19"/>
      <c r="BH182" s="19"/>
      <c r="BI182" s="19"/>
      <c r="BJ182" s="19"/>
      <c r="BK182" s="19"/>
      <c r="BL182" s="19"/>
      <c r="BM182" s="19"/>
      <c r="BN182" s="19"/>
      <c r="BO182" s="19"/>
      <c r="BP182" s="19"/>
      <c r="BQ182" s="19"/>
      <c r="BR182" s="19"/>
      <c r="BS182" s="19"/>
      <c r="BT182" s="19"/>
      <c r="BU182" s="19"/>
      <c r="BV182" s="19"/>
      <c r="BW182" s="19"/>
      <c r="BX182" s="19"/>
      <c r="BY182" s="19"/>
      <c r="BZ182" s="19"/>
      <c r="CA182" s="19"/>
      <c r="CB182" s="19"/>
      <c r="CC182" s="19"/>
      <c r="CD182" s="19"/>
      <c r="CE182" s="19"/>
      <c r="CF182" s="19"/>
      <c r="CG182" s="19"/>
      <c r="CH182" s="19"/>
      <c r="CI182" s="19"/>
      <c r="CJ182" s="19"/>
      <c r="CK182" s="19"/>
      <c r="CL182" s="19"/>
      <c r="CM182" s="19"/>
      <c r="CN182" s="19"/>
      <c r="CO182" s="19"/>
      <c r="CP182" s="19"/>
      <c r="CQ182" s="19"/>
      <c r="CR182" s="19"/>
      <c r="CS182" s="19"/>
      <c r="CT182" s="19"/>
      <c r="CU182" s="19"/>
      <c r="CV182" s="19"/>
      <c r="CW182" s="19"/>
      <c r="CX182" s="19"/>
      <c r="CY182" s="19"/>
      <c r="CZ182" s="19"/>
      <c r="DA182" s="19"/>
      <c r="DB182" s="19"/>
      <c r="DC182" s="19"/>
      <c r="DD182" s="19"/>
      <c r="DE182" s="19"/>
      <c r="DF182" s="19"/>
      <c r="DG182" s="19"/>
      <c r="DH182" s="19"/>
      <c r="DI182" s="19"/>
      <c r="DJ182" s="19"/>
      <c r="DK182" s="19"/>
      <c r="DL182" s="19"/>
      <c r="DM182" s="19"/>
      <c r="DN182" s="19"/>
      <c r="DO182" s="19"/>
      <c r="DP182" s="19"/>
      <c r="DQ182" s="19"/>
      <c r="DR182" s="19"/>
      <c r="DS182" s="19"/>
      <c r="DT182" s="19"/>
      <c r="DU182" s="19"/>
      <c r="DV182" s="19"/>
      <c r="DW182" s="19"/>
      <c r="DX182" s="19"/>
      <c r="DY182" s="19"/>
      <c r="DZ182" s="19"/>
      <c r="EA182" s="19"/>
      <c r="EB182" s="19"/>
      <c r="EC182" s="19"/>
      <c r="ED182" s="19"/>
      <c r="EE182" s="19"/>
      <c r="EF182" s="19"/>
      <c r="EG182" s="19"/>
      <c r="EH182" s="19"/>
      <c r="EI182" s="19"/>
      <c r="EJ182" s="19"/>
      <c r="EK182" s="19"/>
      <c r="EL182" s="19"/>
      <c r="EM182" s="19"/>
      <c r="EN182" s="19"/>
      <c r="EO182" s="19"/>
      <c r="EP182" s="19"/>
      <c r="EQ182" s="19"/>
      <c r="ER182" s="19"/>
      <c r="ES182" s="19"/>
      <c r="ET182" s="19"/>
      <c r="EU182" s="19"/>
      <c r="EV182" s="19"/>
      <c r="EW182" s="19"/>
      <c r="EX182" s="19"/>
      <c r="EY182" s="19"/>
      <c r="EZ182" s="19"/>
      <c r="FA182" s="19"/>
      <c r="FB182" s="19"/>
      <c r="FC182" s="19"/>
      <c r="FD182" s="19"/>
      <c r="FE182" s="19"/>
      <c r="FF182" s="19"/>
      <c r="FG182" s="19"/>
      <c r="FH182" s="19"/>
      <c r="FI182" s="19"/>
      <c r="FJ182" s="19"/>
      <c r="FK182" s="19"/>
      <c r="FL182" s="19"/>
      <c r="FM182" s="19"/>
      <c r="FN182" s="19"/>
      <c r="FO182" s="19"/>
      <c r="FP182" s="19"/>
      <c r="FQ182" s="19"/>
      <c r="FR182" s="19"/>
      <c r="FS182" s="19"/>
      <c r="FT182" s="19"/>
      <c r="FU182" s="19"/>
      <c r="FV182" s="19"/>
      <c r="FW182" s="19"/>
      <c r="FX182" s="19"/>
      <c r="FY182" s="19"/>
      <c r="FZ182" s="19"/>
      <c r="GA182" s="19"/>
      <c r="GB182" s="19"/>
      <c r="GC182" s="19"/>
      <c r="GD182" s="19"/>
      <c r="GE182" s="19"/>
      <c r="GF182" s="19"/>
      <c r="GG182" s="19"/>
      <c r="GH182" s="19"/>
      <c r="GI182" s="19"/>
      <c r="GJ182" s="19"/>
      <c r="GK182" s="19"/>
      <c r="GL182" s="19"/>
      <c r="GM182" s="19"/>
      <c r="GN182" s="19"/>
      <c r="GO182" s="19"/>
      <c r="GP182" s="19"/>
      <c r="GQ182" s="19"/>
      <c r="GR182" s="19"/>
      <c r="GS182" s="19"/>
      <c r="GT182" s="19"/>
      <c r="GU182" s="19"/>
      <c r="GV182" s="19"/>
      <c r="GW182" s="19"/>
      <c r="GX182" s="19"/>
      <c r="GY182" s="19"/>
      <c r="GZ182" s="19"/>
      <c r="HA182" s="19"/>
      <c r="HB182" s="19"/>
    </row>
    <row r="183" spans="1:210" x14ac:dyDescent="0.2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c r="BE183" s="19"/>
      <c r="BF183" s="19"/>
      <c r="BG183" s="19"/>
      <c r="BH183" s="19"/>
      <c r="BI183" s="19"/>
      <c r="BJ183" s="19"/>
      <c r="BK183" s="19"/>
      <c r="BL183" s="19"/>
      <c r="BM183" s="19"/>
      <c r="BN183" s="19"/>
      <c r="BO183" s="19"/>
      <c r="BP183" s="19"/>
      <c r="BQ183" s="19"/>
      <c r="BR183" s="19"/>
      <c r="BS183" s="19"/>
      <c r="BT183" s="19"/>
      <c r="BU183" s="19"/>
      <c r="BV183" s="19"/>
      <c r="BW183" s="19"/>
      <c r="BX183" s="19"/>
      <c r="BY183" s="19"/>
      <c r="BZ183" s="19"/>
      <c r="CA183" s="19"/>
      <c r="CB183" s="19"/>
      <c r="CC183" s="19"/>
      <c r="CD183" s="19"/>
      <c r="CE183" s="19"/>
      <c r="CF183" s="19"/>
      <c r="CG183" s="19"/>
      <c r="CH183" s="19"/>
      <c r="CI183" s="19"/>
      <c r="CJ183" s="19"/>
      <c r="CK183" s="19"/>
      <c r="CL183" s="19"/>
      <c r="CM183" s="19"/>
      <c r="CN183" s="19"/>
      <c r="CO183" s="19"/>
      <c r="CP183" s="19"/>
      <c r="CQ183" s="19"/>
      <c r="CR183" s="19"/>
      <c r="CS183" s="19"/>
      <c r="CT183" s="19"/>
      <c r="CU183" s="19"/>
      <c r="CV183" s="19"/>
      <c r="CW183" s="19"/>
      <c r="CX183" s="19"/>
      <c r="CY183" s="19"/>
      <c r="CZ183" s="19"/>
      <c r="DA183" s="19"/>
      <c r="DB183" s="19"/>
      <c r="DC183" s="19"/>
      <c r="DD183" s="19"/>
      <c r="DE183" s="19"/>
      <c r="DF183" s="19"/>
      <c r="DG183" s="19"/>
      <c r="DH183" s="19"/>
      <c r="DI183" s="19"/>
      <c r="DJ183" s="19"/>
      <c r="DK183" s="19"/>
      <c r="DL183" s="19"/>
      <c r="DM183" s="19"/>
      <c r="DN183" s="19"/>
      <c r="DO183" s="19"/>
      <c r="DP183" s="19"/>
      <c r="DQ183" s="19"/>
      <c r="DR183" s="19"/>
      <c r="DS183" s="19"/>
      <c r="DT183" s="19"/>
      <c r="DU183" s="19"/>
      <c r="DV183" s="19"/>
      <c r="DW183" s="19"/>
      <c r="DX183" s="19"/>
      <c r="DY183" s="19"/>
      <c r="DZ183" s="19"/>
      <c r="EA183" s="19"/>
      <c r="EB183" s="19"/>
      <c r="EC183" s="19"/>
      <c r="ED183" s="19"/>
      <c r="EE183" s="19"/>
      <c r="EF183" s="19"/>
      <c r="EG183" s="19"/>
      <c r="EH183" s="19"/>
      <c r="EI183" s="19"/>
      <c r="EJ183" s="19"/>
      <c r="EK183" s="19"/>
      <c r="EL183" s="19"/>
      <c r="EM183" s="19"/>
      <c r="EN183" s="19"/>
      <c r="EO183" s="19"/>
      <c r="EP183" s="19"/>
      <c r="EQ183" s="19"/>
      <c r="ER183" s="19"/>
      <c r="ES183" s="19"/>
      <c r="ET183" s="19"/>
      <c r="EU183" s="19"/>
      <c r="EV183" s="19"/>
      <c r="EW183" s="19"/>
      <c r="EX183" s="19"/>
      <c r="EY183" s="19"/>
      <c r="EZ183" s="19"/>
      <c r="FA183" s="19"/>
      <c r="FB183" s="19"/>
      <c r="FC183" s="19"/>
      <c r="FD183" s="19"/>
      <c r="FE183" s="19"/>
      <c r="FF183" s="19"/>
      <c r="FG183" s="19"/>
      <c r="FH183" s="19"/>
      <c r="FI183" s="19"/>
      <c r="FJ183" s="19"/>
      <c r="FK183" s="19"/>
      <c r="FL183" s="19"/>
      <c r="FM183" s="19"/>
      <c r="FN183" s="19"/>
      <c r="FO183" s="19"/>
      <c r="FP183" s="19"/>
      <c r="FQ183" s="19"/>
      <c r="FR183" s="19"/>
      <c r="FS183" s="19"/>
      <c r="FT183" s="19"/>
      <c r="FU183" s="19"/>
      <c r="FV183" s="19"/>
      <c r="FW183" s="19"/>
      <c r="FX183" s="19"/>
      <c r="FY183" s="19"/>
      <c r="FZ183" s="19"/>
      <c r="GA183" s="19"/>
      <c r="GB183" s="19"/>
      <c r="GC183" s="19"/>
      <c r="GD183" s="19"/>
      <c r="GE183" s="19"/>
      <c r="GF183" s="19"/>
      <c r="GG183" s="19"/>
      <c r="GH183" s="19"/>
      <c r="GI183" s="19"/>
      <c r="GJ183" s="19"/>
      <c r="GK183" s="19"/>
      <c r="GL183" s="19"/>
      <c r="GM183" s="19"/>
      <c r="GN183" s="19"/>
      <c r="GO183" s="19"/>
      <c r="GP183" s="19"/>
      <c r="GQ183" s="19"/>
      <c r="GR183" s="19"/>
      <c r="GS183" s="19"/>
      <c r="GT183" s="19"/>
      <c r="GU183" s="19"/>
      <c r="GV183" s="19"/>
      <c r="GW183" s="19"/>
      <c r="GX183" s="19"/>
      <c r="GY183" s="19"/>
      <c r="GZ183" s="19"/>
      <c r="HA183" s="19"/>
      <c r="HB183" s="19"/>
    </row>
    <row r="184" spans="1:210" x14ac:dyDescent="0.25">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c r="BE184" s="19"/>
      <c r="BF184" s="19"/>
      <c r="BG184" s="19"/>
      <c r="BH184" s="19"/>
      <c r="BI184" s="19"/>
      <c r="BJ184" s="19"/>
      <c r="BK184" s="19"/>
      <c r="BL184" s="19"/>
      <c r="BM184" s="19"/>
      <c r="BN184" s="19"/>
      <c r="BO184" s="19"/>
      <c r="BP184" s="19"/>
      <c r="BQ184" s="19"/>
      <c r="BR184" s="19"/>
      <c r="BS184" s="19"/>
      <c r="BT184" s="19"/>
      <c r="BU184" s="19"/>
      <c r="BV184" s="19"/>
      <c r="BW184" s="19"/>
      <c r="BX184" s="19"/>
      <c r="BY184" s="19"/>
      <c r="BZ184" s="19"/>
      <c r="CA184" s="19"/>
      <c r="CB184" s="19"/>
      <c r="CC184" s="19"/>
      <c r="CD184" s="19"/>
      <c r="CE184" s="19"/>
      <c r="CF184" s="19"/>
      <c r="CG184" s="19"/>
      <c r="CH184" s="19"/>
      <c r="CI184" s="19"/>
      <c r="CJ184" s="19"/>
      <c r="CK184" s="19"/>
      <c r="CL184" s="19"/>
      <c r="CM184" s="19"/>
      <c r="CN184" s="19"/>
      <c r="CO184" s="19"/>
      <c r="CP184" s="19"/>
      <c r="CQ184" s="19"/>
      <c r="CR184" s="19"/>
      <c r="CS184" s="19"/>
      <c r="CT184" s="19"/>
      <c r="CU184" s="19"/>
      <c r="CV184" s="19"/>
      <c r="CW184" s="19"/>
      <c r="CX184" s="19"/>
      <c r="CY184" s="19"/>
      <c r="CZ184" s="19"/>
      <c r="DA184" s="19"/>
      <c r="DB184" s="19"/>
      <c r="DC184" s="19"/>
      <c r="DD184" s="19"/>
      <c r="DE184" s="19"/>
      <c r="DF184" s="19"/>
      <c r="DG184" s="19"/>
      <c r="DH184" s="19"/>
      <c r="DI184" s="19"/>
      <c r="DJ184" s="19"/>
      <c r="DK184" s="19"/>
      <c r="DL184" s="19"/>
      <c r="DM184" s="19"/>
      <c r="DN184" s="19"/>
      <c r="DO184" s="19"/>
      <c r="DP184" s="19"/>
      <c r="DQ184" s="19"/>
      <c r="DR184" s="19"/>
      <c r="DS184" s="19"/>
      <c r="DT184" s="19"/>
      <c r="DU184" s="19"/>
      <c r="DV184" s="19"/>
      <c r="DW184" s="19"/>
      <c r="DX184" s="19"/>
      <c r="DY184" s="19"/>
      <c r="DZ184" s="19"/>
      <c r="EA184" s="19"/>
      <c r="EB184" s="19"/>
      <c r="EC184" s="19"/>
      <c r="ED184" s="19"/>
      <c r="EE184" s="19"/>
      <c r="EF184" s="19"/>
      <c r="EG184" s="19"/>
      <c r="EH184" s="19"/>
      <c r="EI184" s="19"/>
      <c r="EJ184" s="19"/>
      <c r="EK184" s="19"/>
      <c r="EL184" s="19"/>
      <c r="EM184" s="19"/>
      <c r="EN184" s="19"/>
      <c r="EO184" s="19"/>
      <c r="EP184" s="19"/>
      <c r="EQ184" s="19"/>
      <c r="ER184" s="19"/>
      <c r="ES184" s="19"/>
      <c r="ET184" s="19"/>
      <c r="EU184" s="19"/>
      <c r="EV184" s="19"/>
      <c r="EW184" s="19"/>
      <c r="EX184" s="19"/>
      <c r="EY184" s="19"/>
      <c r="EZ184" s="19"/>
      <c r="FA184" s="19"/>
      <c r="FB184" s="19"/>
      <c r="FC184" s="19"/>
      <c r="FD184" s="19"/>
      <c r="FE184" s="19"/>
      <c r="FF184" s="19"/>
      <c r="FG184" s="19"/>
      <c r="FH184" s="19"/>
      <c r="FI184" s="19"/>
      <c r="FJ184" s="19"/>
      <c r="FK184" s="19"/>
      <c r="FL184" s="19"/>
      <c r="FM184" s="19"/>
      <c r="FN184" s="19"/>
      <c r="FO184" s="19"/>
      <c r="FP184" s="19"/>
      <c r="FQ184" s="19"/>
      <c r="FR184" s="19"/>
      <c r="FS184" s="19"/>
      <c r="FT184" s="19"/>
      <c r="FU184" s="19"/>
      <c r="FV184" s="19"/>
      <c r="FW184" s="19"/>
      <c r="FX184" s="19"/>
      <c r="FY184" s="19"/>
      <c r="FZ184" s="19"/>
      <c r="GA184" s="19"/>
      <c r="GB184" s="19"/>
      <c r="GC184" s="19"/>
      <c r="GD184" s="19"/>
      <c r="GE184" s="19"/>
      <c r="GF184" s="19"/>
      <c r="GG184" s="19"/>
      <c r="GH184" s="19"/>
      <c r="GI184" s="19"/>
      <c r="GJ184" s="19"/>
      <c r="GK184" s="19"/>
      <c r="GL184" s="19"/>
      <c r="GM184" s="19"/>
      <c r="GN184" s="19"/>
      <c r="GO184" s="19"/>
      <c r="GP184" s="19"/>
      <c r="GQ184" s="19"/>
      <c r="GR184" s="19"/>
      <c r="GS184" s="19"/>
      <c r="GT184" s="19"/>
      <c r="GU184" s="19"/>
      <c r="GV184" s="19"/>
      <c r="GW184" s="19"/>
      <c r="GX184" s="19"/>
      <c r="GY184" s="19"/>
      <c r="GZ184" s="19"/>
      <c r="HA184" s="19"/>
      <c r="HB184" s="19"/>
    </row>
    <row r="185" spans="1:210" x14ac:dyDescent="0.25">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c r="BE185" s="19"/>
      <c r="BF185" s="19"/>
      <c r="BG185" s="19"/>
      <c r="BH185" s="19"/>
      <c r="BI185" s="19"/>
      <c r="BJ185" s="19"/>
      <c r="BK185" s="19"/>
      <c r="BL185" s="19"/>
      <c r="BM185" s="19"/>
      <c r="BN185" s="19"/>
      <c r="BO185" s="19"/>
      <c r="BP185" s="19"/>
      <c r="BQ185" s="19"/>
      <c r="BR185" s="19"/>
      <c r="BS185" s="19"/>
      <c r="BT185" s="19"/>
      <c r="BU185" s="19"/>
      <c r="BV185" s="19"/>
      <c r="BW185" s="19"/>
      <c r="BX185" s="19"/>
      <c r="BY185" s="19"/>
      <c r="BZ185" s="19"/>
      <c r="CA185" s="19"/>
      <c r="CB185" s="19"/>
      <c r="CC185" s="19"/>
      <c r="CD185" s="19"/>
      <c r="CE185" s="19"/>
      <c r="CF185" s="19"/>
      <c r="CG185" s="19"/>
      <c r="CH185" s="19"/>
      <c r="CI185" s="19"/>
      <c r="CJ185" s="19"/>
      <c r="CK185" s="19"/>
      <c r="CL185" s="19"/>
      <c r="CM185" s="19"/>
      <c r="CN185" s="19"/>
      <c r="CO185" s="19"/>
      <c r="CP185" s="19"/>
      <c r="CQ185" s="19"/>
      <c r="CR185" s="19"/>
      <c r="CS185" s="19"/>
      <c r="CT185" s="19"/>
      <c r="CU185" s="19"/>
      <c r="CV185" s="19"/>
      <c r="CW185" s="19"/>
      <c r="CX185" s="19"/>
      <c r="CY185" s="19"/>
      <c r="CZ185" s="19"/>
      <c r="DA185" s="19"/>
      <c r="DB185" s="19"/>
      <c r="DC185" s="19"/>
      <c r="DD185" s="19"/>
      <c r="DE185" s="19"/>
      <c r="DF185" s="19"/>
      <c r="DG185" s="19"/>
      <c r="DH185" s="19"/>
      <c r="DI185" s="19"/>
      <c r="DJ185" s="19"/>
      <c r="DK185" s="19"/>
      <c r="DL185" s="19"/>
      <c r="DM185" s="19"/>
      <c r="DN185" s="19"/>
      <c r="DO185" s="19"/>
      <c r="DP185" s="19"/>
      <c r="DQ185" s="19"/>
      <c r="DR185" s="19"/>
      <c r="DS185" s="19"/>
      <c r="DT185" s="19"/>
      <c r="DU185" s="19"/>
      <c r="DV185" s="19"/>
      <c r="DW185" s="19"/>
      <c r="DX185" s="19"/>
      <c r="DY185" s="19"/>
      <c r="DZ185" s="19"/>
      <c r="EA185" s="19"/>
      <c r="EB185" s="19"/>
      <c r="EC185" s="19"/>
      <c r="ED185" s="19"/>
      <c r="EE185" s="19"/>
      <c r="EF185" s="19"/>
      <c r="EG185" s="19"/>
      <c r="EH185" s="19"/>
      <c r="EI185" s="19"/>
      <c r="EJ185" s="19"/>
      <c r="EK185" s="19"/>
      <c r="EL185" s="19"/>
      <c r="EM185" s="19"/>
      <c r="EN185" s="19"/>
      <c r="EO185" s="19"/>
      <c r="EP185" s="19"/>
      <c r="EQ185" s="19"/>
      <c r="ER185" s="19"/>
      <c r="ES185" s="19"/>
      <c r="ET185" s="19"/>
      <c r="EU185" s="19"/>
      <c r="EV185" s="19"/>
      <c r="EW185" s="19"/>
      <c r="EX185" s="19"/>
      <c r="EY185" s="19"/>
      <c r="EZ185" s="19"/>
      <c r="FA185" s="19"/>
      <c r="FB185" s="19"/>
      <c r="FC185" s="19"/>
      <c r="FD185" s="19"/>
      <c r="FE185" s="19"/>
      <c r="FF185" s="19"/>
      <c r="FG185" s="19"/>
      <c r="FH185" s="19"/>
      <c r="FI185" s="19"/>
      <c r="FJ185" s="19"/>
      <c r="FK185" s="19"/>
      <c r="FL185" s="19"/>
      <c r="FM185" s="19"/>
      <c r="FN185" s="19"/>
      <c r="FO185" s="19"/>
      <c r="FP185" s="19"/>
      <c r="FQ185" s="19"/>
      <c r="FR185" s="19"/>
      <c r="FS185" s="19"/>
      <c r="FT185" s="19"/>
      <c r="FU185" s="19"/>
      <c r="FV185" s="19"/>
      <c r="FW185" s="19"/>
      <c r="FX185" s="19"/>
      <c r="FY185" s="19"/>
      <c r="FZ185" s="19"/>
      <c r="GA185" s="19"/>
      <c r="GB185" s="19"/>
      <c r="GC185" s="19"/>
      <c r="GD185" s="19"/>
      <c r="GE185" s="19"/>
      <c r="GF185" s="19"/>
      <c r="GG185" s="19"/>
      <c r="GH185" s="19"/>
      <c r="GI185" s="19"/>
      <c r="GJ185" s="19"/>
      <c r="GK185" s="19"/>
      <c r="GL185" s="19"/>
      <c r="GM185" s="19"/>
      <c r="GN185" s="19"/>
      <c r="GO185" s="19"/>
      <c r="GP185" s="19"/>
      <c r="GQ185" s="19"/>
      <c r="GR185" s="19"/>
      <c r="GS185" s="19"/>
      <c r="GT185" s="19"/>
      <c r="GU185" s="19"/>
      <c r="GV185" s="19"/>
      <c r="GW185" s="19"/>
      <c r="GX185" s="19"/>
      <c r="GY185" s="19"/>
      <c r="GZ185" s="19"/>
      <c r="HA185" s="19"/>
      <c r="HB185" s="19"/>
    </row>
    <row r="186" spans="1:210" x14ac:dyDescent="0.25">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c r="BE186" s="19"/>
      <c r="BF186" s="19"/>
      <c r="BG186" s="19"/>
      <c r="BH186" s="19"/>
      <c r="BI186" s="19"/>
      <c r="BJ186" s="19"/>
      <c r="BK186" s="19"/>
      <c r="BL186" s="19"/>
      <c r="BM186" s="19"/>
      <c r="BN186" s="19"/>
      <c r="BO186" s="19"/>
      <c r="BP186" s="19"/>
      <c r="BQ186" s="19"/>
      <c r="BR186" s="19"/>
      <c r="BS186" s="19"/>
      <c r="BT186" s="19"/>
      <c r="BU186" s="19"/>
      <c r="BV186" s="19"/>
      <c r="BW186" s="19"/>
      <c r="BX186" s="19"/>
      <c r="BY186" s="19"/>
      <c r="BZ186" s="19"/>
      <c r="CA186" s="19"/>
      <c r="CB186" s="19"/>
      <c r="CC186" s="19"/>
      <c r="CD186" s="19"/>
      <c r="CE186" s="19"/>
      <c r="CF186" s="19"/>
      <c r="CG186" s="19"/>
      <c r="CH186" s="19"/>
      <c r="CI186" s="19"/>
      <c r="CJ186" s="19"/>
      <c r="CK186" s="19"/>
      <c r="CL186" s="19"/>
      <c r="CM186" s="19"/>
      <c r="CN186" s="19"/>
      <c r="CO186" s="19"/>
      <c r="CP186" s="19"/>
      <c r="CQ186" s="19"/>
      <c r="CR186" s="19"/>
      <c r="CS186" s="19"/>
      <c r="CT186" s="19"/>
      <c r="CU186" s="19"/>
      <c r="CV186" s="19"/>
      <c r="CW186" s="19"/>
      <c r="CX186" s="19"/>
      <c r="CY186" s="19"/>
      <c r="CZ186" s="19"/>
      <c r="DA186" s="19"/>
      <c r="DB186" s="19"/>
      <c r="DC186" s="19"/>
      <c r="DD186" s="19"/>
      <c r="DE186" s="19"/>
      <c r="DF186" s="19"/>
      <c r="DG186" s="19"/>
      <c r="DH186" s="19"/>
      <c r="DI186" s="19"/>
      <c r="DJ186" s="19"/>
      <c r="DK186" s="19"/>
      <c r="DL186" s="19"/>
      <c r="DM186" s="19"/>
      <c r="DN186" s="19"/>
      <c r="DO186" s="19"/>
      <c r="DP186" s="19"/>
      <c r="DQ186" s="19"/>
      <c r="DR186" s="19"/>
      <c r="DS186" s="19"/>
      <c r="DT186" s="19"/>
      <c r="DU186" s="19"/>
      <c r="DV186" s="19"/>
      <c r="DW186" s="19"/>
      <c r="DX186" s="19"/>
      <c r="DY186" s="19"/>
      <c r="DZ186" s="19"/>
      <c r="EA186" s="19"/>
      <c r="EB186" s="19"/>
      <c r="EC186" s="19"/>
      <c r="ED186" s="19"/>
      <c r="EE186" s="19"/>
      <c r="EF186" s="19"/>
      <c r="EG186" s="19"/>
      <c r="EH186" s="19"/>
      <c r="EI186" s="19"/>
      <c r="EJ186" s="19"/>
      <c r="EK186" s="19"/>
      <c r="EL186" s="19"/>
      <c r="EM186" s="19"/>
      <c r="EN186" s="19"/>
      <c r="EO186" s="19"/>
      <c r="EP186" s="19"/>
      <c r="EQ186" s="19"/>
      <c r="ER186" s="19"/>
      <c r="ES186" s="19"/>
      <c r="ET186" s="19"/>
      <c r="EU186" s="19"/>
      <c r="EV186" s="19"/>
      <c r="EW186" s="19"/>
      <c r="EX186" s="19"/>
      <c r="EY186" s="19"/>
      <c r="EZ186" s="19"/>
      <c r="FA186" s="19"/>
      <c r="FB186" s="19"/>
      <c r="FC186" s="19"/>
      <c r="FD186" s="19"/>
      <c r="FE186" s="19"/>
      <c r="FF186" s="19"/>
      <c r="FG186" s="19"/>
      <c r="FH186" s="19"/>
      <c r="FI186" s="19"/>
      <c r="FJ186" s="19"/>
      <c r="FK186" s="19"/>
      <c r="FL186" s="19"/>
      <c r="FM186" s="19"/>
      <c r="FN186" s="19"/>
      <c r="FO186" s="19"/>
      <c r="FP186" s="19"/>
      <c r="FQ186" s="19"/>
      <c r="FR186" s="19"/>
      <c r="FS186" s="19"/>
      <c r="FT186" s="19"/>
      <c r="FU186" s="19"/>
      <c r="FV186" s="19"/>
      <c r="FW186" s="19"/>
      <c r="FX186" s="19"/>
      <c r="FY186" s="19"/>
      <c r="FZ186" s="19"/>
      <c r="GA186" s="19"/>
      <c r="GB186" s="19"/>
      <c r="GC186" s="19"/>
      <c r="GD186" s="19"/>
      <c r="GE186" s="19"/>
      <c r="GF186" s="19"/>
      <c r="GG186" s="19"/>
      <c r="GH186" s="19"/>
      <c r="GI186" s="19"/>
      <c r="GJ186" s="19"/>
      <c r="GK186" s="19"/>
      <c r="GL186" s="19"/>
      <c r="GM186" s="19"/>
      <c r="GN186" s="19"/>
      <c r="GO186" s="19"/>
      <c r="GP186" s="19"/>
      <c r="GQ186" s="19"/>
      <c r="GR186" s="19"/>
      <c r="GS186" s="19"/>
      <c r="GT186" s="19"/>
      <c r="GU186" s="19"/>
      <c r="GV186" s="19"/>
      <c r="GW186" s="19"/>
      <c r="GX186" s="19"/>
      <c r="GY186" s="19"/>
      <c r="GZ186" s="19"/>
      <c r="HA186" s="19"/>
      <c r="HB186" s="19"/>
    </row>
    <row r="187" spans="1:210" x14ac:dyDescent="0.25">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c r="BE187" s="19"/>
      <c r="BF187" s="19"/>
      <c r="BG187" s="19"/>
      <c r="BH187" s="19"/>
      <c r="BI187" s="19"/>
      <c r="BJ187" s="19"/>
      <c r="BK187" s="19"/>
      <c r="BL187" s="19"/>
      <c r="BM187" s="19"/>
      <c r="BN187" s="19"/>
      <c r="BO187" s="19"/>
      <c r="BP187" s="19"/>
      <c r="BQ187" s="19"/>
      <c r="BR187" s="19"/>
      <c r="BS187" s="19"/>
      <c r="BT187" s="19"/>
      <c r="BU187" s="19"/>
      <c r="BV187" s="19"/>
      <c r="BW187" s="19"/>
      <c r="BX187" s="19"/>
      <c r="BY187" s="19"/>
      <c r="BZ187" s="19"/>
      <c r="CA187" s="19"/>
      <c r="CB187" s="19"/>
      <c r="CC187" s="19"/>
      <c r="CD187" s="19"/>
      <c r="CE187" s="19"/>
      <c r="CF187" s="19"/>
      <c r="CG187" s="19"/>
      <c r="CH187" s="19"/>
      <c r="CI187" s="19"/>
      <c r="CJ187" s="19"/>
      <c r="CK187" s="19"/>
      <c r="CL187" s="19"/>
      <c r="CM187" s="19"/>
      <c r="CN187" s="19"/>
      <c r="CO187" s="19"/>
      <c r="CP187" s="19"/>
      <c r="CQ187" s="19"/>
      <c r="CR187" s="19"/>
      <c r="CS187" s="19"/>
      <c r="CT187" s="19"/>
      <c r="CU187" s="19"/>
      <c r="CV187" s="19"/>
      <c r="CW187" s="19"/>
      <c r="CX187" s="19"/>
      <c r="CY187" s="19"/>
      <c r="CZ187" s="19"/>
      <c r="DA187" s="19"/>
      <c r="DB187" s="19"/>
      <c r="DC187" s="19"/>
      <c r="DD187" s="19"/>
      <c r="DE187" s="19"/>
      <c r="DF187" s="19"/>
      <c r="DG187" s="19"/>
      <c r="DH187" s="19"/>
      <c r="DI187" s="19"/>
      <c r="DJ187" s="19"/>
      <c r="DK187" s="19"/>
      <c r="DL187" s="19"/>
      <c r="DM187" s="19"/>
      <c r="DN187" s="19"/>
      <c r="DO187" s="19"/>
      <c r="DP187" s="19"/>
      <c r="DQ187" s="19"/>
      <c r="DR187" s="19"/>
      <c r="DS187" s="19"/>
      <c r="DT187" s="19"/>
      <c r="DU187" s="19"/>
      <c r="DV187" s="19"/>
      <c r="DW187" s="19"/>
      <c r="DX187" s="19"/>
      <c r="DY187" s="19"/>
      <c r="DZ187" s="19"/>
      <c r="EA187" s="19"/>
      <c r="EB187" s="19"/>
      <c r="EC187" s="19"/>
      <c r="ED187" s="19"/>
      <c r="EE187" s="19"/>
      <c r="EF187" s="19"/>
      <c r="EG187" s="19"/>
      <c r="EH187" s="19"/>
      <c r="EI187" s="19"/>
      <c r="EJ187" s="19"/>
      <c r="EK187" s="19"/>
      <c r="EL187" s="19"/>
      <c r="EM187" s="19"/>
      <c r="EN187" s="19"/>
      <c r="EO187" s="19"/>
      <c r="EP187" s="19"/>
      <c r="EQ187" s="19"/>
      <c r="ER187" s="19"/>
      <c r="ES187" s="19"/>
      <c r="ET187" s="19"/>
      <c r="EU187" s="19"/>
      <c r="EV187" s="19"/>
      <c r="EW187" s="19"/>
      <c r="EX187" s="19"/>
      <c r="EY187" s="19"/>
      <c r="EZ187" s="19"/>
      <c r="FA187" s="19"/>
      <c r="FB187" s="19"/>
      <c r="FC187" s="19"/>
      <c r="FD187" s="19"/>
      <c r="FE187" s="19"/>
      <c r="FF187" s="19"/>
      <c r="FG187" s="19"/>
      <c r="FH187" s="19"/>
      <c r="FI187" s="19"/>
      <c r="FJ187" s="19"/>
      <c r="FK187" s="19"/>
      <c r="FL187" s="19"/>
      <c r="FM187" s="19"/>
      <c r="FN187" s="19"/>
      <c r="FO187" s="19"/>
      <c r="FP187" s="19"/>
      <c r="FQ187" s="19"/>
      <c r="FR187" s="19"/>
      <c r="FS187" s="19"/>
      <c r="FT187" s="19"/>
      <c r="FU187" s="19"/>
      <c r="FV187" s="19"/>
      <c r="FW187" s="19"/>
      <c r="FX187" s="19"/>
      <c r="FY187" s="19"/>
      <c r="FZ187" s="19"/>
      <c r="GA187" s="19"/>
      <c r="GB187" s="19"/>
      <c r="GC187" s="19"/>
      <c r="GD187" s="19"/>
      <c r="GE187" s="19"/>
      <c r="GF187" s="19"/>
      <c r="GG187" s="19"/>
      <c r="GH187" s="19"/>
      <c r="GI187" s="19"/>
      <c r="GJ187" s="19"/>
      <c r="GK187" s="19"/>
      <c r="GL187" s="19"/>
      <c r="GM187" s="19"/>
      <c r="GN187" s="19"/>
      <c r="GO187" s="19"/>
      <c r="GP187" s="19"/>
      <c r="GQ187" s="19"/>
      <c r="GR187" s="19"/>
      <c r="GS187" s="19"/>
      <c r="GT187" s="19"/>
      <c r="GU187" s="19"/>
      <c r="GV187" s="19"/>
      <c r="GW187" s="19"/>
      <c r="GX187" s="19"/>
      <c r="GY187" s="19"/>
      <c r="GZ187" s="19"/>
      <c r="HA187" s="19"/>
      <c r="HB187" s="19"/>
    </row>
    <row r="188" spans="1:210" x14ac:dyDescent="0.25">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c r="BE188" s="19"/>
      <c r="BF188" s="19"/>
      <c r="BG188" s="19"/>
      <c r="BH188" s="19"/>
      <c r="BI188" s="19"/>
      <c r="BJ188" s="19"/>
      <c r="BK188" s="19"/>
      <c r="BL188" s="19"/>
      <c r="BM188" s="19"/>
      <c r="BN188" s="19"/>
      <c r="BO188" s="19"/>
      <c r="BP188" s="19"/>
      <c r="BQ188" s="19"/>
      <c r="BR188" s="19"/>
      <c r="BS188" s="19"/>
      <c r="BT188" s="19"/>
      <c r="BU188" s="19"/>
      <c r="BV188" s="19"/>
      <c r="BW188" s="19"/>
      <c r="BX188" s="19"/>
      <c r="BY188" s="19"/>
      <c r="BZ188" s="19"/>
      <c r="CA188" s="19"/>
      <c r="CB188" s="19"/>
      <c r="CC188" s="19"/>
      <c r="CD188" s="19"/>
      <c r="CE188" s="19"/>
      <c r="CF188" s="19"/>
      <c r="CG188" s="19"/>
      <c r="CH188" s="19"/>
      <c r="CI188" s="19"/>
      <c r="CJ188" s="19"/>
      <c r="CK188" s="19"/>
      <c r="CL188" s="19"/>
      <c r="CM188" s="19"/>
      <c r="CN188" s="19"/>
      <c r="CO188" s="19"/>
      <c r="CP188" s="19"/>
      <c r="CQ188" s="19"/>
      <c r="CR188" s="19"/>
      <c r="CS188" s="19"/>
      <c r="CT188" s="19"/>
      <c r="CU188" s="19"/>
      <c r="CV188" s="19"/>
      <c r="CW188" s="19"/>
      <c r="CX188" s="19"/>
      <c r="CY188" s="19"/>
      <c r="CZ188" s="19"/>
      <c r="DA188" s="19"/>
      <c r="DB188" s="19"/>
      <c r="DC188" s="19"/>
      <c r="DD188" s="19"/>
      <c r="DE188" s="19"/>
      <c r="DF188" s="19"/>
      <c r="DG188" s="19"/>
      <c r="DH188" s="19"/>
      <c r="DI188" s="19"/>
      <c r="DJ188" s="19"/>
      <c r="DK188" s="19"/>
      <c r="DL188" s="19"/>
      <c r="DM188" s="19"/>
      <c r="DN188" s="19"/>
      <c r="DO188" s="19"/>
      <c r="DP188" s="19"/>
      <c r="DQ188" s="19"/>
      <c r="DR188" s="19"/>
      <c r="DS188" s="19"/>
      <c r="DT188" s="19"/>
      <c r="DU188" s="19"/>
      <c r="DV188" s="19"/>
      <c r="DW188" s="19"/>
      <c r="DX188" s="19"/>
      <c r="DY188" s="19"/>
      <c r="DZ188" s="19"/>
      <c r="EA188" s="19"/>
      <c r="EB188" s="19"/>
      <c r="EC188" s="19"/>
      <c r="ED188" s="19"/>
      <c r="EE188" s="19"/>
      <c r="EF188" s="19"/>
      <c r="EG188" s="19"/>
      <c r="EH188" s="19"/>
      <c r="EI188" s="19"/>
      <c r="EJ188" s="19"/>
      <c r="EK188" s="19"/>
      <c r="EL188" s="19"/>
      <c r="EM188" s="19"/>
      <c r="EN188" s="19"/>
      <c r="EO188" s="19"/>
      <c r="EP188" s="19"/>
      <c r="EQ188" s="19"/>
      <c r="ER188" s="19"/>
      <c r="ES188" s="19"/>
      <c r="ET188" s="19"/>
      <c r="EU188" s="19"/>
      <c r="EV188" s="19"/>
      <c r="EW188" s="19"/>
      <c r="EX188" s="19"/>
      <c r="EY188" s="19"/>
      <c r="EZ188" s="19"/>
      <c r="FA188" s="19"/>
      <c r="FB188" s="19"/>
      <c r="FC188" s="19"/>
      <c r="FD188" s="19"/>
      <c r="FE188" s="19"/>
      <c r="FF188" s="19"/>
      <c r="FG188" s="19"/>
      <c r="FH188" s="19"/>
      <c r="FI188" s="19"/>
      <c r="FJ188" s="19"/>
      <c r="FK188" s="19"/>
      <c r="FL188" s="19"/>
      <c r="FM188" s="19"/>
      <c r="FN188" s="19"/>
      <c r="FO188" s="19"/>
      <c r="FP188" s="19"/>
      <c r="FQ188" s="19"/>
      <c r="FR188" s="19"/>
      <c r="FS188" s="19"/>
      <c r="FT188" s="19"/>
      <c r="FU188" s="19"/>
      <c r="FV188" s="19"/>
      <c r="FW188" s="19"/>
      <c r="FX188" s="19"/>
      <c r="FY188" s="19"/>
      <c r="FZ188" s="19"/>
      <c r="GA188" s="19"/>
      <c r="GB188" s="19"/>
      <c r="GC188" s="19"/>
      <c r="GD188" s="19"/>
      <c r="GE188" s="19"/>
      <c r="GF188" s="19"/>
      <c r="GG188" s="19"/>
      <c r="GH188" s="19"/>
      <c r="GI188" s="19"/>
      <c r="GJ188" s="19"/>
      <c r="GK188" s="19"/>
      <c r="GL188" s="19"/>
      <c r="GM188" s="19"/>
      <c r="GN188" s="19"/>
      <c r="GO188" s="19"/>
      <c r="GP188" s="19"/>
      <c r="GQ188" s="19"/>
      <c r="GR188" s="19"/>
      <c r="GS188" s="19"/>
      <c r="GT188" s="19"/>
      <c r="GU188" s="19"/>
      <c r="GV188" s="19"/>
      <c r="GW188" s="19"/>
      <c r="GX188" s="19"/>
      <c r="GY188" s="19"/>
      <c r="GZ188" s="19"/>
      <c r="HA188" s="19"/>
      <c r="HB188" s="19"/>
    </row>
    <row r="189" spans="1:210" x14ac:dyDescent="0.25">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c r="BE189" s="19"/>
      <c r="BF189" s="19"/>
      <c r="BG189" s="19"/>
      <c r="BH189" s="19"/>
      <c r="BI189" s="19"/>
      <c r="BJ189" s="19"/>
      <c r="BK189" s="19"/>
      <c r="BL189" s="19"/>
      <c r="BM189" s="19"/>
      <c r="BN189" s="19"/>
      <c r="BO189" s="19"/>
      <c r="BP189" s="19"/>
      <c r="BQ189" s="19"/>
      <c r="BR189" s="19"/>
      <c r="BS189" s="19"/>
      <c r="BT189" s="19"/>
      <c r="BU189" s="19"/>
      <c r="BV189" s="19"/>
      <c r="BW189" s="19"/>
      <c r="BX189" s="19"/>
      <c r="BY189" s="19"/>
      <c r="BZ189" s="19"/>
      <c r="CA189" s="19"/>
      <c r="CB189" s="19"/>
      <c r="CC189" s="19"/>
      <c r="CD189" s="19"/>
      <c r="CE189" s="19"/>
      <c r="CF189" s="19"/>
      <c r="CG189" s="19"/>
      <c r="CH189" s="19"/>
      <c r="CI189" s="19"/>
      <c r="CJ189" s="19"/>
      <c r="CK189" s="19"/>
      <c r="CL189" s="19"/>
      <c r="CM189" s="19"/>
      <c r="CN189" s="19"/>
      <c r="CO189" s="19"/>
      <c r="CP189" s="19"/>
      <c r="CQ189" s="19"/>
      <c r="CR189" s="19"/>
      <c r="CS189" s="19"/>
      <c r="CT189" s="19"/>
      <c r="CU189" s="19"/>
      <c r="CV189" s="19"/>
      <c r="CW189" s="19"/>
      <c r="CX189" s="19"/>
      <c r="CY189" s="19"/>
      <c r="CZ189" s="19"/>
      <c r="DA189" s="19"/>
      <c r="DB189" s="19"/>
      <c r="DC189" s="19"/>
      <c r="DD189" s="19"/>
      <c r="DE189" s="19"/>
      <c r="DF189" s="19"/>
      <c r="DG189" s="19"/>
      <c r="DH189" s="19"/>
      <c r="DI189" s="19"/>
      <c r="DJ189" s="19"/>
      <c r="DK189" s="19"/>
      <c r="DL189" s="19"/>
      <c r="DM189" s="19"/>
      <c r="DN189" s="19"/>
      <c r="DO189" s="19"/>
      <c r="DP189" s="19"/>
      <c r="DQ189" s="19"/>
      <c r="DR189" s="19"/>
      <c r="DS189" s="19"/>
      <c r="DT189" s="19"/>
      <c r="DU189" s="19"/>
      <c r="DV189" s="19"/>
      <c r="DW189" s="19"/>
      <c r="DX189" s="19"/>
      <c r="DY189" s="19"/>
      <c r="DZ189" s="19"/>
      <c r="EA189" s="19"/>
      <c r="EB189" s="19"/>
      <c r="EC189" s="19"/>
      <c r="ED189" s="19"/>
      <c r="EE189" s="19"/>
      <c r="EF189" s="19"/>
      <c r="EG189" s="19"/>
      <c r="EH189" s="19"/>
      <c r="EI189" s="19"/>
      <c r="EJ189" s="19"/>
      <c r="EK189" s="19"/>
      <c r="EL189" s="19"/>
      <c r="EM189" s="19"/>
      <c r="EN189" s="19"/>
      <c r="EO189" s="19"/>
      <c r="EP189" s="19"/>
      <c r="EQ189" s="19"/>
      <c r="ER189" s="19"/>
      <c r="ES189" s="19"/>
      <c r="ET189" s="19"/>
      <c r="EU189" s="19"/>
      <c r="EV189" s="19"/>
      <c r="EW189" s="19"/>
      <c r="EX189" s="19"/>
      <c r="EY189" s="19"/>
      <c r="EZ189" s="19"/>
      <c r="FA189" s="19"/>
      <c r="FB189" s="19"/>
      <c r="FC189" s="19"/>
      <c r="FD189" s="19"/>
      <c r="FE189" s="19"/>
      <c r="FF189" s="19"/>
      <c r="FG189" s="19"/>
      <c r="FH189" s="19"/>
      <c r="FI189" s="19"/>
      <c r="FJ189" s="19"/>
      <c r="FK189" s="19"/>
      <c r="FL189" s="19"/>
      <c r="FM189" s="19"/>
      <c r="FN189" s="19"/>
      <c r="FO189" s="19"/>
      <c r="FP189" s="19"/>
      <c r="FQ189" s="19"/>
      <c r="FR189" s="19"/>
      <c r="FS189" s="19"/>
      <c r="FT189" s="19"/>
      <c r="FU189" s="19"/>
      <c r="FV189" s="19"/>
      <c r="FW189" s="19"/>
      <c r="FX189" s="19"/>
      <c r="FY189" s="19"/>
      <c r="FZ189" s="19"/>
      <c r="GA189" s="19"/>
      <c r="GB189" s="19"/>
      <c r="GC189" s="19"/>
      <c r="GD189" s="19"/>
      <c r="GE189" s="19"/>
      <c r="GF189" s="19"/>
      <c r="GG189" s="19"/>
      <c r="GH189" s="19"/>
      <c r="GI189" s="19"/>
      <c r="GJ189" s="19"/>
      <c r="GK189" s="19"/>
      <c r="GL189" s="19"/>
      <c r="GM189" s="19"/>
      <c r="GN189" s="19"/>
      <c r="GO189" s="19"/>
      <c r="GP189" s="19"/>
      <c r="GQ189" s="19"/>
      <c r="GR189" s="19"/>
      <c r="GS189" s="19"/>
      <c r="GT189" s="19"/>
      <c r="GU189" s="19"/>
      <c r="GV189" s="19"/>
      <c r="GW189" s="19"/>
      <c r="GX189" s="19"/>
      <c r="GY189" s="19"/>
      <c r="GZ189" s="19"/>
      <c r="HA189" s="19"/>
      <c r="HB189" s="19"/>
    </row>
    <row r="190" spans="1:210" x14ac:dyDescent="0.25">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c r="BE190" s="19"/>
      <c r="BF190" s="19"/>
      <c r="BG190" s="19"/>
      <c r="BH190" s="19"/>
      <c r="BI190" s="19"/>
      <c r="BJ190" s="19"/>
      <c r="BK190" s="19"/>
      <c r="BL190" s="19"/>
      <c r="BM190" s="19"/>
      <c r="BN190" s="19"/>
      <c r="BO190" s="19"/>
      <c r="BP190" s="19"/>
      <c r="BQ190" s="19"/>
      <c r="BR190" s="19"/>
      <c r="BS190" s="19"/>
      <c r="BT190" s="19"/>
      <c r="BU190" s="19"/>
      <c r="BV190" s="19"/>
      <c r="BW190" s="19"/>
      <c r="BX190" s="19"/>
      <c r="BY190" s="19"/>
      <c r="BZ190" s="19"/>
      <c r="CA190" s="19"/>
      <c r="CB190" s="19"/>
      <c r="CC190" s="19"/>
      <c r="CD190" s="19"/>
      <c r="CE190" s="19"/>
      <c r="CF190" s="19"/>
      <c r="CG190" s="19"/>
      <c r="CH190" s="19"/>
      <c r="CI190" s="19"/>
      <c r="CJ190" s="19"/>
      <c r="CK190" s="19"/>
      <c r="CL190" s="19"/>
      <c r="CM190" s="19"/>
      <c r="CN190" s="19"/>
      <c r="CO190" s="19"/>
      <c r="CP190" s="19"/>
      <c r="CQ190" s="19"/>
      <c r="CR190" s="19"/>
      <c r="CS190" s="19"/>
      <c r="CT190" s="19"/>
      <c r="CU190" s="19"/>
      <c r="CV190" s="19"/>
      <c r="CW190" s="19"/>
      <c r="CX190" s="19"/>
      <c r="CY190" s="19"/>
      <c r="CZ190" s="19"/>
      <c r="DA190" s="19"/>
      <c r="DB190" s="19"/>
      <c r="DC190" s="19"/>
      <c r="DD190" s="19"/>
      <c r="DE190" s="19"/>
      <c r="DF190" s="19"/>
      <c r="DG190" s="19"/>
      <c r="DH190" s="19"/>
      <c r="DI190" s="19"/>
      <c r="DJ190" s="19"/>
      <c r="DK190" s="19"/>
      <c r="DL190" s="19"/>
      <c r="DM190" s="19"/>
      <c r="DN190" s="19"/>
      <c r="DO190" s="19"/>
      <c r="DP190" s="19"/>
      <c r="DQ190" s="19"/>
      <c r="DR190" s="19"/>
      <c r="DS190" s="19"/>
      <c r="DT190" s="19"/>
      <c r="DU190" s="19"/>
      <c r="DV190" s="19"/>
      <c r="DW190" s="19"/>
      <c r="DX190" s="19"/>
      <c r="DY190" s="19"/>
      <c r="DZ190" s="19"/>
      <c r="EA190" s="19"/>
      <c r="EB190" s="19"/>
      <c r="EC190" s="19"/>
      <c r="ED190" s="19"/>
      <c r="EE190" s="19"/>
      <c r="EF190" s="19"/>
      <c r="EG190" s="19"/>
      <c r="EH190" s="19"/>
      <c r="EI190" s="19"/>
      <c r="EJ190" s="19"/>
      <c r="EK190" s="19"/>
      <c r="EL190" s="19"/>
      <c r="EM190" s="19"/>
      <c r="EN190" s="19"/>
      <c r="EO190" s="19"/>
      <c r="EP190" s="19"/>
      <c r="EQ190" s="19"/>
      <c r="ER190" s="19"/>
      <c r="ES190" s="19"/>
      <c r="ET190" s="19"/>
      <c r="EU190" s="19"/>
      <c r="EV190" s="19"/>
      <c r="EW190" s="19"/>
      <c r="EX190" s="19"/>
      <c r="EY190" s="19"/>
      <c r="EZ190" s="19"/>
      <c r="FA190" s="19"/>
      <c r="FB190" s="19"/>
      <c r="FC190" s="19"/>
      <c r="FD190" s="19"/>
      <c r="FE190" s="19"/>
      <c r="FF190" s="19"/>
      <c r="FG190" s="19"/>
      <c r="FH190" s="19"/>
      <c r="FI190" s="19"/>
      <c r="FJ190" s="19"/>
      <c r="FK190" s="19"/>
      <c r="FL190" s="19"/>
      <c r="FM190" s="19"/>
      <c r="FN190" s="19"/>
      <c r="FO190" s="19"/>
      <c r="FP190" s="19"/>
      <c r="FQ190" s="19"/>
      <c r="FR190" s="19"/>
      <c r="FS190" s="19"/>
      <c r="FT190" s="19"/>
      <c r="FU190" s="19"/>
      <c r="FV190" s="19"/>
      <c r="FW190" s="19"/>
      <c r="FX190" s="19"/>
      <c r="FY190" s="19"/>
      <c r="FZ190" s="19"/>
      <c r="GA190" s="19"/>
      <c r="GB190" s="19"/>
      <c r="GC190" s="19"/>
      <c r="GD190" s="19"/>
      <c r="GE190" s="19"/>
      <c r="GF190" s="19"/>
      <c r="GG190" s="19"/>
      <c r="GH190" s="19"/>
      <c r="GI190" s="19"/>
      <c r="GJ190" s="19"/>
      <c r="GK190" s="19"/>
      <c r="GL190" s="19"/>
      <c r="GM190" s="19"/>
      <c r="GN190" s="19"/>
      <c r="GO190" s="19"/>
      <c r="GP190" s="19"/>
      <c r="GQ190" s="19"/>
      <c r="GR190" s="19"/>
      <c r="GS190" s="19"/>
      <c r="GT190" s="19"/>
      <c r="GU190" s="19"/>
      <c r="GV190" s="19"/>
      <c r="GW190" s="19"/>
      <c r="GX190" s="19"/>
      <c r="GY190" s="19"/>
      <c r="GZ190" s="19"/>
      <c r="HA190" s="19"/>
      <c r="HB190" s="19"/>
    </row>
    <row r="191" spans="1:210" x14ac:dyDescent="0.25">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c r="BE191" s="19"/>
      <c r="BF191" s="19"/>
      <c r="BG191" s="19"/>
      <c r="BH191" s="19"/>
      <c r="BI191" s="19"/>
      <c r="BJ191" s="19"/>
      <c r="BK191" s="19"/>
      <c r="BL191" s="19"/>
      <c r="BM191" s="19"/>
      <c r="BN191" s="19"/>
      <c r="BO191" s="19"/>
      <c r="BP191" s="19"/>
      <c r="BQ191" s="19"/>
      <c r="BR191" s="19"/>
      <c r="BS191" s="19"/>
      <c r="BT191" s="19"/>
      <c r="BU191" s="19"/>
      <c r="BV191" s="19"/>
      <c r="BW191" s="19"/>
      <c r="BX191" s="19"/>
      <c r="BY191" s="19"/>
      <c r="BZ191" s="19"/>
      <c r="CA191" s="19"/>
      <c r="CB191" s="19"/>
      <c r="CC191" s="19"/>
      <c r="CD191" s="19"/>
      <c r="CE191" s="19"/>
      <c r="CF191" s="19"/>
      <c r="CG191" s="19"/>
      <c r="CH191" s="19"/>
      <c r="CI191" s="19"/>
      <c r="CJ191" s="19"/>
      <c r="CK191" s="19"/>
      <c r="CL191" s="19"/>
      <c r="CM191" s="19"/>
      <c r="CN191" s="19"/>
      <c r="CO191" s="19"/>
      <c r="CP191" s="19"/>
      <c r="CQ191" s="19"/>
      <c r="CR191" s="19"/>
      <c r="CS191" s="19"/>
      <c r="CT191" s="19"/>
      <c r="CU191" s="19"/>
      <c r="CV191" s="19"/>
      <c r="CW191" s="19"/>
      <c r="CX191" s="19"/>
      <c r="CY191" s="19"/>
      <c r="CZ191" s="19"/>
      <c r="DA191" s="19"/>
      <c r="DB191" s="19"/>
      <c r="DC191" s="19"/>
      <c r="DD191" s="19"/>
      <c r="DE191" s="19"/>
      <c r="DF191" s="19"/>
      <c r="DG191" s="19"/>
      <c r="DH191" s="19"/>
      <c r="DI191" s="19"/>
      <c r="DJ191" s="19"/>
      <c r="DK191" s="19"/>
      <c r="DL191" s="19"/>
      <c r="DM191" s="19"/>
      <c r="DN191" s="19"/>
      <c r="DO191" s="19"/>
      <c r="DP191" s="19"/>
      <c r="DQ191" s="19"/>
      <c r="DR191" s="19"/>
      <c r="DS191" s="19"/>
      <c r="DT191" s="19"/>
      <c r="DU191" s="19"/>
      <c r="DV191" s="19"/>
      <c r="DW191" s="19"/>
      <c r="DX191" s="19"/>
      <c r="DY191" s="19"/>
      <c r="DZ191" s="19"/>
      <c r="EA191" s="19"/>
      <c r="EB191" s="19"/>
      <c r="EC191" s="19"/>
      <c r="ED191" s="19"/>
      <c r="EE191" s="19"/>
      <c r="EF191" s="19"/>
      <c r="EG191" s="19"/>
      <c r="EH191" s="19"/>
      <c r="EI191" s="19"/>
      <c r="EJ191" s="19"/>
      <c r="EK191" s="19"/>
      <c r="EL191" s="19"/>
      <c r="EM191" s="19"/>
      <c r="EN191" s="19"/>
      <c r="EO191" s="19"/>
      <c r="EP191" s="19"/>
      <c r="EQ191" s="19"/>
      <c r="ER191" s="19"/>
      <c r="ES191" s="19"/>
      <c r="ET191" s="19"/>
      <c r="EU191" s="19"/>
      <c r="EV191" s="19"/>
      <c r="EW191" s="19"/>
      <c r="EX191" s="19"/>
      <c r="EY191" s="19"/>
      <c r="EZ191" s="19"/>
      <c r="FA191" s="19"/>
      <c r="FB191" s="19"/>
      <c r="FC191" s="19"/>
      <c r="FD191" s="19"/>
      <c r="FE191" s="19"/>
      <c r="FF191" s="19"/>
      <c r="FG191" s="19"/>
      <c r="FH191" s="19"/>
      <c r="FI191" s="19"/>
      <c r="FJ191" s="19"/>
      <c r="FK191" s="19"/>
      <c r="FL191" s="19"/>
      <c r="FM191" s="19"/>
      <c r="FN191" s="19"/>
      <c r="FO191" s="19"/>
      <c r="FP191" s="19"/>
      <c r="FQ191" s="19"/>
      <c r="FR191" s="19"/>
      <c r="FS191" s="19"/>
      <c r="FT191" s="19"/>
      <c r="FU191" s="19"/>
      <c r="FV191" s="19"/>
      <c r="FW191" s="19"/>
      <c r="FX191" s="19"/>
      <c r="FY191" s="19"/>
      <c r="FZ191" s="19"/>
      <c r="GA191" s="19"/>
      <c r="GB191" s="19"/>
      <c r="GC191" s="19"/>
      <c r="GD191" s="19"/>
      <c r="GE191" s="19"/>
      <c r="GF191" s="19"/>
      <c r="GG191" s="19"/>
      <c r="GH191" s="19"/>
      <c r="GI191" s="19"/>
      <c r="GJ191" s="19"/>
      <c r="GK191" s="19"/>
      <c r="GL191" s="19"/>
      <c r="GM191" s="19"/>
      <c r="GN191" s="19"/>
      <c r="GO191" s="19"/>
      <c r="GP191" s="19"/>
      <c r="GQ191" s="19"/>
      <c r="GR191" s="19"/>
      <c r="GS191" s="19"/>
      <c r="GT191" s="19"/>
      <c r="GU191" s="19"/>
      <c r="GV191" s="19"/>
      <c r="GW191" s="19"/>
      <c r="GX191" s="19"/>
      <c r="GY191" s="19"/>
      <c r="GZ191" s="19"/>
      <c r="HA191" s="19"/>
      <c r="HB191" s="19"/>
    </row>
    <row r="192" spans="1:210" x14ac:dyDescent="0.25">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c r="BE192" s="19"/>
      <c r="BF192" s="19"/>
      <c r="BG192" s="19"/>
      <c r="BH192" s="19"/>
      <c r="BI192" s="19"/>
      <c r="BJ192" s="19"/>
      <c r="BK192" s="19"/>
      <c r="BL192" s="19"/>
      <c r="BM192" s="19"/>
      <c r="BN192" s="19"/>
      <c r="BO192" s="19"/>
      <c r="BP192" s="19"/>
      <c r="BQ192" s="19"/>
      <c r="BR192" s="19"/>
      <c r="BS192" s="19"/>
      <c r="BT192" s="19"/>
      <c r="BU192" s="19"/>
      <c r="BV192" s="19"/>
      <c r="BW192" s="19"/>
      <c r="BX192" s="19"/>
      <c r="BY192" s="19"/>
      <c r="BZ192" s="19"/>
      <c r="CA192" s="19"/>
      <c r="CB192" s="19"/>
      <c r="CC192" s="19"/>
      <c r="CD192" s="19"/>
      <c r="CE192" s="19"/>
      <c r="CF192" s="19"/>
      <c r="CG192" s="19"/>
      <c r="CH192" s="19"/>
      <c r="CI192" s="19"/>
      <c r="CJ192" s="19"/>
      <c r="CK192" s="19"/>
      <c r="CL192" s="19"/>
      <c r="CM192" s="19"/>
      <c r="CN192" s="19"/>
      <c r="CO192" s="19"/>
      <c r="CP192" s="19"/>
      <c r="CQ192" s="19"/>
      <c r="CR192" s="19"/>
      <c r="CS192" s="19"/>
      <c r="CT192" s="19"/>
      <c r="CU192" s="19"/>
      <c r="CV192" s="19"/>
      <c r="CW192" s="19"/>
      <c r="CX192" s="19"/>
      <c r="CY192" s="19"/>
      <c r="CZ192" s="19"/>
      <c r="DA192" s="19"/>
      <c r="DB192" s="19"/>
      <c r="DC192" s="19"/>
      <c r="DD192" s="19"/>
      <c r="DE192" s="19"/>
      <c r="DF192" s="19"/>
      <c r="DG192" s="19"/>
      <c r="DH192" s="19"/>
      <c r="DI192" s="19"/>
      <c r="DJ192" s="19"/>
      <c r="DK192" s="19"/>
      <c r="DL192" s="19"/>
      <c r="DM192" s="19"/>
      <c r="DN192" s="19"/>
      <c r="DO192" s="19"/>
      <c r="DP192" s="19"/>
      <c r="DQ192" s="19"/>
      <c r="DR192" s="19"/>
      <c r="DS192" s="19"/>
      <c r="DT192" s="19"/>
      <c r="DU192" s="19"/>
      <c r="DV192" s="19"/>
      <c r="DW192" s="19"/>
      <c r="DX192" s="19"/>
      <c r="DY192" s="19"/>
      <c r="DZ192" s="19"/>
      <c r="EA192" s="19"/>
      <c r="EB192" s="19"/>
      <c r="EC192" s="19"/>
      <c r="ED192" s="19"/>
      <c r="EE192" s="19"/>
      <c r="EF192" s="19"/>
      <c r="EG192" s="19"/>
      <c r="EH192" s="19"/>
      <c r="EI192" s="19"/>
      <c r="EJ192" s="19"/>
      <c r="EK192" s="19"/>
      <c r="EL192" s="19"/>
      <c r="EM192" s="19"/>
      <c r="EN192" s="19"/>
      <c r="EO192" s="19"/>
      <c r="EP192" s="19"/>
      <c r="EQ192" s="19"/>
      <c r="ER192" s="19"/>
      <c r="ES192" s="19"/>
      <c r="ET192" s="19"/>
      <c r="EU192" s="19"/>
      <c r="EV192" s="19"/>
      <c r="EW192" s="19"/>
      <c r="EX192" s="19"/>
      <c r="EY192" s="19"/>
      <c r="EZ192" s="19"/>
      <c r="FA192" s="19"/>
      <c r="FB192" s="19"/>
      <c r="FC192" s="19"/>
      <c r="FD192" s="19"/>
      <c r="FE192" s="19"/>
      <c r="FF192" s="19"/>
      <c r="FG192" s="19"/>
      <c r="FH192" s="19"/>
      <c r="FI192" s="19"/>
      <c r="FJ192" s="19"/>
      <c r="FK192" s="19"/>
      <c r="FL192" s="19"/>
      <c r="FM192" s="19"/>
      <c r="FN192" s="19"/>
      <c r="FO192" s="19"/>
      <c r="FP192" s="19"/>
      <c r="FQ192" s="19"/>
      <c r="FR192" s="19"/>
      <c r="FS192" s="19"/>
      <c r="FT192" s="19"/>
      <c r="FU192" s="19"/>
      <c r="FV192" s="19"/>
      <c r="FW192" s="19"/>
      <c r="FX192" s="19"/>
      <c r="FY192" s="19"/>
      <c r="FZ192" s="19"/>
      <c r="GA192" s="19"/>
      <c r="GB192" s="19"/>
      <c r="GC192" s="19"/>
      <c r="GD192" s="19"/>
      <c r="GE192" s="19"/>
      <c r="GF192" s="19"/>
      <c r="GG192" s="19"/>
      <c r="GH192" s="19"/>
      <c r="GI192" s="19"/>
      <c r="GJ192" s="19"/>
      <c r="GK192" s="19"/>
      <c r="GL192" s="19"/>
      <c r="GM192" s="19"/>
      <c r="GN192" s="19"/>
      <c r="GO192" s="19"/>
      <c r="GP192" s="19"/>
      <c r="GQ192" s="19"/>
      <c r="GR192" s="19"/>
      <c r="GS192" s="19"/>
      <c r="GT192" s="19"/>
      <c r="GU192" s="19"/>
      <c r="GV192" s="19"/>
      <c r="GW192" s="19"/>
      <c r="GX192" s="19"/>
      <c r="GY192" s="19"/>
      <c r="GZ192" s="19"/>
      <c r="HA192" s="19"/>
      <c r="HB192" s="19"/>
    </row>
    <row r="193" spans="1:210" x14ac:dyDescent="0.25">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c r="BE193" s="19"/>
      <c r="BF193" s="19"/>
      <c r="BG193" s="19"/>
      <c r="BH193" s="19"/>
      <c r="BI193" s="19"/>
      <c r="BJ193" s="19"/>
      <c r="BK193" s="19"/>
      <c r="BL193" s="19"/>
      <c r="BM193" s="19"/>
      <c r="BN193" s="19"/>
      <c r="BO193" s="19"/>
      <c r="BP193" s="19"/>
      <c r="BQ193" s="19"/>
      <c r="BR193" s="19"/>
      <c r="BS193" s="19"/>
      <c r="BT193" s="19"/>
      <c r="BU193" s="19"/>
      <c r="BV193" s="19"/>
      <c r="BW193" s="19"/>
      <c r="BX193" s="19"/>
      <c r="BY193" s="19"/>
      <c r="BZ193" s="19"/>
      <c r="CA193" s="19"/>
      <c r="CB193" s="19"/>
      <c r="CC193" s="19"/>
      <c r="CD193" s="19"/>
      <c r="CE193" s="19"/>
      <c r="CF193" s="19"/>
      <c r="CG193" s="19"/>
      <c r="CH193" s="19"/>
      <c r="CI193" s="19"/>
      <c r="CJ193" s="19"/>
      <c r="CK193" s="19"/>
      <c r="CL193" s="19"/>
      <c r="CM193" s="19"/>
      <c r="CN193" s="19"/>
      <c r="CO193" s="19"/>
      <c r="CP193" s="19"/>
      <c r="CQ193" s="19"/>
      <c r="CR193" s="19"/>
      <c r="CS193" s="19"/>
      <c r="CT193" s="19"/>
      <c r="CU193" s="19"/>
      <c r="CV193" s="19"/>
      <c r="CW193" s="19"/>
      <c r="CX193" s="19"/>
      <c r="CY193" s="19"/>
      <c r="CZ193" s="19"/>
      <c r="DA193" s="19"/>
      <c r="DB193" s="19"/>
      <c r="DC193" s="19"/>
      <c r="DD193" s="19"/>
      <c r="DE193" s="19"/>
      <c r="DF193" s="19"/>
      <c r="DG193" s="19"/>
      <c r="DH193" s="19"/>
      <c r="DI193" s="19"/>
      <c r="DJ193" s="19"/>
      <c r="DK193" s="19"/>
      <c r="DL193" s="19"/>
      <c r="DM193" s="19"/>
      <c r="DN193" s="19"/>
      <c r="DO193" s="19"/>
      <c r="DP193" s="19"/>
      <c r="DQ193" s="19"/>
      <c r="DR193" s="19"/>
      <c r="DS193" s="19"/>
      <c r="DT193" s="19"/>
      <c r="DU193" s="19"/>
      <c r="DV193" s="19"/>
      <c r="DW193" s="19"/>
      <c r="DX193" s="19"/>
      <c r="DY193" s="19"/>
      <c r="DZ193" s="19"/>
      <c r="EA193" s="19"/>
      <c r="EB193" s="19"/>
      <c r="EC193" s="19"/>
      <c r="ED193" s="19"/>
      <c r="EE193" s="19"/>
      <c r="EF193" s="19"/>
      <c r="EG193" s="19"/>
      <c r="EH193" s="19"/>
      <c r="EI193" s="19"/>
      <c r="EJ193" s="19"/>
      <c r="EK193" s="19"/>
      <c r="EL193" s="19"/>
      <c r="EM193" s="19"/>
      <c r="EN193" s="19"/>
      <c r="EO193" s="19"/>
      <c r="EP193" s="19"/>
      <c r="EQ193" s="19"/>
      <c r="ER193" s="19"/>
      <c r="ES193" s="19"/>
      <c r="ET193" s="19"/>
      <c r="EU193" s="19"/>
      <c r="EV193" s="19"/>
      <c r="EW193" s="19"/>
      <c r="EX193" s="19"/>
      <c r="EY193" s="19"/>
      <c r="EZ193" s="19"/>
      <c r="FA193" s="19"/>
      <c r="FB193" s="19"/>
      <c r="FC193" s="19"/>
      <c r="FD193" s="19"/>
      <c r="FE193" s="19"/>
      <c r="FF193" s="19"/>
      <c r="FG193" s="19"/>
      <c r="FH193" s="19"/>
      <c r="FI193" s="19"/>
      <c r="FJ193" s="19"/>
      <c r="FK193" s="19"/>
      <c r="FL193" s="19"/>
      <c r="FM193" s="19"/>
      <c r="FN193" s="19"/>
      <c r="FO193" s="19"/>
      <c r="FP193" s="19"/>
      <c r="FQ193" s="19"/>
      <c r="FR193" s="19"/>
      <c r="FS193" s="19"/>
      <c r="FT193" s="19"/>
      <c r="FU193" s="19"/>
      <c r="FV193" s="19"/>
      <c r="FW193" s="19"/>
      <c r="FX193" s="19"/>
      <c r="FY193" s="19"/>
      <c r="FZ193" s="19"/>
      <c r="GA193" s="19"/>
      <c r="GB193" s="19"/>
      <c r="GC193" s="19"/>
      <c r="GD193" s="19"/>
      <c r="GE193" s="19"/>
      <c r="GF193" s="19"/>
      <c r="GG193" s="19"/>
      <c r="GH193" s="19"/>
      <c r="GI193" s="19"/>
      <c r="GJ193" s="19"/>
      <c r="GK193" s="19"/>
      <c r="GL193" s="19"/>
      <c r="GM193" s="19"/>
      <c r="GN193" s="19"/>
      <c r="GO193" s="19"/>
      <c r="GP193" s="19"/>
      <c r="GQ193" s="19"/>
      <c r="GR193" s="19"/>
      <c r="GS193" s="19"/>
      <c r="GT193" s="19"/>
      <c r="GU193" s="19"/>
      <c r="GV193" s="19"/>
      <c r="GW193" s="19"/>
      <c r="GX193" s="19"/>
      <c r="GY193" s="19"/>
      <c r="GZ193" s="19"/>
      <c r="HA193" s="19"/>
      <c r="HB193" s="19"/>
    </row>
    <row r="194" spans="1:210" x14ac:dyDescent="0.25">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c r="BE194" s="19"/>
      <c r="BF194" s="19"/>
      <c r="BG194" s="19"/>
      <c r="BH194" s="19"/>
      <c r="BI194" s="19"/>
      <c r="BJ194" s="19"/>
      <c r="BK194" s="19"/>
      <c r="BL194" s="19"/>
      <c r="BM194" s="19"/>
      <c r="BN194" s="19"/>
      <c r="BO194" s="19"/>
      <c r="BP194" s="19"/>
      <c r="BQ194" s="19"/>
      <c r="BR194" s="19"/>
      <c r="BS194" s="19"/>
      <c r="BT194" s="19"/>
      <c r="BU194" s="19"/>
      <c r="BV194" s="19"/>
      <c r="BW194" s="19"/>
      <c r="BX194" s="19"/>
      <c r="BY194" s="19"/>
      <c r="BZ194" s="19"/>
      <c r="CA194" s="19"/>
      <c r="CB194" s="19"/>
      <c r="CC194" s="19"/>
      <c r="CD194" s="19"/>
      <c r="CE194" s="19"/>
      <c r="CF194" s="19"/>
      <c r="CG194" s="19"/>
      <c r="CH194" s="19"/>
      <c r="CI194" s="19"/>
      <c r="CJ194" s="19"/>
      <c r="CK194" s="19"/>
      <c r="CL194" s="19"/>
      <c r="CM194" s="19"/>
      <c r="CN194" s="19"/>
      <c r="CO194" s="19"/>
      <c r="CP194" s="19"/>
      <c r="CQ194" s="19"/>
      <c r="CR194" s="19"/>
      <c r="CS194" s="19"/>
      <c r="CT194" s="19"/>
      <c r="CU194" s="19"/>
      <c r="CV194" s="19"/>
      <c r="CW194" s="19"/>
      <c r="CX194" s="19"/>
      <c r="CY194" s="19"/>
      <c r="CZ194" s="19"/>
      <c r="DA194" s="19"/>
      <c r="DB194" s="19"/>
      <c r="DC194" s="19"/>
      <c r="DD194" s="19"/>
      <c r="DE194" s="19"/>
      <c r="DF194" s="19"/>
      <c r="DG194" s="19"/>
      <c r="DH194" s="19"/>
      <c r="DI194" s="19"/>
      <c r="DJ194" s="19"/>
      <c r="DK194" s="19"/>
      <c r="DL194" s="19"/>
      <c r="DM194" s="19"/>
      <c r="DN194" s="19"/>
      <c r="DO194" s="19"/>
      <c r="DP194" s="19"/>
      <c r="DQ194" s="19"/>
      <c r="DR194" s="19"/>
      <c r="DS194" s="19"/>
      <c r="DT194" s="19"/>
      <c r="DU194" s="19"/>
      <c r="DV194" s="19"/>
      <c r="DW194" s="19"/>
      <c r="DX194" s="19"/>
      <c r="DY194" s="19"/>
      <c r="DZ194" s="19"/>
      <c r="EA194" s="19"/>
      <c r="EB194" s="19"/>
      <c r="EC194" s="19"/>
      <c r="ED194" s="19"/>
      <c r="EE194" s="19"/>
      <c r="EF194" s="19"/>
      <c r="EG194" s="19"/>
      <c r="EH194" s="19"/>
      <c r="EI194" s="19"/>
      <c r="EJ194" s="19"/>
      <c r="EK194" s="19"/>
      <c r="EL194" s="19"/>
      <c r="EM194" s="19"/>
      <c r="EN194" s="19"/>
      <c r="EO194" s="19"/>
      <c r="EP194" s="19"/>
      <c r="EQ194" s="19"/>
      <c r="ER194" s="19"/>
      <c r="ES194" s="19"/>
      <c r="ET194" s="19"/>
      <c r="EU194" s="19"/>
      <c r="EV194" s="19"/>
      <c r="EW194" s="19"/>
      <c r="EX194" s="19"/>
      <c r="EY194" s="19"/>
      <c r="EZ194" s="19"/>
      <c r="FA194" s="19"/>
      <c r="FB194" s="19"/>
      <c r="FC194" s="19"/>
      <c r="FD194" s="19"/>
      <c r="FE194" s="19"/>
      <c r="FF194" s="19"/>
      <c r="FG194" s="19"/>
      <c r="FH194" s="19"/>
      <c r="FI194" s="19"/>
      <c r="FJ194" s="19"/>
      <c r="FK194" s="19"/>
      <c r="FL194" s="19"/>
      <c r="FM194" s="19"/>
      <c r="FN194" s="19"/>
      <c r="FO194" s="19"/>
      <c r="FP194" s="19"/>
      <c r="FQ194" s="19"/>
      <c r="FR194" s="19"/>
      <c r="FS194" s="19"/>
      <c r="FT194" s="19"/>
      <c r="FU194" s="19"/>
      <c r="FV194" s="19"/>
      <c r="FW194" s="19"/>
      <c r="FX194" s="19"/>
      <c r="FY194" s="19"/>
      <c r="FZ194" s="19"/>
      <c r="GA194" s="19"/>
      <c r="GB194" s="19"/>
      <c r="GC194" s="19"/>
      <c r="GD194" s="19"/>
      <c r="GE194" s="19"/>
      <c r="GF194" s="19"/>
      <c r="GG194" s="19"/>
      <c r="GH194" s="19"/>
      <c r="GI194" s="19"/>
      <c r="GJ194" s="19"/>
      <c r="GK194" s="19"/>
      <c r="GL194" s="19"/>
      <c r="GM194" s="19"/>
      <c r="GN194" s="19"/>
      <c r="GO194" s="19"/>
      <c r="GP194" s="19"/>
      <c r="GQ194" s="19"/>
      <c r="GR194" s="19"/>
      <c r="GS194" s="19"/>
      <c r="GT194" s="19"/>
      <c r="GU194" s="19"/>
      <c r="GV194" s="19"/>
      <c r="GW194" s="19"/>
      <c r="GX194" s="19"/>
      <c r="GY194" s="19"/>
      <c r="GZ194" s="19"/>
      <c r="HA194" s="19"/>
      <c r="HB194" s="19"/>
    </row>
    <row r="195" spans="1:210" x14ac:dyDescent="0.25">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c r="BE195" s="19"/>
      <c r="BF195" s="19"/>
      <c r="BG195" s="19"/>
      <c r="BH195" s="19"/>
      <c r="BI195" s="19"/>
      <c r="BJ195" s="19"/>
      <c r="BK195" s="19"/>
      <c r="BL195" s="19"/>
      <c r="BM195" s="19"/>
      <c r="BN195" s="19"/>
      <c r="BO195" s="19"/>
      <c r="BP195" s="19"/>
      <c r="BQ195" s="19"/>
      <c r="BR195" s="19"/>
      <c r="BS195" s="19"/>
      <c r="BT195" s="19"/>
      <c r="BU195" s="19"/>
      <c r="BV195" s="19"/>
      <c r="BW195" s="19"/>
      <c r="BX195" s="19"/>
      <c r="BY195" s="19"/>
      <c r="BZ195" s="19"/>
      <c r="CA195" s="19"/>
      <c r="CB195" s="19"/>
      <c r="CC195" s="19"/>
      <c r="CD195" s="19"/>
      <c r="CE195" s="19"/>
      <c r="CF195" s="19"/>
      <c r="CG195" s="19"/>
      <c r="CH195" s="19"/>
      <c r="CI195" s="19"/>
      <c r="CJ195" s="19"/>
      <c r="CK195" s="19"/>
      <c r="CL195" s="19"/>
      <c r="CM195" s="19"/>
      <c r="CN195" s="19"/>
      <c r="CO195" s="19"/>
      <c r="CP195" s="19"/>
      <c r="CQ195" s="19"/>
      <c r="CR195" s="19"/>
      <c r="CS195" s="19"/>
      <c r="CT195" s="19"/>
      <c r="CU195" s="19"/>
      <c r="CV195" s="19"/>
      <c r="CW195" s="19"/>
      <c r="CX195" s="19"/>
      <c r="CY195" s="19"/>
      <c r="CZ195" s="19"/>
      <c r="DA195" s="19"/>
      <c r="DB195" s="19"/>
      <c r="DC195" s="19"/>
      <c r="DD195" s="19"/>
      <c r="DE195" s="19"/>
      <c r="DF195" s="19"/>
      <c r="DG195" s="19"/>
      <c r="DH195" s="19"/>
      <c r="DI195" s="19"/>
      <c r="DJ195" s="19"/>
      <c r="DK195" s="19"/>
      <c r="DL195" s="19"/>
      <c r="DM195" s="19"/>
      <c r="DN195" s="19"/>
      <c r="DO195" s="19"/>
      <c r="DP195" s="19"/>
      <c r="DQ195" s="19"/>
      <c r="DR195" s="19"/>
      <c r="DS195" s="19"/>
      <c r="DT195" s="19"/>
      <c r="DU195" s="19"/>
      <c r="DV195" s="19"/>
      <c r="DW195" s="19"/>
      <c r="DX195" s="19"/>
      <c r="DY195" s="19"/>
      <c r="DZ195" s="19"/>
      <c r="EA195" s="19"/>
      <c r="EB195" s="19"/>
      <c r="EC195" s="19"/>
      <c r="ED195" s="19"/>
      <c r="EE195" s="19"/>
      <c r="EF195" s="19"/>
      <c r="EG195" s="19"/>
      <c r="EH195" s="19"/>
      <c r="EI195" s="19"/>
      <c r="EJ195" s="19"/>
      <c r="EK195" s="19"/>
      <c r="EL195" s="19"/>
      <c r="EM195" s="19"/>
      <c r="EN195" s="19"/>
      <c r="EO195" s="19"/>
      <c r="EP195" s="19"/>
      <c r="EQ195" s="19"/>
      <c r="ER195" s="19"/>
      <c r="ES195" s="19"/>
      <c r="ET195" s="19"/>
      <c r="EU195" s="19"/>
      <c r="EV195" s="19"/>
      <c r="EW195" s="19"/>
      <c r="EX195" s="19"/>
      <c r="EY195" s="19"/>
      <c r="EZ195" s="19"/>
      <c r="FA195" s="19"/>
      <c r="FB195" s="19"/>
      <c r="FC195" s="19"/>
      <c r="FD195" s="19"/>
      <c r="FE195" s="19"/>
      <c r="FF195" s="19"/>
      <c r="FG195" s="19"/>
      <c r="FH195" s="19"/>
      <c r="FI195" s="19"/>
      <c r="FJ195" s="19"/>
      <c r="FK195" s="19"/>
      <c r="FL195" s="19"/>
      <c r="FM195" s="19"/>
      <c r="FN195" s="19"/>
      <c r="FO195" s="19"/>
      <c r="FP195" s="19"/>
      <c r="FQ195" s="19"/>
      <c r="FR195" s="19"/>
      <c r="FS195" s="19"/>
      <c r="FT195" s="19"/>
      <c r="FU195" s="19"/>
      <c r="FV195" s="19"/>
      <c r="FW195" s="19"/>
      <c r="FX195" s="19"/>
      <c r="FY195" s="19"/>
      <c r="FZ195" s="19"/>
      <c r="GA195" s="19"/>
      <c r="GB195" s="19"/>
      <c r="GC195" s="19"/>
      <c r="GD195" s="19"/>
      <c r="GE195" s="19"/>
      <c r="GF195" s="19"/>
      <c r="GG195" s="19"/>
      <c r="GH195" s="19"/>
      <c r="GI195" s="19"/>
      <c r="GJ195" s="19"/>
      <c r="GK195" s="19"/>
      <c r="GL195" s="19"/>
      <c r="GM195" s="19"/>
      <c r="GN195" s="19"/>
      <c r="GO195" s="19"/>
      <c r="GP195" s="19"/>
      <c r="GQ195" s="19"/>
      <c r="GR195" s="19"/>
      <c r="GS195" s="19"/>
      <c r="GT195" s="19"/>
      <c r="GU195" s="19"/>
      <c r="GV195" s="19"/>
      <c r="GW195" s="19"/>
      <c r="GX195" s="19"/>
      <c r="GY195" s="19"/>
      <c r="GZ195" s="19"/>
      <c r="HA195" s="19"/>
      <c r="HB195" s="19"/>
    </row>
    <row r="196" spans="1:210" x14ac:dyDescent="0.25">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c r="BE196" s="19"/>
      <c r="BF196" s="19"/>
      <c r="BG196" s="19"/>
      <c r="BH196" s="19"/>
      <c r="BI196" s="19"/>
      <c r="BJ196" s="19"/>
      <c r="BK196" s="19"/>
      <c r="BL196" s="19"/>
      <c r="BM196" s="19"/>
      <c r="BN196" s="19"/>
      <c r="BO196" s="19"/>
      <c r="BP196" s="19"/>
      <c r="BQ196" s="19"/>
      <c r="BR196" s="19"/>
      <c r="BS196" s="19"/>
      <c r="BT196" s="19"/>
      <c r="BU196" s="19"/>
      <c r="BV196" s="19"/>
      <c r="BW196" s="19"/>
      <c r="BX196" s="19"/>
      <c r="BY196" s="19"/>
      <c r="BZ196" s="19"/>
      <c r="CA196" s="19"/>
      <c r="CB196" s="19"/>
      <c r="CC196" s="19"/>
      <c r="CD196" s="19"/>
      <c r="CE196" s="19"/>
      <c r="CF196" s="19"/>
      <c r="CG196" s="19"/>
      <c r="CH196" s="19"/>
      <c r="CI196" s="19"/>
      <c r="CJ196" s="19"/>
      <c r="CK196" s="19"/>
      <c r="CL196" s="19"/>
      <c r="CM196" s="19"/>
      <c r="CN196" s="19"/>
      <c r="CO196" s="19"/>
      <c r="CP196" s="19"/>
      <c r="CQ196" s="19"/>
      <c r="CR196" s="19"/>
      <c r="CS196" s="19"/>
      <c r="CT196" s="19"/>
      <c r="CU196" s="19"/>
      <c r="CV196" s="19"/>
      <c r="CW196" s="19"/>
      <c r="CX196" s="19"/>
      <c r="CY196" s="19"/>
      <c r="CZ196" s="19"/>
      <c r="DA196" s="19"/>
      <c r="DB196" s="19"/>
      <c r="DC196" s="19"/>
      <c r="DD196" s="19"/>
      <c r="DE196" s="19"/>
      <c r="DF196" s="19"/>
      <c r="DG196" s="19"/>
      <c r="DH196" s="19"/>
      <c r="DI196" s="19"/>
      <c r="DJ196" s="19"/>
      <c r="DK196" s="19"/>
      <c r="DL196" s="19"/>
      <c r="DM196" s="19"/>
      <c r="DN196" s="19"/>
      <c r="DO196" s="19"/>
      <c r="DP196" s="19"/>
      <c r="DQ196" s="19"/>
      <c r="DR196" s="19"/>
      <c r="DS196" s="19"/>
      <c r="DT196" s="19"/>
      <c r="DU196" s="19"/>
      <c r="DV196" s="19"/>
      <c r="DW196" s="19"/>
      <c r="DX196" s="19"/>
      <c r="DY196" s="19"/>
      <c r="DZ196" s="19"/>
      <c r="EA196" s="19"/>
      <c r="EB196" s="19"/>
      <c r="EC196" s="19"/>
      <c r="ED196" s="19"/>
      <c r="EE196" s="19"/>
      <c r="EF196" s="19"/>
      <c r="EG196" s="19"/>
      <c r="EH196" s="19"/>
      <c r="EI196" s="19"/>
      <c r="EJ196" s="19"/>
      <c r="EK196" s="19"/>
      <c r="EL196" s="19"/>
      <c r="EM196" s="19"/>
      <c r="EN196" s="19"/>
      <c r="EO196" s="19"/>
      <c r="EP196" s="19"/>
      <c r="EQ196" s="19"/>
      <c r="ER196" s="19"/>
      <c r="ES196" s="19"/>
      <c r="ET196" s="19"/>
      <c r="EU196" s="19"/>
      <c r="EV196" s="19"/>
      <c r="EW196" s="19"/>
      <c r="EX196" s="19"/>
      <c r="EY196" s="19"/>
      <c r="EZ196" s="19"/>
      <c r="FA196" s="19"/>
      <c r="FB196" s="19"/>
      <c r="FC196" s="19"/>
      <c r="FD196" s="19"/>
      <c r="FE196" s="19"/>
      <c r="FF196" s="19"/>
      <c r="FG196" s="19"/>
      <c r="FH196" s="19"/>
      <c r="FI196" s="19"/>
      <c r="FJ196" s="19"/>
      <c r="FK196" s="19"/>
      <c r="FL196" s="19"/>
      <c r="FM196" s="19"/>
      <c r="FN196" s="19"/>
      <c r="FO196" s="19"/>
      <c r="FP196" s="19"/>
      <c r="FQ196" s="19"/>
      <c r="FR196" s="19"/>
      <c r="FS196" s="19"/>
      <c r="FT196" s="19"/>
      <c r="FU196" s="19"/>
      <c r="FV196" s="19"/>
      <c r="FW196" s="19"/>
      <c r="FX196" s="19"/>
      <c r="FY196" s="19"/>
      <c r="FZ196" s="19"/>
      <c r="GA196" s="19"/>
      <c r="GB196" s="19"/>
      <c r="GC196" s="19"/>
      <c r="GD196" s="19"/>
      <c r="GE196" s="19"/>
      <c r="GF196" s="19"/>
      <c r="GG196" s="19"/>
      <c r="GH196" s="19"/>
      <c r="GI196" s="19"/>
      <c r="GJ196" s="19"/>
      <c r="GK196" s="19"/>
      <c r="GL196" s="19"/>
      <c r="GM196" s="19"/>
      <c r="GN196" s="19"/>
      <c r="GO196" s="19"/>
      <c r="GP196" s="19"/>
      <c r="GQ196" s="19"/>
      <c r="GR196" s="19"/>
      <c r="GS196" s="19"/>
      <c r="GT196" s="19"/>
      <c r="GU196" s="19"/>
      <c r="GV196" s="19"/>
      <c r="GW196" s="19"/>
      <c r="GX196" s="19"/>
      <c r="GY196" s="19"/>
      <c r="GZ196" s="19"/>
      <c r="HA196" s="19"/>
      <c r="HB196" s="19"/>
    </row>
    <row r="197" spans="1:210" x14ac:dyDescent="0.25">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c r="BE197" s="19"/>
      <c r="BF197" s="19"/>
      <c r="BG197" s="19"/>
      <c r="BH197" s="19"/>
      <c r="BI197" s="19"/>
      <c r="BJ197" s="19"/>
      <c r="BK197" s="19"/>
      <c r="BL197" s="19"/>
      <c r="BM197" s="19"/>
      <c r="BN197" s="19"/>
      <c r="BO197" s="19"/>
      <c r="BP197" s="19"/>
      <c r="BQ197" s="19"/>
      <c r="BR197" s="19"/>
      <c r="BS197" s="19"/>
      <c r="BT197" s="19"/>
      <c r="BU197" s="19"/>
      <c r="BV197" s="19"/>
      <c r="BW197" s="19"/>
      <c r="BX197" s="19"/>
      <c r="BY197" s="19"/>
      <c r="BZ197" s="19"/>
      <c r="CA197" s="19"/>
      <c r="CB197" s="19"/>
      <c r="CC197" s="19"/>
      <c r="CD197" s="19"/>
      <c r="CE197" s="19"/>
      <c r="CF197" s="19"/>
      <c r="CG197" s="19"/>
      <c r="CH197" s="19"/>
      <c r="CI197" s="19"/>
      <c r="CJ197" s="19"/>
      <c r="CK197" s="19"/>
      <c r="CL197" s="19"/>
      <c r="CM197" s="19"/>
      <c r="CN197" s="19"/>
      <c r="CO197" s="19"/>
      <c r="CP197" s="19"/>
      <c r="CQ197" s="19"/>
      <c r="CR197" s="19"/>
      <c r="CS197" s="19"/>
      <c r="CT197" s="19"/>
      <c r="CU197" s="19"/>
      <c r="CV197" s="19"/>
      <c r="CW197" s="19"/>
      <c r="CX197" s="19"/>
      <c r="CY197" s="19"/>
      <c r="CZ197" s="19"/>
      <c r="DA197" s="19"/>
      <c r="DB197" s="19"/>
      <c r="DC197" s="19"/>
      <c r="DD197" s="19"/>
      <c r="DE197" s="19"/>
      <c r="DF197" s="19"/>
      <c r="DG197" s="19"/>
      <c r="DH197" s="19"/>
      <c r="DI197" s="19"/>
      <c r="DJ197" s="19"/>
      <c r="DK197" s="19"/>
      <c r="DL197" s="19"/>
      <c r="DM197" s="19"/>
      <c r="DN197" s="19"/>
      <c r="DO197" s="19"/>
      <c r="DP197" s="19"/>
      <c r="DQ197" s="19"/>
      <c r="DR197" s="19"/>
      <c r="DS197" s="19"/>
      <c r="DT197" s="19"/>
      <c r="DU197" s="19"/>
      <c r="DV197" s="19"/>
      <c r="DW197" s="19"/>
      <c r="DX197" s="19"/>
      <c r="DY197" s="19"/>
      <c r="DZ197" s="19"/>
      <c r="EA197" s="19"/>
      <c r="EB197" s="19"/>
      <c r="EC197" s="19"/>
      <c r="ED197" s="19"/>
      <c r="EE197" s="19"/>
      <c r="EF197" s="19"/>
      <c r="EG197" s="19"/>
      <c r="EH197" s="19"/>
      <c r="EI197" s="19"/>
      <c r="EJ197" s="19"/>
      <c r="EK197" s="19"/>
      <c r="EL197" s="19"/>
      <c r="EM197" s="19"/>
      <c r="EN197" s="19"/>
      <c r="EO197" s="19"/>
      <c r="EP197" s="19"/>
      <c r="EQ197" s="19"/>
      <c r="ER197" s="19"/>
      <c r="ES197" s="19"/>
      <c r="ET197" s="19"/>
      <c r="EU197" s="19"/>
      <c r="EV197" s="19"/>
      <c r="EW197" s="19"/>
      <c r="EX197" s="19"/>
      <c r="EY197" s="19"/>
      <c r="EZ197" s="19"/>
      <c r="FA197" s="19"/>
      <c r="FB197" s="19"/>
      <c r="FC197" s="19"/>
      <c r="FD197" s="19"/>
      <c r="FE197" s="19"/>
      <c r="FF197" s="19"/>
      <c r="FG197" s="19"/>
      <c r="FH197" s="19"/>
      <c r="FI197" s="19"/>
      <c r="FJ197" s="19"/>
      <c r="FK197" s="19"/>
      <c r="FL197" s="19"/>
      <c r="FM197" s="19"/>
      <c r="FN197" s="19"/>
      <c r="FO197" s="19"/>
      <c r="FP197" s="19"/>
      <c r="FQ197" s="19"/>
      <c r="FR197" s="19"/>
      <c r="FS197" s="19"/>
      <c r="FT197" s="19"/>
      <c r="FU197" s="19"/>
      <c r="FV197" s="19"/>
      <c r="FW197" s="19"/>
      <c r="FX197" s="19"/>
      <c r="FY197" s="19"/>
      <c r="FZ197" s="19"/>
      <c r="GA197" s="19"/>
      <c r="GB197" s="19"/>
      <c r="GC197" s="19"/>
      <c r="GD197" s="19"/>
      <c r="GE197" s="19"/>
      <c r="GF197" s="19"/>
      <c r="GG197" s="19"/>
      <c r="GH197" s="19"/>
      <c r="GI197" s="19"/>
      <c r="GJ197" s="19"/>
      <c r="GK197" s="19"/>
      <c r="GL197" s="19"/>
      <c r="GM197" s="19"/>
      <c r="GN197" s="19"/>
      <c r="GO197" s="19"/>
      <c r="GP197" s="19"/>
      <c r="GQ197" s="19"/>
      <c r="GR197" s="19"/>
      <c r="GS197" s="19"/>
      <c r="GT197" s="19"/>
      <c r="GU197" s="19"/>
      <c r="GV197" s="19"/>
      <c r="GW197" s="19"/>
      <c r="GX197" s="19"/>
      <c r="GY197" s="19"/>
      <c r="GZ197" s="19"/>
      <c r="HA197" s="19"/>
      <c r="HB197" s="19"/>
    </row>
    <row r="198" spans="1:210" x14ac:dyDescent="0.25">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c r="BE198" s="19"/>
      <c r="BF198" s="19"/>
      <c r="BG198" s="19"/>
      <c r="BH198" s="19"/>
      <c r="BI198" s="19"/>
      <c r="BJ198" s="19"/>
      <c r="BK198" s="19"/>
      <c r="BL198" s="19"/>
      <c r="BM198" s="19"/>
      <c r="BN198" s="19"/>
      <c r="BO198" s="19"/>
      <c r="BP198" s="19"/>
      <c r="BQ198" s="19"/>
      <c r="BR198" s="19"/>
      <c r="BS198" s="19"/>
      <c r="BT198" s="19"/>
      <c r="BU198" s="19"/>
      <c r="BV198" s="19"/>
      <c r="BW198" s="19"/>
      <c r="BX198" s="19"/>
      <c r="BY198" s="19"/>
      <c r="BZ198" s="19"/>
      <c r="CA198" s="19"/>
      <c r="CB198" s="19"/>
      <c r="CC198" s="19"/>
      <c r="CD198" s="19"/>
      <c r="CE198" s="19"/>
      <c r="CF198" s="19"/>
      <c r="CG198" s="19"/>
      <c r="CH198" s="19"/>
      <c r="CI198" s="19"/>
      <c r="CJ198" s="19"/>
      <c r="CK198" s="19"/>
      <c r="CL198" s="19"/>
      <c r="CM198" s="19"/>
      <c r="CN198" s="19"/>
      <c r="CO198" s="19"/>
      <c r="CP198" s="19"/>
      <c r="CQ198" s="19"/>
      <c r="CR198" s="19"/>
      <c r="CS198" s="19"/>
      <c r="CT198" s="19"/>
      <c r="CU198" s="19"/>
      <c r="CV198" s="19"/>
      <c r="CW198" s="19"/>
      <c r="CX198" s="19"/>
      <c r="CY198" s="19"/>
      <c r="CZ198" s="19"/>
      <c r="DA198" s="19"/>
      <c r="DB198" s="19"/>
      <c r="DC198" s="19"/>
      <c r="DD198" s="19"/>
      <c r="DE198" s="19"/>
      <c r="DF198" s="19"/>
      <c r="DG198" s="19"/>
      <c r="DH198" s="19"/>
      <c r="DI198" s="19"/>
      <c r="DJ198" s="19"/>
      <c r="DK198" s="19"/>
      <c r="DL198" s="19"/>
      <c r="DM198" s="19"/>
      <c r="DN198" s="19"/>
      <c r="DO198" s="19"/>
      <c r="DP198" s="19"/>
      <c r="DQ198" s="19"/>
      <c r="DR198" s="19"/>
      <c r="DS198" s="19"/>
      <c r="DT198" s="19"/>
      <c r="DU198" s="19"/>
      <c r="DV198" s="19"/>
      <c r="DW198" s="19"/>
      <c r="DX198" s="19"/>
      <c r="DY198" s="19"/>
      <c r="DZ198" s="19"/>
      <c r="EA198" s="19"/>
      <c r="EB198" s="19"/>
      <c r="EC198" s="19"/>
      <c r="ED198" s="19"/>
      <c r="EE198" s="19"/>
      <c r="EF198" s="19"/>
      <c r="EG198" s="19"/>
      <c r="EH198" s="19"/>
      <c r="EI198" s="19"/>
      <c r="EJ198" s="19"/>
      <c r="EK198" s="19"/>
      <c r="EL198" s="19"/>
      <c r="EM198" s="19"/>
      <c r="EN198" s="19"/>
      <c r="EO198" s="19"/>
      <c r="EP198" s="19"/>
      <c r="EQ198" s="19"/>
      <c r="ER198" s="19"/>
      <c r="ES198" s="19"/>
      <c r="ET198" s="19"/>
      <c r="EU198" s="19"/>
      <c r="EV198" s="19"/>
      <c r="EW198" s="19"/>
      <c r="EX198" s="19"/>
      <c r="EY198" s="19"/>
      <c r="EZ198" s="19"/>
      <c r="FA198" s="19"/>
      <c r="FB198" s="19"/>
      <c r="FC198" s="19"/>
      <c r="FD198" s="19"/>
      <c r="FE198" s="19"/>
      <c r="FF198" s="19"/>
      <c r="FG198" s="19"/>
      <c r="FH198" s="19"/>
      <c r="FI198" s="19"/>
      <c r="FJ198" s="19"/>
      <c r="FK198" s="19"/>
      <c r="FL198" s="19"/>
      <c r="FM198" s="19"/>
      <c r="FN198" s="19"/>
      <c r="FO198" s="19"/>
      <c r="FP198" s="19"/>
      <c r="FQ198" s="19"/>
      <c r="FR198" s="19"/>
      <c r="FS198" s="19"/>
      <c r="FT198" s="19"/>
      <c r="FU198" s="19"/>
      <c r="FV198" s="19"/>
      <c r="FW198" s="19"/>
      <c r="FX198" s="19"/>
      <c r="FY198" s="19"/>
      <c r="FZ198" s="19"/>
      <c r="GA198" s="19"/>
      <c r="GB198" s="19"/>
      <c r="GC198" s="19"/>
      <c r="GD198" s="19"/>
      <c r="GE198" s="19"/>
      <c r="GF198" s="19"/>
      <c r="GG198" s="19"/>
      <c r="GH198" s="19"/>
      <c r="GI198" s="19"/>
      <c r="GJ198" s="19"/>
      <c r="GK198" s="19"/>
      <c r="GL198" s="19"/>
      <c r="GM198" s="19"/>
      <c r="GN198" s="19"/>
      <c r="GO198" s="19"/>
      <c r="GP198" s="19"/>
      <c r="GQ198" s="19"/>
      <c r="GR198" s="19"/>
      <c r="GS198" s="19"/>
      <c r="GT198" s="19"/>
      <c r="GU198" s="19"/>
      <c r="GV198" s="19"/>
      <c r="GW198" s="19"/>
      <c r="GX198" s="19"/>
      <c r="GY198" s="19"/>
      <c r="GZ198" s="19"/>
      <c r="HA198" s="19"/>
      <c r="HB198" s="19"/>
    </row>
    <row r="199" spans="1:210" x14ac:dyDescent="0.25">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c r="BE199" s="19"/>
      <c r="BF199" s="19"/>
      <c r="BG199" s="19"/>
      <c r="BH199" s="19"/>
      <c r="BI199" s="19"/>
      <c r="BJ199" s="19"/>
      <c r="BK199" s="19"/>
      <c r="BL199" s="19"/>
      <c r="BM199" s="19"/>
      <c r="BN199" s="19"/>
      <c r="BO199" s="19"/>
      <c r="BP199" s="19"/>
      <c r="BQ199" s="19"/>
      <c r="BR199" s="19"/>
      <c r="BS199" s="19"/>
      <c r="BT199" s="19"/>
      <c r="BU199" s="19"/>
      <c r="BV199" s="19"/>
      <c r="BW199" s="19"/>
      <c r="BX199" s="19"/>
      <c r="BY199" s="19"/>
      <c r="BZ199" s="19"/>
      <c r="CA199" s="19"/>
      <c r="CB199" s="19"/>
      <c r="CC199" s="19"/>
      <c r="CD199" s="19"/>
      <c r="CE199" s="19"/>
      <c r="CF199" s="19"/>
      <c r="CG199" s="19"/>
      <c r="CH199" s="19"/>
      <c r="CI199" s="19"/>
      <c r="CJ199" s="19"/>
      <c r="CK199" s="19"/>
      <c r="CL199" s="19"/>
      <c r="CM199" s="19"/>
      <c r="CN199" s="19"/>
      <c r="CO199" s="19"/>
      <c r="CP199" s="19"/>
      <c r="CQ199" s="19"/>
      <c r="CR199" s="19"/>
      <c r="CS199" s="19"/>
      <c r="CT199" s="19"/>
      <c r="CU199" s="19"/>
      <c r="CV199" s="19"/>
      <c r="CW199" s="19"/>
      <c r="CX199" s="19"/>
      <c r="CY199" s="19"/>
      <c r="CZ199" s="19"/>
      <c r="DA199" s="19"/>
      <c r="DB199" s="19"/>
      <c r="DC199" s="19"/>
      <c r="DD199" s="19"/>
      <c r="DE199" s="19"/>
      <c r="DF199" s="19"/>
      <c r="DG199" s="19"/>
      <c r="DH199" s="19"/>
      <c r="DI199" s="19"/>
      <c r="DJ199" s="19"/>
      <c r="DK199" s="19"/>
      <c r="DL199" s="19"/>
      <c r="DM199" s="19"/>
      <c r="DN199" s="19"/>
      <c r="DO199" s="19"/>
      <c r="DP199" s="19"/>
      <c r="DQ199" s="19"/>
      <c r="DR199" s="19"/>
      <c r="DS199" s="19"/>
      <c r="DT199" s="19"/>
      <c r="DU199" s="19"/>
      <c r="DV199" s="19"/>
      <c r="DW199" s="19"/>
      <c r="DX199" s="19"/>
      <c r="DY199" s="19"/>
      <c r="DZ199" s="19"/>
      <c r="EA199" s="19"/>
      <c r="EB199" s="19"/>
      <c r="EC199" s="19"/>
      <c r="ED199" s="19"/>
      <c r="EE199" s="19"/>
      <c r="EF199" s="19"/>
      <c r="EG199" s="19"/>
      <c r="EH199" s="19"/>
      <c r="EI199" s="19"/>
      <c r="EJ199" s="19"/>
      <c r="EK199" s="19"/>
      <c r="EL199" s="19"/>
      <c r="EM199" s="19"/>
      <c r="EN199" s="19"/>
      <c r="EO199" s="19"/>
      <c r="EP199" s="19"/>
      <c r="EQ199" s="19"/>
      <c r="ER199" s="19"/>
      <c r="ES199" s="19"/>
      <c r="ET199" s="19"/>
      <c r="EU199" s="19"/>
      <c r="EV199" s="19"/>
      <c r="EW199" s="19"/>
      <c r="EX199" s="19"/>
      <c r="EY199" s="19"/>
      <c r="EZ199" s="19"/>
      <c r="FA199" s="19"/>
      <c r="FB199" s="19"/>
      <c r="FC199" s="19"/>
      <c r="FD199" s="19"/>
      <c r="FE199" s="19"/>
      <c r="FF199" s="19"/>
      <c r="FG199" s="19"/>
      <c r="FH199" s="19"/>
      <c r="FI199" s="19"/>
      <c r="FJ199" s="19"/>
      <c r="FK199" s="19"/>
      <c r="FL199" s="19"/>
      <c r="FM199" s="19"/>
      <c r="FN199" s="19"/>
      <c r="FO199" s="19"/>
      <c r="FP199" s="19"/>
      <c r="FQ199" s="19"/>
      <c r="FR199" s="19"/>
      <c r="FS199" s="19"/>
      <c r="FT199" s="19"/>
      <c r="FU199" s="19"/>
      <c r="FV199" s="19"/>
      <c r="FW199" s="19"/>
      <c r="FX199" s="19"/>
      <c r="FY199" s="19"/>
      <c r="FZ199" s="19"/>
      <c r="GA199" s="19"/>
      <c r="GB199" s="19"/>
      <c r="GC199" s="19"/>
      <c r="GD199" s="19"/>
      <c r="GE199" s="19"/>
      <c r="GF199" s="19"/>
      <c r="GG199" s="19"/>
      <c r="GH199" s="19"/>
      <c r="GI199" s="19"/>
      <c r="GJ199" s="19"/>
      <c r="GK199" s="19"/>
      <c r="GL199" s="19"/>
      <c r="GM199" s="19"/>
      <c r="GN199" s="19"/>
      <c r="GO199" s="19"/>
      <c r="GP199" s="19"/>
      <c r="GQ199" s="19"/>
      <c r="GR199" s="19"/>
      <c r="GS199" s="19"/>
      <c r="GT199" s="19"/>
      <c r="GU199" s="19"/>
      <c r="GV199" s="19"/>
      <c r="GW199" s="19"/>
      <c r="GX199" s="19"/>
      <c r="GY199" s="19"/>
      <c r="GZ199" s="19"/>
      <c r="HA199" s="19"/>
      <c r="HB199" s="19"/>
    </row>
    <row r="200" spans="1:210" x14ac:dyDescent="0.25">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c r="BE200" s="19"/>
      <c r="BF200" s="19"/>
      <c r="BG200" s="19"/>
      <c r="BH200" s="19"/>
      <c r="BI200" s="19"/>
      <c r="BJ200" s="19"/>
      <c r="BK200" s="19"/>
      <c r="BL200" s="19"/>
      <c r="BM200" s="19"/>
      <c r="BN200" s="19"/>
      <c r="BO200" s="19"/>
      <c r="BP200" s="19"/>
      <c r="BQ200" s="19"/>
      <c r="BR200" s="19"/>
      <c r="BS200" s="19"/>
      <c r="BT200" s="19"/>
      <c r="BU200" s="19"/>
      <c r="BV200" s="19"/>
      <c r="BW200" s="19"/>
      <c r="BX200" s="19"/>
      <c r="BY200" s="19"/>
      <c r="BZ200" s="19"/>
      <c r="CA200" s="19"/>
      <c r="CB200" s="19"/>
      <c r="CC200" s="19"/>
      <c r="CD200" s="19"/>
      <c r="CE200" s="19"/>
      <c r="CF200" s="19"/>
      <c r="CG200" s="19"/>
      <c r="CH200" s="19"/>
      <c r="CI200" s="19"/>
      <c r="CJ200" s="19"/>
      <c r="CK200" s="19"/>
      <c r="CL200" s="19"/>
      <c r="CM200" s="19"/>
      <c r="CN200" s="19"/>
      <c r="CO200" s="19"/>
      <c r="CP200" s="19"/>
      <c r="CQ200" s="19"/>
      <c r="CR200" s="19"/>
      <c r="CS200" s="19"/>
      <c r="CT200" s="19"/>
      <c r="CU200" s="19"/>
      <c r="CV200" s="19"/>
      <c r="CW200" s="19"/>
      <c r="CX200" s="19"/>
      <c r="CY200" s="19"/>
      <c r="CZ200" s="19"/>
      <c r="DA200" s="19"/>
      <c r="DB200" s="19"/>
      <c r="DC200" s="19"/>
      <c r="DD200" s="19"/>
      <c r="DE200" s="19"/>
      <c r="DF200" s="19"/>
      <c r="DG200" s="19"/>
      <c r="DH200" s="19"/>
      <c r="DI200" s="19"/>
      <c r="DJ200" s="19"/>
      <c r="DK200" s="19"/>
      <c r="DL200" s="19"/>
      <c r="DM200" s="19"/>
      <c r="DN200" s="19"/>
      <c r="DO200" s="19"/>
      <c r="DP200" s="19"/>
      <c r="DQ200" s="19"/>
      <c r="DR200" s="19"/>
      <c r="DS200" s="19"/>
      <c r="DT200" s="19"/>
      <c r="DU200" s="19"/>
      <c r="DV200" s="19"/>
      <c r="DW200" s="19"/>
      <c r="DX200" s="19"/>
      <c r="DY200" s="19"/>
      <c r="DZ200" s="19"/>
      <c r="EA200" s="19"/>
      <c r="EB200" s="19"/>
      <c r="EC200" s="19"/>
      <c r="ED200" s="19"/>
      <c r="EE200" s="19"/>
      <c r="EF200" s="19"/>
      <c r="EG200" s="19"/>
      <c r="EH200" s="19"/>
      <c r="EI200" s="19"/>
      <c r="EJ200" s="19"/>
      <c r="EK200" s="19"/>
      <c r="EL200" s="19"/>
      <c r="EM200" s="19"/>
      <c r="EN200" s="19"/>
      <c r="EO200" s="19"/>
      <c r="EP200" s="19"/>
      <c r="EQ200" s="19"/>
      <c r="ER200" s="19"/>
      <c r="ES200" s="19"/>
      <c r="ET200" s="19"/>
      <c r="EU200" s="19"/>
      <c r="EV200" s="19"/>
      <c r="EW200" s="19"/>
      <c r="EX200" s="19"/>
      <c r="EY200" s="19"/>
      <c r="EZ200" s="19"/>
      <c r="FA200" s="19"/>
      <c r="FB200" s="19"/>
      <c r="FC200" s="19"/>
      <c r="FD200" s="19"/>
      <c r="FE200" s="19"/>
      <c r="FF200" s="19"/>
      <c r="FG200" s="19"/>
      <c r="FH200" s="19"/>
      <c r="FI200" s="19"/>
      <c r="FJ200" s="19"/>
      <c r="FK200" s="19"/>
      <c r="FL200" s="19"/>
      <c r="FM200" s="19"/>
      <c r="FN200" s="19"/>
      <c r="FO200" s="19"/>
      <c r="FP200" s="19"/>
      <c r="FQ200" s="19"/>
      <c r="FR200" s="19"/>
      <c r="FS200" s="19"/>
      <c r="FT200" s="19"/>
      <c r="FU200" s="19"/>
      <c r="FV200" s="19"/>
      <c r="FW200" s="19"/>
      <c r="FX200" s="19"/>
      <c r="FY200" s="19"/>
      <c r="FZ200" s="19"/>
      <c r="GA200" s="19"/>
      <c r="GB200" s="19"/>
      <c r="GC200" s="19"/>
      <c r="GD200" s="19"/>
      <c r="GE200" s="19"/>
      <c r="GF200" s="19"/>
      <c r="GG200" s="19"/>
      <c r="GH200" s="19"/>
      <c r="GI200" s="19"/>
      <c r="GJ200" s="19"/>
      <c r="GK200" s="19"/>
      <c r="GL200" s="19"/>
      <c r="GM200" s="19"/>
      <c r="GN200" s="19"/>
      <c r="GO200" s="19"/>
      <c r="GP200" s="19"/>
      <c r="GQ200" s="19"/>
      <c r="GR200" s="19"/>
      <c r="GS200" s="19"/>
      <c r="GT200" s="19"/>
      <c r="GU200" s="19"/>
      <c r="GV200" s="19"/>
      <c r="GW200" s="19"/>
      <c r="GX200" s="19"/>
      <c r="GY200" s="19"/>
      <c r="GZ200" s="19"/>
      <c r="HA200" s="19"/>
      <c r="HB200" s="19"/>
    </row>
    <row r="201" spans="1:210" x14ac:dyDescent="0.25">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c r="BE201" s="19"/>
      <c r="BF201" s="19"/>
      <c r="BG201" s="19"/>
      <c r="BH201" s="19"/>
      <c r="BI201" s="19"/>
      <c r="BJ201" s="19"/>
      <c r="BK201" s="19"/>
      <c r="BL201" s="19"/>
      <c r="BM201" s="19"/>
      <c r="BN201" s="19"/>
      <c r="BO201" s="19"/>
      <c r="BP201" s="19"/>
      <c r="BQ201" s="19"/>
      <c r="BR201" s="19"/>
      <c r="BS201" s="19"/>
      <c r="BT201" s="19"/>
      <c r="BU201" s="19"/>
      <c r="BV201" s="19"/>
      <c r="BW201" s="19"/>
      <c r="BX201" s="19"/>
      <c r="BY201" s="19"/>
      <c r="BZ201" s="19"/>
      <c r="CA201" s="19"/>
      <c r="CB201" s="19"/>
      <c r="CC201" s="19"/>
      <c r="CD201" s="19"/>
      <c r="CE201" s="19"/>
      <c r="CF201" s="19"/>
      <c r="CG201" s="19"/>
      <c r="CH201" s="19"/>
      <c r="CI201" s="19"/>
      <c r="CJ201" s="19"/>
      <c r="CK201" s="19"/>
      <c r="CL201" s="19"/>
      <c r="CM201" s="19"/>
      <c r="CN201" s="19"/>
      <c r="CO201" s="19"/>
      <c r="CP201" s="19"/>
      <c r="CQ201" s="19"/>
      <c r="CR201" s="19"/>
      <c r="CS201" s="19"/>
      <c r="CT201" s="19"/>
      <c r="CU201" s="19"/>
      <c r="CV201" s="19"/>
      <c r="CW201" s="19"/>
      <c r="CX201" s="19"/>
      <c r="CY201" s="19"/>
      <c r="CZ201" s="19"/>
      <c r="DA201" s="19"/>
      <c r="DB201" s="19"/>
      <c r="DC201" s="19"/>
      <c r="DD201" s="19"/>
      <c r="DE201" s="19"/>
      <c r="DF201" s="19"/>
      <c r="DG201" s="19"/>
      <c r="DH201" s="19"/>
      <c r="DI201" s="19"/>
      <c r="DJ201" s="19"/>
      <c r="DK201" s="19"/>
      <c r="DL201" s="19"/>
      <c r="DM201" s="19"/>
      <c r="DN201" s="19"/>
      <c r="DO201" s="19"/>
      <c r="DP201" s="19"/>
      <c r="DQ201" s="19"/>
      <c r="DR201" s="19"/>
      <c r="DS201" s="19"/>
      <c r="DT201" s="19"/>
      <c r="DU201" s="19"/>
      <c r="DV201" s="19"/>
      <c r="DW201" s="19"/>
      <c r="DX201" s="19"/>
      <c r="DY201" s="19"/>
      <c r="DZ201" s="19"/>
      <c r="EA201" s="19"/>
      <c r="EB201" s="19"/>
      <c r="EC201" s="19"/>
      <c r="ED201" s="19"/>
      <c r="EE201" s="19"/>
      <c r="EF201" s="19"/>
      <c r="EG201" s="19"/>
      <c r="EH201" s="19"/>
      <c r="EI201" s="19"/>
      <c r="EJ201" s="19"/>
      <c r="EK201" s="19"/>
      <c r="EL201" s="19"/>
      <c r="EM201" s="19"/>
      <c r="EN201" s="19"/>
      <c r="EO201" s="19"/>
      <c r="EP201" s="19"/>
      <c r="EQ201" s="19"/>
      <c r="ER201" s="19"/>
      <c r="ES201" s="19"/>
      <c r="ET201" s="19"/>
      <c r="EU201" s="19"/>
      <c r="EV201" s="19"/>
      <c r="EW201" s="19"/>
      <c r="EX201" s="19"/>
      <c r="EY201" s="19"/>
      <c r="EZ201" s="19"/>
      <c r="FA201" s="19"/>
      <c r="FB201" s="19"/>
      <c r="FC201" s="19"/>
      <c r="FD201" s="19"/>
      <c r="FE201" s="19"/>
      <c r="FF201" s="19"/>
      <c r="FG201" s="19"/>
      <c r="FH201" s="19"/>
      <c r="FI201" s="19"/>
      <c r="FJ201" s="19"/>
      <c r="FK201" s="19"/>
      <c r="FL201" s="19"/>
      <c r="FM201" s="19"/>
      <c r="FN201" s="19"/>
      <c r="FO201" s="19"/>
      <c r="FP201" s="19"/>
      <c r="FQ201" s="19"/>
      <c r="FR201" s="19"/>
      <c r="FS201" s="19"/>
      <c r="FT201" s="19"/>
      <c r="FU201" s="19"/>
      <c r="FV201" s="19"/>
      <c r="FW201" s="19"/>
      <c r="FX201" s="19"/>
      <c r="FY201" s="19"/>
      <c r="FZ201" s="19"/>
      <c r="GA201" s="19"/>
      <c r="GB201" s="19"/>
      <c r="GC201" s="19"/>
      <c r="GD201" s="19"/>
      <c r="GE201" s="19"/>
      <c r="GF201" s="19"/>
      <c r="GG201" s="19"/>
      <c r="GH201" s="19"/>
      <c r="GI201" s="19"/>
      <c r="GJ201" s="19"/>
      <c r="GK201" s="19"/>
      <c r="GL201" s="19"/>
      <c r="GM201" s="19"/>
      <c r="GN201" s="19"/>
      <c r="GO201" s="19"/>
      <c r="GP201" s="19"/>
      <c r="GQ201" s="19"/>
      <c r="GR201" s="19"/>
      <c r="GS201" s="19"/>
      <c r="GT201" s="19"/>
      <c r="GU201" s="19"/>
      <c r="GV201" s="19"/>
      <c r="GW201" s="19"/>
      <c r="GX201" s="19"/>
      <c r="GY201" s="19"/>
      <c r="GZ201" s="19"/>
      <c r="HA201" s="19"/>
      <c r="HB201" s="19"/>
    </row>
    <row r="202" spans="1:210" x14ac:dyDescent="0.25">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c r="BE202" s="19"/>
      <c r="BF202" s="19"/>
      <c r="BG202" s="19"/>
      <c r="BH202" s="19"/>
      <c r="BI202" s="19"/>
      <c r="BJ202" s="19"/>
      <c r="BK202" s="19"/>
      <c r="BL202" s="19"/>
      <c r="BM202" s="19"/>
      <c r="BN202" s="19"/>
      <c r="BO202" s="19"/>
      <c r="BP202" s="19"/>
      <c r="BQ202" s="19"/>
      <c r="BR202" s="19"/>
      <c r="BS202" s="19"/>
      <c r="BT202" s="19"/>
      <c r="BU202" s="19"/>
      <c r="BV202" s="19"/>
      <c r="BW202" s="19"/>
      <c r="BX202" s="19"/>
      <c r="BY202" s="19"/>
      <c r="BZ202" s="19"/>
      <c r="CA202" s="19"/>
      <c r="CB202" s="19"/>
      <c r="CC202" s="19"/>
      <c r="CD202" s="19"/>
      <c r="CE202" s="19"/>
      <c r="CF202" s="19"/>
      <c r="CG202" s="19"/>
      <c r="CH202" s="19"/>
      <c r="CI202" s="19"/>
      <c r="CJ202" s="19"/>
      <c r="CK202" s="19"/>
      <c r="CL202" s="19"/>
      <c r="CM202" s="19"/>
      <c r="CN202" s="19"/>
      <c r="CO202" s="19"/>
      <c r="CP202" s="19"/>
      <c r="CQ202" s="19"/>
      <c r="CR202" s="19"/>
      <c r="CS202" s="19"/>
      <c r="CT202" s="19"/>
      <c r="CU202" s="19"/>
      <c r="CV202" s="19"/>
      <c r="CW202" s="19"/>
      <c r="CX202" s="19"/>
      <c r="CY202" s="19"/>
      <c r="CZ202" s="19"/>
      <c r="DA202" s="19"/>
      <c r="DB202" s="19"/>
      <c r="DC202" s="19"/>
      <c r="DD202" s="19"/>
      <c r="DE202" s="19"/>
      <c r="DF202" s="19"/>
      <c r="DG202" s="19"/>
      <c r="DH202" s="19"/>
      <c r="DI202" s="19"/>
      <c r="DJ202" s="19"/>
      <c r="DK202" s="19"/>
      <c r="DL202" s="19"/>
      <c r="DM202" s="19"/>
      <c r="DN202" s="19"/>
      <c r="DO202" s="19"/>
      <c r="DP202" s="19"/>
      <c r="DQ202" s="19"/>
      <c r="DR202" s="19"/>
      <c r="DS202" s="19"/>
      <c r="DT202" s="19"/>
      <c r="DU202" s="19"/>
      <c r="DV202" s="19"/>
      <c r="DW202" s="19"/>
      <c r="DX202" s="19"/>
      <c r="DY202" s="19"/>
      <c r="DZ202" s="19"/>
      <c r="EA202" s="19"/>
      <c r="EB202" s="19"/>
      <c r="EC202" s="19"/>
      <c r="ED202" s="19"/>
      <c r="EE202" s="19"/>
      <c r="EF202" s="19"/>
      <c r="EG202" s="19"/>
      <c r="EH202" s="19"/>
      <c r="EI202" s="19"/>
      <c r="EJ202" s="19"/>
      <c r="EK202" s="19"/>
      <c r="EL202" s="19"/>
      <c r="EM202" s="19"/>
      <c r="EN202" s="19"/>
      <c r="EO202" s="19"/>
      <c r="EP202" s="19"/>
      <c r="EQ202" s="19"/>
      <c r="ER202" s="19"/>
      <c r="ES202" s="19"/>
      <c r="ET202" s="19"/>
      <c r="EU202" s="19"/>
      <c r="EV202" s="19"/>
      <c r="EW202" s="19"/>
      <c r="EX202" s="19"/>
      <c r="EY202" s="19"/>
      <c r="EZ202" s="19"/>
      <c r="FA202" s="19"/>
      <c r="FB202" s="19"/>
      <c r="FC202" s="19"/>
      <c r="FD202" s="19"/>
      <c r="FE202" s="19"/>
      <c r="FF202" s="19"/>
      <c r="FG202" s="19"/>
      <c r="FH202" s="19"/>
      <c r="FI202" s="19"/>
      <c r="FJ202" s="19"/>
      <c r="FK202" s="19"/>
      <c r="FL202" s="19"/>
      <c r="FM202" s="19"/>
      <c r="FN202" s="19"/>
      <c r="FO202" s="19"/>
      <c r="FP202" s="19"/>
      <c r="FQ202" s="19"/>
      <c r="FR202" s="19"/>
      <c r="FS202" s="19"/>
      <c r="FT202" s="19"/>
      <c r="FU202" s="19"/>
      <c r="FV202" s="19"/>
      <c r="FW202" s="19"/>
      <c r="FX202" s="19"/>
      <c r="FY202" s="19"/>
      <c r="FZ202" s="19"/>
      <c r="GA202" s="19"/>
      <c r="GB202" s="19"/>
      <c r="GC202" s="19"/>
      <c r="GD202" s="19"/>
      <c r="GE202" s="19"/>
      <c r="GF202" s="19"/>
      <c r="GG202" s="19"/>
      <c r="GH202" s="19"/>
      <c r="GI202" s="19"/>
      <c r="GJ202" s="19"/>
      <c r="GK202" s="19"/>
      <c r="GL202" s="19"/>
      <c r="GM202" s="19"/>
      <c r="GN202" s="19"/>
      <c r="GO202" s="19"/>
      <c r="GP202" s="19"/>
      <c r="GQ202" s="19"/>
      <c r="GR202" s="19"/>
      <c r="GS202" s="19"/>
      <c r="GT202" s="19"/>
      <c r="GU202" s="19"/>
      <c r="GV202" s="19"/>
      <c r="GW202" s="19"/>
      <c r="GX202" s="19"/>
      <c r="GY202" s="19"/>
      <c r="GZ202" s="19"/>
      <c r="HA202" s="19"/>
      <c r="HB202" s="19"/>
    </row>
    <row r="203" spans="1:210" x14ac:dyDescent="0.25">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c r="BE203" s="19"/>
      <c r="BF203" s="19"/>
      <c r="BG203" s="19"/>
      <c r="BH203" s="19"/>
      <c r="BI203" s="19"/>
      <c r="BJ203" s="19"/>
      <c r="BK203" s="19"/>
      <c r="BL203" s="19"/>
      <c r="BM203" s="19"/>
      <c r="BN203" s="19"/>
      <c r="BO203" s="19"/>
      <c r="BP203" s="19"/>
      <c r="BQ203" s="19"/>
      <c r="BR203" s="19"/>
      <c r="BS203" s="19"/>
      <c r="BT203" s="19"/>
      <c r="BU203" s="19"/>
      <c r="BV203" s="19"/>
      <c r="BW203" s="19"/>
      <c r="BX203" s="19"/>
      <c r="BY203" s="19"/>
      <c r="BZ203" s="19"/>
      <c r="CA203" s="19"/>
      <c r="CB203" s="19"/>
      <c r="CC203" s="19"/>
      <c r="CD203" s="19"/>
      <c r="CE203" s="19"/>
      <c r="CF203" s="19"/>
      <c r="CG203" s="19"/>
      <c r="CH203" s="19"/>
      <c r="CI203" s="19"/>
      <c r="CJ203" s="19"/>
      <c r="CK203" s="19"/>
      <c r="CL203" s="19"/>
      <c r="CM203" s="19"/>
      <c r="CN203" s="19"/>
      <c r="CO203" s="19"/>
      <c r="CP203" s="19"/>
      <c r="CQ203" s="19"/>
      <c r="CR203" s="19"/>
      <c r="CS203" s="19"/>
      <c r="CT203" s="19"/>
      <c r="CU203" s="19"/>
      <c r="CV203" s="19"/>
      <c r="CW203" s="19"/>
      <c r="CX203" s="19"/>
      <c r="CY203" s="19"/>
      <c r="CZ203" s="19"/>
      <c r="DA203" s="19"/>
      <c r="DB203" s="19"/>
      <c r="DC203" s="19"/>
      <c r="DD203" s="19"/>
      <c r="DE203" s="19"/>
      <c r="DF203" s="19"/>
      <c r="DG203" s="19"/>
      <c r="DH203" s="19"/>
      <c r="DI203" s="19"/>
      <c r="DJ203" s="19"/>
      <c r="DK203" s="19"/>
      <c r="DL203" s="19"/>
      <c r="DM203" s="19"/>
      <c r="DN203" s="19"/>
      <c r="DO203" s="19"/>
      <c r="DP203" s="19"/>
      <c r="DQ203" s="19"/>
      <c r="DR203" s="19"/>
      <c r="DS203" s="19"/>
      <c r="DT203" s="19"/>
      <c r="DU203" s="19"/>
      <c r="DV203" s="19"/>
      <c r="DW203" s="19"/>
      <c r="DX203" s="19"/>
      <c r="DY203" s="19"/>
      <c r="DZ203" s="19"/>
      <c r="EA203" s="19"/>
      <c r="EB203" s="19"/>
      <c r="EC203" s="19"/>
      <c r="ED203" s="19"/>
      <c r="EE203" s="19"/>
      <c r="EF203" s="19"/>
      <c r="EG203" s="19"/>
      <c r="EH203" s="19"/>
      <c r="EI203" s="19"/>
      <c r="EJ203" s="19"/>
      <c r="EK203" s="19"/>
      <c r="EL203" s="19"/>
      <c r="EM203" s="19"/>
      <c r="EN203" s="19"/>
      <c r="EO203" s="19"/>
      <c r="EP203" s="19"/>
      <c r="EQ203" s="19"/>
      <c r="ER203" s="19"/>
      <c r="ES203" s="19"/>
      <c r="ET203" s="19"/>
      <c r="EU203" s="19"/>
      <c r="EV203" s="19"/>
      <c r="EW203" s="19"/>
      <c r="EX203" s="19"/>
      <c r="EY203" s="19"/>
      <c r="EZ203" s="19"/>
      <c r="FA203" s="19"/>
      <c r="FB203" s="19"/>
      <c r="FC203" s="19"/>
      <c r="FD203" s="19"/>
      <c r="FE203" s="19"/>
      <c r="FF203" s="19"/>
      <c r="FG203" s="19"/>
      <c r="FH203" s="19"/>
      <c r="FI203" s="19"/>
      <c r="FJ203" s="19"/>
      <c r="FK203" s="19"/>
      <c r="FL203" s="19"/>
      <c r="FM203" s="19"/>
      <c r="FN203" s="19"/>
      <c r="FO203" s="19"/>
      <c r="FP203" s="19"/>
      <c r="FQ203" s="19"/>
      <c r="FR203" s="19"/>
      <c r="FS203" s="19"/>
      <c r="FT203" s="19"/>
      <c r="FU203" s="19"/>
      <c r="FV203" s="19"/>
      <c r="FW203" s="19"/>
      <c r="FX203" s="19"/>
      <c r="FY203" s="19"/>
      <c r="FZ203" s="19"/>
      <c r="GA203" s="19"/>
      <c r="GB203" s="19"/>
      <c r="GC203" s="19"/>
      <c r="GD203" s="19"/>
      <c r="GE203" s="19"/>
      <c r="GF203" s="19"/>
      <c r="GG203" s="19"/>
      <c r="GH203" s="19"/>
      <c r="GI203" s="19"/>
      <c r="GJ203" s="19"/>
      <c r="GK203" s="19"/>
      <c r="GL203" s="19"/>
      <c r="GM203" s="19"/>
      <c r="GN203" s="19"/>
      <c r="GO203" s="19"/>
      <c r="GP203" s="19"/>
      <c r="GQ203" s="19"/>
      <c r="GR203" s="19"/>
      <c r="GS203" s="19"/>
      <c r="GT203" s="19"/>
      <c r="GU203" s="19"/>
      <c r="GV203" s="19"/>
      <c r="GW203" s="19"/>
      <c r="GX203" s="19"/>
      <c r="GY203" s="19"/>
      <c r="GZ203" s="19"/>
      <c r="HA203" s="19"/>
      <c r="HB203" s="19"/>
    </row>
    <row r="204" spans="1:210" x14ac:dyDescent="0.25">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c r="BE204" s="19"/>
      <c r="BF204" s="19"/>
      <c r="BG204" s="19"/>
      <c r="BH204" s="19"/>
      <c r="BI204" s="19"/>
      <c r="BJ204" s="19"/>
      <c r="BK204" s="19"/>
      <c r="BL204" s="19"/>
      <c r="BM204" s="19"/>
      <c r="BN204" s="19"/>
      <c r="BO204" s="19"/>
      <c r="BP204" s="19"/>
      <c r="BQ204" s="19"/>
      <c r="BR204" s="19"/>
      <c r="BS204" s="19"/>
      <c r="BT204" s="19"/>
      <c r="BU204" s="19"/>
      <c r="BV204" s="19"/>
      <c r="BW204" s="19"/>
      <c r="BX204" s="19"/>
      <c r="BY204" s="19"/>
      <c r="BZ204" s="19"/>
      <c r="CA204" s="19"/>
      <c r="CB204" s="19"/>
      <c r="CC204" s="19"/>
      <c r="CD204" s="19"/>
      <c r="CE204" s="19"/>
      <c r="CF204" s="19"/>
      <c r="CG204" s="19"/>
      <c r="CH204" s="19"/>
      <c r="CI204" s="19"/>
      <c r="CJ204" s="19"/>
      <c r="CK204" s="19"/>
      <c r="CL204" s="19"/>
      <c r="CM204" s="19"/>
      <c r="CN204" s="19"/>
      <c r="CO204" s="19"/>
      <c r="CP204" s="19"/>
      <c r="CQ204" s="19"/>
      <c r="CR204" s="19"/>
      <c r="CS204" s="19"/>
      <c r="CT204" s="19"/>
      <c r="CU204" s="19"/>
      <c r="CV204" s="19"/>
      <c r="CW204" s="19"/>
      <c r="CX204" s="19"/>
      <c r="CY204" s="19"/>
      <c r="CZ204" s="19"/>
      <c r="DA204" s="19"/>
      <c r="DB204" s="19"/>
      <c r="DC204" s="19"/>
      <c r="DD204" s="19"/>
      <c r="DE204" s="19"/>
      <c r="DF204" s="19"/>
      <c r="DG204" s="19"/>
      <c r="DH204" s="19"/>
      <c r="DI204" s="19"/>
      <c r="DJ204" s="19"/>
      <c r="DK204" s="19"/>
      <c r="DL204" s="19"/>
      <c r="DM204" s="19"/>
      <c r="DN204" s="19"/>
      <c r="DO204" s="19"/>
      <c r="DP204" s="19"/>
      <c r="DQ204" s="19"/>
      <c r="DR204" s="19"/>
      <c r="DS204" s="19"/>
      <c r="DT204" s="19"/>
      <c r="DU204" s="19"/>
      <c r="DV204" s="19"/>
      <c r="DW204" s="19"/>
      <c r="DX204" s="19"/>
      <c r="DY204" s="19"/>
      <c r="DZ204" s="19"/>
      <c r="EA204" s="19"/>
      <c r="EB204" s="19"/>
      <c r="EC204" s="19"/>
      <c r="ED204" s="19"/>
      <c r="EE204" s="19"/>
      <c r="EF204" s="19"/>
      <c r="EG204" s="19"/>
      <c r="EH204" s="19"/>
      <c r="EI204" s="19"/>
      <c r="EJ204" s="19"/>
      <c r="EK204" s="19"/>
      <c r="EL204" s="19"/>
      <c r="EM204" s="19"/>
      <c r="EN204" s="19"/>
      <c r="EO204" s="19"/>
      <c r="EP204" s="19"/>
      <c r="EQ204" s="19"/>
      <c r="ER204" s="19"/>
      <c r="ES204" s="19"/>
      <c r="ET204" s="19"/>
      <c r="EU204" s="19"/>
      <c r="EV204" s="19"/>
      <c r="EW204" s="19"/>
      <c r="EX204" s="19"/>
      <c r="EY204" s="19"/>
      <c r="EZ204" s="19"/>
      <c r="FA204" s="19"/>
      <c r="FB204" s="19"/>
      <c r="FC204" s="19"/>
      <c r="FD204" s="19"/>
      <c r="FE204" s="19"/>
      <c r="FF204" s="19"/>
      <c r="FG204" s="19"/>
      <c r="FH204" s="19"/>
      <c r="FI204" s="19"/>
      <c r="FJ204" s="19"/>
      <c r="FK204" s="19"/>
      <c r="FL204" s="19"/>
      <c r="FM204" s="19"/>
      <c r="FN204" s="19"/>
      <c r="FO204" s="19"/>
      <c r="FP204" s="19"/>
      <c r="FQ204" s="19"/>
      <c r="FR204" s="19"/>
      <c r="FS204" s="19"/>
      <c r="FT204" s="19"/>
      <c r="FU204" s="19"/>
      <c r="FV204" s="19"/>
      <c r="FW204" s="19"/>
      <c r="FX204" s="19"/>
      <c r="FY204" s="19"/>
      <c r="FZ204" s="19"/>
      <c r="GA204" s="19"/>
      <c r="GB204" s="19"/>
      <c r="GC204" s="19"/>
      <c r="GD204" s="19"/>
      <c r="GE204" s="19"/>
      <c r="GF204" s="19"/>
      <c r="GG204" s="19"/>
      <c r="GH204" s="19"/>
      <c r="GI204" s="19"/>
      <c r="GJ204" s="19"/>
      <c r="GK204" s="19"/>
      <c r="GL204" s="19"/>
      <c r="GM204" s="19"/>
      <c r="GN204" s="19"/>
      <c r="GO204" s="19"/>
      <c r="GP204" s="19"/>
      <c r="GQ204" s="19"/>
      <c r="GR204" s="19"/>
      <c r="GS204" s="19"/>
      <c r="GT204" s="19"/>
      <c r="GU204" s="19"/>
      <c r="GV204" s="19"/>
      <c r="GW204" s="19"/>
      <c r="GX204" s="19"/>
      <c r="GY204" s="19"/>
      <c r="GZ204" s="19"/>
      <c r="HA204" s="19"/>
      <c r="HB204" s="19"/>
    </row>
    <row r="205" spans="1:210" x14ac:dyDescent="0.25">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c r="BE205" s="19"/>
      <c r="BF205" s="19"/>
      <c r="BG205" s="19"/>
      <c r="BH205" s="19"/>
      <c r="BI205" s="19"/>
      <c r="BJ205" s="19"/>
      <c r="BK205" s="19"/>
      <c r="BL205" s="19"/>
      <c r="BM205" s="19"/>
      <c r="BN205" s="19"/>
      <c r="BO205" s="19"/>
      <c r="BP205" s="19"/>
      <c r="BQ205" s="19"/>
      <c r="BR205" s="19"/>
      <c r="BS205" s="19"/>
      <c r="BT205" s="19"/>
      <c r="BU205" s="19"/>
      <c r="BV205" s="19"/>
      <c r="BW205" s="19"/>
      <c r="BX205" s="19"/>
      <c r="BY205" s="19"/>
      <c r="BZ205" s="19"/>
      <c r="CA205" s="19"/>
      <c r="CB205" s="19"/>
      <c r="CC205" s="19"/>
      <c r="CD205" s="19"/>
      <c r="CE205" s="19"/>
      <c r="CF205" s="19"/>
      <c r="CG205" s="19"/>
      <c r="CH205" s="19"/>
      <c r="CI205" s="19"/>
      <c r="CJ205" s="19"/>
      <c r="CK205" s="19"/>
      <c r="CL205" s="19"/>
      <c r="CM205" s="19"/>
      <c r="CN205" s="19"/>
      <c r="CO205" s="19"/>
      <c r="CP205" s="19"/>
      <c r="CQ205" s="19"/>
      <c r="CR205" s="19"/>
      <c r="CS205" s="19"/>
      <c r="CT205" s="19"/>
      <c r="CU205" s="19"/>
      <c r="CV205" s="19"/>
      <c r="CW205" s="19"/>
      <c r="CX205" s="19"/>
      <c r="CY205" s="19"/>
      <c r="CZ205" s="19"/>
      <c r="DA205" s="19"/>
      <c r="DB205" s="19"/>
      <c r="DC205" s="19"/>
      <c r="DD205" s="19"/>
      <c r="DE205" s="19"/>
      <c r="DF205" s="19"/>
      <c r="DG205" s="19"/>
      <c r="DH205" s="19"/>
      <c r="DI205" s="19"/>
      <c r="DJ205" s="19"/>
      <c r="DK205" s="19"/>
      <c r="DL205" s="19"/>
      <c r="DM205" s="19"/>
      <c r="DN205" s="19"/>
      <c r="DO205" s="19"/>
      <c r="DP205" s="19"/>
      <c r="DQ205" s="19"/>
      <c r="DR205" s="19"/>
      <c r="DS205" s="19"/>
      <c r="DT205" s="19"/>
      <c r="DU205" s="19"/>
      <c r="DV205" s="19"/>
      <c r="DW205" s="19"/>
      <c r="DX205" s="19"/>
      <c r="DY205" s="19"/>
      <c r="DZ205" s="19"/>
      <c r="EA205" s="19"/>
      <c r="EB205" s="19"/>
      <c r="EC205" s="19"/>
      <c r="ED205" s="19"/>
      <c r="EE205" s="19"/>
      <c r="EF205" s="19"/>
      <c r="EG205" s="19"/>
      <c r="EH205" s="19"/>
      <c r="EI205" s="19"/>
      <c r="EJ205" s="19"/>
      <c r="EK205" s="19"/>
      <c r="EL205" s="19"/>
      <c r="EM205" s="19"/>
      <c r="EN205" s="19"/>
      <c r="EO205" s="19"/>
      <c r="EP205" s="19"/>
      <c r="EQ205" s="19"/>
      <c r="ER205" s="19"/>
      <c r="ES205" s="19"/>
      <c r="ET205" s="19"/>
      <c r="EU205" s="19"/>
      <c r="EV205" s="19"/>
      <c r="EW205" s="19"/>
      <c r="EX205" s="19"/>
      <c r="EY205" s="19"/>
      <c r="EZ205" s="19"/>
      <c r="FA205" s="19"/>
      <c r="FB205" s="19"/>
      <c r="FC205" s="19"/>
      <c r="FD205" s="19"/>
      <c r="FE205" s="19"/>
      <c r="FF205" s="19"/>
      <c r="FG205" s="19"/>
      <c r="FH205" s="19"/>
      <c r="FI205" s="19"/>
      <c r="FJ205" s="19"/>
      <c r="FK205" s="19"/>
      <c r="FL205" s="19"/>
      <c r="FM205" s="19"/>
      <c r="FN205" s="19"/>
      <c r="FO205" s="19"/>
      <c r="FP205" s="19"/>
      <c r="FQ205" s="19"/>
      <c r="FR205" s="19"/>
      <c r="FS205" s="19"/>
      <c r="FT205" s="19"/>
      <c r="FU205" s="19"/>
      <c r="FV205" s="19"/>
      <c r="FW205" s="19"/>
      <c r="FX205" s="19"/>
      <c r="FY205" s="19"/>
      <c r="FZ205" s="19"/>
      <c r="GA205" s="19"/>
      <c r="GB205" s="19"/>
      <c r="GC205" s="19"/>
      <c r="GD205" s="19"/>
      <c r="GE205" s="19"/>
      <c r="GF205" s="19"/>
      <c r="GG205" s="19"/>
      <c r="GH205" s="19"/>
      <c r="GI205" s="19"/>
      <c r="GJ205" s="19"/>
      <c r="GK205" s="19"/>
      <c r="GL205" s="19"/>
      <c r="GM205" s="19"/>
      <c r="GN205" s="19"/>
      <c r="GO205" s="19"/>
      <c r="GP205" s="19"/>
      <c r="GQ205" s="19"/>
      <c r="GR205" s="19"/>
      <c r="GS205" s="19"/>
      <c r="GT205" s="19"/>
      <c r="GU205" s="19"/>
      <c r="GV205" s="19"/>
      <c r="GW205" s="19"/>
      <c r="GX205" s="19"/>
      <c r="GY205" s="19"/>
      <c r="GZ205" s="19"/>
      <c r="HA205" s="19"/>
      <c r="HB205" s="19"/>
    </row>
    <row r="206" spans="1:210" x14ac:dyDescent="0.25">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c r="BE206" s="19"/>
      <c r="BF206" s="19"/>
      <c r="BG206" s="19"/>
      <c r="BH206" s="19"/>
      <c r="BI206" s="19"/>
      <c r="BJ206" s="19"/>
      <c r="BK206" s="19"/>
      <c r="BL206" s="19"/>
      <c r="BM206" s="19"/>
      <c r="BN206" s="19"/>
      <c r="BO206" s="19"/>
      <c r="BP206" s="19"/>
      <c r="BQ206" s="19"/>
      <c r="BR206" s="19"/>
      <c r="BS206" s="19"/>
      <c r="BT206" s="19"/>
      <c r="BU206" s="19"/>
      <c r="BV206" s="19"/>
      <c r="BW206" s="19"/>
      <c r="BX206" s="19"/>
      <c r="BY206" s="19"/>
      <c r="BZ206" s="19"/>
      <c r="CA206" s="19"/>
      <c r="CB206" s="19"/>
      <c r="CC206" s="19"/>
      <c r="CD206" s="19"/>
      <c r="CE206" s="19"/>
      <c r="CF206" s="19"/>
      <c r="CG206" s="19"/>
      <c r="CH206" s="19"/>
      <c r="CI206" s="19"/>
      <c r="CJ206" s="19"/>
      <c r="CK206" s="19"/>
      <c r="CL206" s="19"/>
      <c r="CM206" s="19"/>
      <c r="CN206" s="19"/>
      <c r="CO206" s="19"/>
      <c r="CP206" s="19"/>
      <c r="CQ206" s="19"/>
      <c r="CR206" s="19"/>
      <c r="CS206" s="19"/>
      <c r="CT206" s="19"/>
      <c r="CU206" s="19"/>
      <c r="CV206" s="19"/>
      <c r="CW206" s="19"/>
      <c r="CX206" s="19"/>
      <c r="CY206" s="19"/>
      <c r="CZ206" s="19"/>
      <c r="DA206" s="19"/>
      <c r="DB206" s="19"/>
      <c r="DC206" s="19"/>
      <c r="DD206" s="19"/>
      <c r="DE206" s="19"/>
      <c r="DF206" s="19"/>
      <c r="DG206" s="19"/>
      <c r="DH206" s="19"/>
      <c r="DI206" s="19"/>
      <c r="DJ206" s="19"/>
      <c r="DK206" s="19"/>
      <c r="DL206" s="19"/>
      <c r="DM206" s="19"/>
      <c r="DN206" s="19"/>
      <c r="DO206" s="19"/>
      <c r="DP206" s="19"/>
      <c r="DQ206" s="19"/>
      <c r="DR206" s="19"/>
      <c r="DS206" s="19"/>
      <c r="DT206" s="19"/>
      <c r="DU206" s="19"/>
      <c r="DV206" s="19"/>
      <c r="DW206" s="19"/>
      <c r="DX206" s="19"/>
      <c r="DY206" s="19"/>
      <c r="DZ206" s="19"/>
      <c r="EA206" s="19"/>
      <c r="EB206" s="19"/>
      <c r="EC206" s="19"/>
      <c r="ED206" s="19"/>
      <c r="EE206" s="19"/>
      <c r="EF206" s="19"/>
      <c r="EG206" s="19"/>
      <c r="EH206" s="19"/>
      <c r="EI206" s="19"/>
      <c r="EJ206" s="19"/>
      <c r="EK206" s="19"/>
      <c r="EL206" s="19"/>
      <c r="EM206" s="19"/>
      <c r="EN206" s="19"/>
      <c r="EO206" s="19"/>
      <c r="EP206" s="19"/>
      <c r="EQ206" s="19"/>
      <c r="ER206" s="19"/>
      <c r="ES206" s="19"/>
      <c r="ET206" s="19"/>
      <c r="EU206" s="19"/>
      <c r="EV206" s="19"/>
      <c r="EW206" s="19"/>
      <c r="EX206" s="19"/>
      <c r="EY206" s="19"/>
      <c r="EZ206" s="19"/>
      <c r="FA206" s="19"/>
      <c r="FB206" s="19"/>
      <c r="FC206" s="19"/>
      <c r="FD206" s="19"/>
      <c r="FE206" s="19"/>
      <c r="FF206" s="19"/>
      <c r="FG206" s="19"/>
      <c r="FH206" s="19"/>
      <c r="FI206" s="19"/>
      <c r="FJ206" s="19"/>
      <c r="FK206" s="19"/>
      <c r="FL206" s="19"/>
      <c r="FM206" s="19"/>
      <c r="FN206" s="19"/>
      <c r="FO206" s="19"/>
      <c r="FP206" s="19"/>
      <c r="FQ206" s="19"/>
      <c r="FR206" s="19"/>
      <c r="FS206" s="19"/>
      <c r="FT206" s="19"/>
      <c r="FU206" s="19"/>
      <c r="FV206" s="19"/>
      <c r="FW206" s="19"/>
      <c r="FX206" s="19"/>
      <c r="FY206" s="19"/>
      <c r="FZ206" s="19"/>
      <c r="GA206" s="19"/>
      <c r="GB206" s="19"/>
      <c r="GC206" s="19"/>
      <c r="GD206" s="19"/>
      <c r="GE206" s="19"/>
      <c r="GF206" s="19"/>
      <c r="GG206" s="19"/>
      <c r="GH206" s="19"/>
      <c r="GI206" s="19"/>
      <c r="GJ206" s="19"/>
      <c r="GK206" s="19"/>
      <c r="GL206" s="19"/>
      <c r="GM206" s="19"/>
      <c r="GN206" s="19"/>
      <c r="GO206" s="19"/>
      <c r="GP206" s="19"/>
      <c r="GQ206" s="19"/>
      <c r="GR206" s="19"/>
      <c r="GS206" s="19"/>
      <c r="GT206" s="19"/>
      <c r="GU206" s="19"/>
      <c r="GV206" s="19"/>
      <c r="GW206" s="19"/>
      <c r="GX206" s="19"/>
      <c r="GY206" s="19"/>
      <c r="GZ206" s="19"/>
      <c r="HA206" s="19"/>
      <c r="HB206" s="19"/>
    </row>
    <row r="207" spans="1:210" x14ac:dyDescent="0.25">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c r="BE207" s="19"/>
      <c r="BF207" s="19"/>
      <c r="BG207" s="19"/>
      <c r="BH207" s="19"/>
      <c r="BI207" s="19"/>
      <c r="BJ207" s="19"/>
      <c r="BK207" s="19"/>
      <c r="BL207" s="19"/>
      <c r="BM207" s="19"/>
      <c r="BN207" s="19"/>
      <c r="BO207" s="19"/>
      <c r="BP207" s="19"/>
      <c r="BQ207" s="19"/>
      <c r="BR207" s="19"/>
      <c r="BS207" s="19"/>
      <c r="BT207" s="19"/>
      <c r="BU207" s="19"/>
      <c r="BV207" s="19"/>
      <c r="BW207" s="19"/>
      <c r="BX207" s="19"/>
      <c r="BY207" s="19"/>
      <c r="BZ207" s="19"/>
      <c r="CA207" s="19"/>
      <c r="CB207" s="19"/>
      <c r="CC207" s="19"/>
      <c r="CD207" s="19"/>
      <c r="CE207" s="19"/>
      <c r="CF207" s="19"/>
      <c r="CG207" s="19"/>
      <c r="CH207" s="19"/>
      <c r="CI207" s="19"/>
      <c r="CJ207" s="19"/>
      <c r="CK207" s="19"/>
      <c r="CL207" s="19"/>
      <c r="CM207" s="19"/>
      <c r="CN207" s="19"/>
      <c r="CO207" s="19"/>
      <c r="CP207" s="19"/>
      <c r="CQ207" s="19"/>
      <c r="CR207" s="19"/>
      <c r="CS207" s="19"/>
      <c r="CT207" s="19"/>
      <c r="CU207" s="19"/>
      <c r="CV207" s="19"/>
      <c r="CW207" s="19"/>
      <c r="CX207" s="19"/>
      <c r="CY207" s="19"/>
      <c r="CZ207" s="19"/>
      <c r="DA207" s="19"/>
      <c r="DB207" s="19"/>
      <c r="DC207" s="19"/>
      <c r="DD207" s="19"/>
      <c r="DE207" s="19"/>
      <c r="DF207" s="19"/>
      <c r="DG207" s="19"/>
      <c r="DH207" s="19"/>
      <c r="DI207" s="19"/>
      <c r="DJ207" s="19"/>
      <c r="DK207" s="19"/>
      <c r="DL207" s="19"/>
      <c r="DM207" s="19"/>
      <c r="DN207" s="19"/>
      <c r="DO207" s="19"/>
      <c r="DP207" s="19"/>
      <c r="DQ207" s="19"/>
      <c r="DR207" s="19"/>
      <c r="DS207" s="19"/>
      <c r="DT207" s="19"/>
      <c r="DU207" s="19"/>
      <c r="DV207" s="19"/>
      <c r="DW207" s="19"/>
      <c r="DX207" s="19"/>
      <c r="DY207" s="19"/>
      <c r="DZ207" s="19"/>
      <c r="EA207" s="19"/>
      <c r="EB207" s="19"/>
      <c r="EC207" s="19"/>
      <c r="ED207" s="19"/>
      <c r="EE207" s="19"/>
      <c r="EF207" s="19"/>
      <c r="EG207" s="19"/>
      <c r="EH207" s="19"/>
      <c r="EI207" s="19"/>
      <c r="EJ207" s="19"/>
      <c r="EK207" s="19"/>
      <c r="EL207" s="19"/>
      <c r="EM207" s="19"/>
      <c r="EN207" s="19"/>
      <c r="EO207" s="19"/>
      <c r="EP207" s="19"/>
      <c r="EQ207" s="19"/>
      <c r="ER207" s="19"/>
      <c r="ES207" s="19"/>
      <c r="ET207" s="19"/>
      <c r="EU207" s="19"/>
      <c r="EV207" s="19"/>
      <c r="EW207" s="19"/>
      <c r="EX207" s="19"/>
      <c r="EY207" s="19"/>
      <c r="EZ207" s="19"/>
      <c r="FA207" s="19"/>
      <c r="FB207" s="19"/>
      <c r="FC207" s="19"/>
      <c r="FD207" s="19"/>
      <c r="FE207" s="19"/>
      <c r="FF207" s="19"/>
      <c r="FG207" s="19"/>
      <c r="FH207" s="19"/>
      <c r="FI207" s="19"/>
      <c r="FJ207" s="19"/>
      <c r="FK207" s="19"/>
      <c r="FL207" s="19"/>
      <c r="FM207" s="19"/>
      <c r="FN207" s="19"/>
      <c r="FO207" s="19"/>
      <c r="FP207" s="19"/>
      <c r="FQ207" s="19"/>
      <c r="FR207" s="19"/>
      <c r="FS207" s="19"/>
      <c r="FT207" s="19"/>
      <c r="FU207" s="19"/>
      <c r="FV207" s="19"/>
      <c r="FW207" s="19"/>
      <c r="FX207" s="19"/>
      <c r="FY207" s="19"/>
      <c r="FZ207" s="19"/>
      <c r="GA207" s="19"/>
      <c r="GB207" s="19"/>
      <c r="GC207" s="19"/>
      <c r="GD207" s="19"/>
      <c r="GE207" s="19"/>
      <c r="GF207" s="19"/>
      <c r="GG207" s="19"/>
      <c r="GH207" s="19"/>
      <c r="GI207" s="19"/>
      <c r="GJ207" s="19"/>
      <c r="GK207" s="19"/>
      <c r="GL207" s="19"/>
      <c r="GM207" s="19"/>
      <c r="GN207" s="19"/>
      <c r="GO207" s="19"/>
      <c r="GP207" s="19"/>
      <c r="GQ207" s="19"/>
      <c r="GR207" s="19"/>
      <c r="GS207" s="19"/>
      <c r="GT207" s="19"/>
      <c r="GU207" s="19"/>
      <c r="GV207" s="19"/>
      <c r="GW207" s="19"/>
      <c r="GX207" s="19"/>
      <c r="GY207" s="19"/>
      <c r="GZ207" s="19"/>
      <c r="HA207" s="19"/>
      <c r="HB207" s="19"/>
    </row>
    <row r="208" spans="1:210" x14ac:dyDescent="0.25">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c r="BE208" s="19"/>
      <c r="BF208" s="19"/>
      <c r="BG208" s="19"/>
      <c r="BH208" s="19"/>
      <c r="BI208" s="19"/>
      <c r="BJ208" s="19"/>
      <c r="BK208" s="19"/>
      <c r="BL208" s="19"/>
      <c r="BM208" s="19"/>
      <c r="BN208" s="19"/>
      <c r="BO208" s="19"/>
      <c r="BP208" s="19"/>
      <c r="BQ208" s="19"/>
      <c r="BR208" s="19"/>
      <c r="BS208" s="19"/>
      <c r="BT208" s="19"/>
      <c r="BU208" s="19"/>
      <c r="BV208" s="19"/>
      <c r="BW208" s="19"/>
      <c r="BX208" s="19"/>
      <c r="BY208" s="19"/>
      <c r="BZ208" s="19"/>
      <c r="CA208" s="19"/>
      <c r="CB208" s="19"/>
      <c r="CC208" s="19"/>
      <c r="CD208" s="19"/>
      <c r="CE208" s="19"/>
      <c r="CF208" s="19"/>
      <c r="CG208" s="19"/>
      <c r="CH208" s="19"/>
      <c r="CI208" s="19"/>
      <c r="CJ208" s="19"/>
      <c r="CK208" s="19"/>
      <c r="CL208" s="19"/>
      <c r="CM208" s="19"/>
      <c r="CN208" s="19"/>
      <c r="CO208" s="19"/>
      <c r="CP208" s="19"/>
      <c r="CQ208" s="19"/>
      <c r="CR208" s="19"/>
      <c r="CS208" s="19"/>
      <c r="CT208" s="19"/>
      <c r="CU208" s="19"/>
      <c r="CV208" s="19"/>
      <c r="CW208" s="19"/>
      <c r="CX208" s="19"/>
      <c r="CY208" s="19"/>
      <c r="CZ208" s="19"/>
      <c r="DA208" s="19"/>
      <c r="DB208" s="19"/>
      <c r="DC208" s="19"/>
      <c r="DD208" s="19"/>
      <c r="DE208" s="19"/>
      <c r="DF208" s="19"/>
      <c r="DG208" s="19"/>
      <c r="DH208" s="19"/>
      <c r="DI208" s="19"/>
      <c r="DJ208" s="19"/>
      <c r="DK208" s="19"/>
      <c r="DL208" s="19"/>
      <c r="DM208" s="19"/>
      <c r="DN208" s="19"/>
      <c r="DO208" s="19"/>
      <c r="DP208" s="19"/>
      <c r="DQ208" s="19"/>
      <c r="DR208" s="19"/>
      <c r="DS208" s="19"/>
      <c r="DT208" s="19"/>
      <c r="DU208" s="19"/>
      <c r="DV208" s="19"/>
      <c r="DW208" s="19"/>
      <c r="DX208" s="19"/>
      <c r="DY208" s="19"/>
      <c r="DZ208" s="19"/>
      <c r="EA208" s="19"/>
      <c r="EB208" s="19"/>
      <c r="EC208" s="19"/>
      <c r="ED208" s="19"/>
      <c r="EE208" s="19"/>
      <c r="EF208" s="19"/>
      <c r="EG208" s="19"/>
      <c r="EH208" s="19"/>
      <c r="EI208" s="19"/>
      <c r="EJ208" s="19"/>
      <c r="EK208" s="19"/>
      <c r="EL208" s="19"/>
      <c r="EM208" s="19"/>
      <c r="EN208" s="19"/>
      <c r="EO208" s="19"/>
      <c r="EP208" s="19"/>
      <c r="EQ208" s="19"/>
      <c r="ER208" s="19"/>
      <c r="ES208" s="19"/>
      <c r="ET208" s="19"/>
      <c r="EU208" s="19"/>
      <c r="EV208" s="19"/>
      <c r="EW208" s="19"/>
      <c r="EX208" s="19"/>
      <c r="EY208" s="19"/>
      <c r="EZ208" s="19"/>
      <c r="FA208" s="19"/>
      <c r="FB208" s="19"/>
      <c r="FC208" s="19"/>
      <c r="FD208" s="19"/>
      <c r="FE208" s="19"/>
      <c r="FF208" s="19"/>
      <c r="FG208" s="19"/>
      <c r="FH208" s="19"/>
      <c r="FI208" s="19"/>
      <c r="FJ208" s="19"/>
      <c r="FK208" s="19"/>
      <c r="FL208" s="19"/>
      <c r="FM208" s="19"/>
      <c r="FN208" s="19"/>
      <c r="FO208" s="19"/>
      <c r="FP208" s="19"/>
      <c r="FQ208" s="19"/>
      <c r="FR208" s="19"/>
      <c r="FS208" s="19"/>
      <c r="FT208" s="19"/>
      <c r="FU208" s="19"/>
      <c r="FV208" s="19"/>
      <c r="FW208" s="19"/>
      <c r="FX208" s="19"/>
      <c r="FY208" s="19"/>
      <c r="FZ208" s="19"/>
      <c r="GA208" s="19"/>
      <c r="GB208" s="19"/>
      <c r="GC208" s="19"/>
      <c r="GD208" s="19"/>
      <c r="GE208" s="19"/>
      <c r="GF208" s="19"/>
      <c r="GG208" s="19"/>
      <c r="GH208" s="19"/>
      <c r="GI208" s="19"/>
      <c r="GJ208" s="19"/>
      <c r="GK208" s="19"/>
      <c r="GL208" s="19"/>
      <c r="GM208" s="19"/>
      <c r="GN208" s="19"/>
      <c r="GO208" s="19"/>
      <c r="GP208" s="19"/>
      <c r="GQ208" s="19"/>
      <c r="GR208" s="19"/>
      <c r="GS208" s="19"/>
      <c r="GT208" s="19"/>
      <c r="GU208" s="19"/>
      <c r="GV208" s="19"/>
      <c r="GW208" s="19"/>
      <c r="GX208" s="19"/>
      <c r="GY208" s="19"/>
      <c r="GZ208" s="19"/>
      <c r="HA208" s="19"/>
      <c r="HB208" s="19"/>
    </row>
    <row r="209" spans="1:210" x14ac:dyDescent="0.25">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c r="BE209" s="19"/>
      <c r="BF209" s="19"/>
      <c r="BG209" s="19"/>
      <c r="BH209" s="19"/>
      <c r="BI209" s="19"/>
      <c r="BJ209" s="19"/>
      <c r="BK209" s="19"/>
      <c r="BL209" s="19"/>
      <c r="BM209" s="19"/>
      <c r="BN209" s="19"/>
      <c r="BO209" s="19"/>
      <c r="BP209" s="19"/>
      <c r="BQ209" s="19"/>
      <c r="BR209" s="19"/>
      <c r="BS209" s="19"/>
      <c r="BT209" s="19"/>
      <c r="BU209" s="19"/>
      <c r="BV209" s="19"/>
      <c r="BW209" s="19"/>
      <c r="BX209" s="19"/>
      <c r="BY209" s="19"/>
      <c r="BZ209" s="19"/>
      <c r="CA209" s="19"/>
      <c r="CB209" s="19"/>
      <c r="CC209" s="19"/>
      <c r="CD209" s="19"/>
      <c r="CE209" s="19"/>
      <c r="CF209" s="19"/>
      <c r="CG209" s="19"/>
      <c r="CH209" s="19"/>
      <c r="CI209" s="19"/>
      <c r="CJ209" s="19"/>
      <c r="CK209" s="19"/>
      <c r="CL209" s="19"/>
      <c r="CM209" s="19"/>
      <c r="CN209" s="19"/>
      <c r="CO209" s="19"/>
      <c r="CP209" s="19"/>
      <c r="CQ209" s="19"/>
      <c r="CR209" s="19"/>
      <c r="CS209" s="19"/>
      <c r="CT209" s="19"/>
      <c r="CU209" s="19"/>
      <c r="CV209" s="19"/>
      <c r="CW209" s="19"/>
      <c r="CX209" s="19"/>
      <c r="CY209" s="19"/>
      <c r="CZ209" s="19"/>
      <c r="DA209" s="19"/>
      <c r="DB209" s="19"/>
      <c r="DC209" s="19"/>
      <c r="DD209" s="19"/>
      <c r="DE209" s="19"/>
      <c r="DF209" s="19"/>
      <c r="DG209" s="19"/>
      <c r="DH209" s="19"/>
      <c r="DI209" s="19"/>
      <c r="DJ209" s="19"/>
      <c r="DK209" s="19"/>
      <c r="DL209" s="19"/>
      <c r="DM209" s="19"/>
      <c r="DN209" s="19"/>
      <c r="DO209" s="19"/>
      <c r="DP209" s="19"/>
      <c r="DQ209" s="19"/>
      <c r="DR209" s="19"/>
      <c r="DS209" s="19"/>
      <c r="DT209" s="19"/>
      <c r="DU209" s="19"/>
      <c r="DV209" s="19"/>
      <c r="DW209" s="19"/>
      <c r="DX209" s="19"/>
      <c r="DY209" s="19"/>
      <c r="DZ209" s="19"/>
      <c r="EA209" s="19"/>
      <c r="EB209" s="19"/>
      <c r="EC209" s="19"/>
      <c r="ED209" s="19"/>
      <c r="EE209" s="19"/>
      <c r="EF209" s="19"/>
      <c r="EG209" s="19"/>
      <c r="EH209" s="19"/>
      <c r="EI209" s="19"/>
      <c r="EJ209" s="19"/>
      <c r="EK209" s="19"/>
      <c r="EL209" s="19"/>
      <c r="EM209" s="19"/>
      <c r="EN209" s="19"/>
      <c r="EO209" s="19"/>
      <c r="EP209" s="19"/>
      <c r="EQ209" s="19"/>
      <c r="ER209" s="19"/>
      <c r="ES209" s="19"/>
      <c r="ET209" s="19"/>
      <c r="EU209" s="19"/>
      <c r="EV209" s="19"/>
      <c r="EW209" s="19"/>
      <c r="EX209" s="19"/>
      <c r="EY209" s="19"/>
      <c r="EZ209" s="19"/>
      <c r="FA209" s="19"/>
      <c r="FB209" s="19"/>
      <c r="FC209" s="19"/>
      <c r="FD209" s="19"/>
      <c r="FE209" s="19"/>
      <c r="FF209" s="19"/>
      <c r="FG209" s="19"/>
      <c r="FH209" s="19"/>
      <c r="FI209" s="19"/>
      <c r="FJ209" s="19"/>
      <c r="FK209" s="19"/>
      <c r="FL209" s="19"/>
      <c r="FM209" s="19"/>
      <c r="FN209" s="19"/>
      <c r="FO209" s="19"/>
      <c r="FP209" s="19"/>
      <c r="FQ209" s="19"/>
      <c r="FR209" s="19"/>
      <c r="FS209" s="19"/>
      <c r="FT209" s="19"/>
      <c r="FU209" s="19"/>
      <c r="FV209" s="19"/>
      <c r="FW209" s="19"/>
      <c r="FX209" s="19"/>
      <c r="FY209" s="19"/>
      <c r="FZ209" s="19"/>
      <c r="GA209" s="19"/>
      <c r="GB209" s="19"/>
      <c r="GC209" s="19"/>
      <c r="GD209" s="19"/>
      <c r="GE209" s="19"/>
      <c r="GF209" s="19"/>
      <c r="GG209" s="19"/>
      <c r="GH209" s="19"/>
      <c r="GI209" s="19"/>
      <c r="GJ209" s="19"/>
      <c r="GK209" s="19"/>
      <c r="GL209" s="19"/>
      <c r="GM209" s="19"/>
      <c r="GN209" s="19"/>
      <c r="GO209" s="19"/>
      <c r="GP209" s="19"/>
      <c r="GQ209" s="19"/>
      <c r="GR209" s="19"/>
      <c r="GS209" s="19"/>
      <c r="GT209" s="19"/>
      <c r="GU209" s="19"/>
      <c r="GV209" s="19"/>
      <c r="GW209" s="19"/>
      <c r="GX209" s="19"/>
      <c r="GY209" s="19"/>
      <c r="GZ209" s="19"/>
      <c r="HA209" s="19"/>
      <c r="HB209" s="19"/>
    </row>
    <row r="210" spans="1:210" x14ac:dyDescent="0.25">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c r="BE210" s="19"/>
      <c r="BF210" s="19"/>
      <c r="BG210" s="19"/>
      <c r="BH210" s="19"/>
      <c r="BI210" s="19"/>
      <c r="BJ210" s="19"/>
      <c r="BK210" s="19"/>
      <c r="BL210" s="19"/>
      <c r="BM210" s="19"/>
      <c r="BN210" s="19"/>
      <c r="BO210" s="19"/>
      <c r="BP210" s="19"/>
      <c r="BQ210" s="19"/>
      <c r="BR210" s="19"/>
      <c r="BS210" s="19"/>
      <c r="BT210" s="19"/>
      <c r="BU210" s="19"/>
      <c r="BV210" s="19"/>
      <c r="BW210" s="19"/>
      <c r="BX210" s="19"/>
      <c r="BY210" s="19"/>
      <c r="BZ210" s="19"/>
      <c r="CA210" s="19"/>
      <c r="CB210" s="19"/>
      <c r="CC210" s="19"/>
      <c r="CD210" s="19"/>
      <c r="CE210" s="19"/>
      <c r="CF210" s="19"/>
      <c r="CG210" s="19"/>
      <c r="CH210" s="19"/>
      <c r="CI210" s="19"/>
      <c r="CJ210" s="19"/>
      <c r="CK210" s="19"/>
      <c r="CL210" s="19"/>
      <c r="CM210" s="19"/>
      <c r="CN210" s="19"/>
      <c r="CO210" s="19"/>
      <c r="CP210" s="19"/>
      <c r="CQ210" s="19"/>
      <c r="CR210" s="19"/>
      <c r="CS210" s="19"/>
      <c r="CT210" s="19"/>
      <c r="CU210" s="19"/>
      <c r="CV210" s="19"/>
      <c r="CW210" s="19"/>
      <c r="CX210" s="19"/>
      <c r="CY210" s="19"/>
      <c r="CZ210" s="19"/>
      <c r="DA210" s="19"/>
      <c r="DB210" s="19"/>
      <c r="DC210" s="19"/>
      <c r="DD210" s="19"/>
      <c r="DE210" s="19"/>
      <c r="DF210" s="19"/>
      <c r="DG210" s="19"/>
      <c r="DH210" s="19"/>
      <c r="DI210" s="19"/>
      <c r="DJ210" s="19"/>
      <c r="DK210" s="19"/>
      <c r="DL210" s="19"/>
      <c r="DM210" s="19"/>
      <c r="DN210" s="19"/>
      <c r="DO210" s="19"/>
      <c r="DP210" s="19"/>
      <c r="DQ210" s="19"/>
      <c r="DR210" s="19"/>
      <c r="DS210" s="19"/>
      <c r="DT210" s="19"/>
      <c r="DU210" s="19"/>
      <c r="DV210" s="19"/>
      <c r="DW210" s="19"/>
      <c r="DX210" s="19"/>
      <c r="DY210" s="19"/>
      <c r="DZ210" s="19"/>
      <c r="EA210" s="19"/>
      <c r="EB210" s="19"/>
      <c r="EC210" s="19"/>
      <c r="ED210" s="19"/>
      <c r="EE210" s="19"/>
      <c r="EF210" s="19"/>
      <c r="EG210" s="19"/>
      <c r="EH210" s="19"/>
      <c r="EI210" s="19"/>
      <c r="EJ210" s="19"/>
      <c r="EK210" s="19"/>
      <c r="EL210" s="19"/>
      <c r="EM210" s="19"/>
      <c r="EN210" s="19"/>
      <c r="EO210" s="19"/>
      <c r="EP210" s="19"/>
      <c r="EQ210" s="19"/>
      <c r="ER210" s="19"/>
      <c r="ES210" s="19"/>
      <c r="ET210" s="19"/>
      <c r="EU210" s="19"/>
      <c r="EV210" s="19"/>
      <c r="EW210" s="19"/>
      <c r="EX210" s="19"/>
      <c r="EY210" s="19"/>
      <c r="EZ210" s="19"/>
      <c r="FA210" s="19"/>
      <c r="FB210" s="19"/>
      <c r="FC210" s="19"/>
      <c r="FD210" s="19"/>
      <c r="FE210" s="19"/>
      <c r="FF210" s="19"/>
      <c r="FG210" s="19"/>
      <c r="FH210" s="19"/>
      <c r="FI210" s="19"/>
      <c r="FJ210" s="19"/>
      <c r="FK210" s="19"/>
      <c r="FL210" s="19"/>
      <c r="FM210" s="19"/>
      <c r="FN210" s="19"/>
      <c r="FO210" s="19"/>
      <c r="FP210" s="19"/>
      <c r="FQ210" s="19"/>
      <c r="FR210" s="19"/>
      <c r="FS210" s="19"/>
      <c r="FT210" s="19"/>
      <c r="FU210" s="19"/>
      <c r="FV210" s="19"/>
      <c r="FW210" s="19"/>
      <c r="FX210" s="19"/>
      <c r="FY210" s="19"/>
      <c r="FZ210" s="19"/>
      <c r="GA210" s="19"/>
      <c r="GB210" s="19"/>
      <c r="GC210" s="19"/>
      <c r="GD210" s="19"/>
      <c r="GE210" s="19"/>
      <c r="GF210" s="19"/>
      <c r="GG210" s="19"/>
      <c r="GH210" s="19"/>
      <c r="GI210" s="19"/>
      <c r="GJ210" s="19"/>
      <c r="GK210" s="19"/>
      <c r="GL210" s="19"/>
      <c r="GM210" s="19"/>
      <c r="GN210" s="19"/>
      <c r="GO210" s="19"/>
      <c r="GP210" s="19"/>
      <c r="GQ210" s="19"/>
      <c r="GR210" s="19"/>
      <c r="GS210" s="19"/>
      <c r="GT210" s="19"/>
      <c r="GU210" s="19"/>
      <c r="GV210" s="19"/>
      <c r="GW210" s="19"/>
      <c r="GX210" s="19"/>
      <c r="GY210" s="19"/>
      <c r="GZ210" s="19"/>
      <c r="HA210" s="19"/>
      <c r="HB210" s="19"/>
    </row>
    <row r="211" spans="1:210" x14ac:dyDescent="0.25">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c r="BE211" s="19"/>
      <c r="BF211" s="19"/>
      <c r="BG211" s="19"/>
      <c r="BH211" s="19"/>
      <c r="BI211" s="19"/>
      <c r="BJ211" s="19"/>
      <c r="BK211" s="19"/>
      <c r="BL211" s="19"/>
      <c r="BM211" s="19"/>
      <c r="BN211" s="19"/>
      <c r="BO211" s="19"/>
      <c r="BP211" s="19"/>
      <c r="BQ211" s="19"/>
      <c r="BR211" s="19"/>
      <c r="BS211" s="19"/>
      <c r="BT211" s="19"/>
      <c r="BU211" s="19"/>
      <c r="BV211" s="19"/>
      <c r="BW211" s="19"/>
      <c r="BX211" s="19"/>
      <c r="BY211" s="19"/>
      <c r="BZ211" s="19"/>
      <c r="CA211" s="19"/>
      <c r="CB211" s="19"/>
      <c r="CC211" s="19"/>
      <c r="CD211" s="19"/>
      <c r="CE211" s="19"/>
      <c r="CF211" s="19"/>
      <c r="CG211" s="19"/>
      <c r="CH211" s="19"/>
      <c r="CI211" s="19"/>
      <c r="CJ211" s="19"/>
      <c r="CK211" s="19"/>
      <c r="CL211" s="19"/>
      <c r="CM211" s="19"/>
      <c r="CN211" s="19"/>
      <c r="CO211" s="19"/>
      <c r="CP211" s="19"/>
      <c r="CQ211" s="19"/>
      <c r="CR211" s="19"/>
      <c r="CS211" s="19"/>
      <c r="CT211" s="19"/>
      <c r="CU211" s="19"/>
      <c r="CV211" s="19"/>
      <c r="CW211" s="19"/>
      <c r="CX211" s="19"/>
      <c r="CY211" s="19"/>
      <c r="CZ211" s="19"/>
      <c r="DA211" s="19"/>
      <c r="DB211" s="19"/>
      <c r="DC211" s="19"/>
      <c r="DD211" s="19"/>
      <c r="DE211" s="19"/>
      <c r="DF211" s="19"/>
      <c r="DG211" s="19"/>
      <c r="DH211" s="19"/>
      <c r="DI211" s="19"/>
      <c r="DJ211" s="19"/>
      <c r="DK211" s="19"/>
      <c r="DL211" s="19"/>
      <c r="DM211" s="19"/>
      <c r="DN211" s="19"/>
      <c r="DO211" s="19"/>
      <c r="DP211" s="19"/>
      <c r="DQ211" s="19"/>
      <c r="DR211" s="19"/>
      <c r="DS211" s="19"/>
      <c r="DT211" s="19"/>
      <c r="DU211" s="19"/>
      <c r="DV211" s="19"/>
      <c r="DW211" s="19"/>
      <c r="DX211" s="19"/>
      <c r="DY211" s="19"/>
      <c r="DZ211" s="19"/>
      <c r="EA211" s="19"/>
      <c r="EB211" s="19"/>
      <c r="EC211" s="19"/>
      <c r="ED211" s="19"/>
      <c r="EE211" s="19"/>
      <c r="EF211" s="19"/>
      <c r="EG211" s="19"/>
      <c r="EH211" s="19"/>
      <c r="EI211" s="19"/>
      <c r="EJ211" s="19"/>
      <c r="EK211" s="19"/>
      <c r="EL211" s="19"/>
      <c r="EM211" s="19"/>
      <c r="EN211" s="19"/>
      <c r="EO211" s="19"/>
      <c r="EP211" s="19"/>
      <c r="EQ211" s="19"/>
      <c r="ER211" s="19"/>
      <c r="ES211" s="19"/>
      <c r="ET211" s="19"/>
      <c r="EU211" s="19"/>
      <c r="EV211" s="19"/>
      <c r="EW211" s="19"/>
      <c r="EX211" s="19"/>
      <c r="EY211" s="19"/>
      <c r="EZ211" s="19"/>
      <c r="FA211" s="19"/>
      <c r="FB211" s="19"/>
      <c r="FC211" s="19"/>
      <c r="FD211" s="19"/>
      <c r="FE211" s="19"/>
      <c r="FF211" s="19"/>
      <c r="FG211" s="19"/>
      <c r="FH211" s="19"/>
      <c r="FI211" s="19"/>
      <c r="FJ211" s="19"/>
      <c r="FK211" s="19"/>
      <c r="FL211" s="19"/>
      <c r="FM211" s="19"/>
      <c r="FN211" s="19"/>
      <c r="FO211" s="19"/>
      <c r="FP211" s="19"/>
      <c r="FQ211" s="19"/>
      <c r="FR211" s="19"/>
      <c r="FS211" s="19"/>
      <c r="FT211" s="19"/>
      <c r="FU211" s="19"/>
      <c r="FV211" s="19"/>
      <c r="FW211" s="19"/>
      <c r="FX211" s="19"/>
      <c r="FY211" s="19"/>
      <c r="FZ211" s="19"/>
      <c r="GA211" s="19"/>
      <c r="GB211" s="19"/>
      <c r="GC211" s="19"/>
      <c r="GD211" s="19"/>
      <c r="GE211" s="19"/>
      <c r="GF211" s="19"/>
      <c r="GG211" s="19"/>
      <c r="GH211" s="19"/>
      <c r="GI211" s="19"/>
      <c r="GJ211" s="19"/>
      <c r="GK211" s="19"/>
      <c r="GL211" s="19"/>
      <c r="GM211" s="19"/>
      <c r="GN211" s="19"/>
      <c r="GO211" s="19"/>
      <c r="GP211" s="19"/>
      <c r="GQ211" s="19"/>
      <c r="GR211" s="19"/>
      <c r="GS211" s="19"/>
      <c r="GT211" s="19"/>
      <c r="GU211" s="19"/>
      <c r="GV211" s="19"/>
      <c r="GW211" s="19"/>
      <c r="GX211" s="19"/>
      <c r="GY211" s="19"/>
      <c r="GZ211" s="19"/>
      <c r="HA211" s="19"/>
      <c r="HB211" s="19"/>
    </row>
    <row r="212" spans="1:210" x14ac:dyDescent="0.25">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c r="BE212" s="19"/>
      <c r="BF212" s="19"/>
      <c r="BG212" s="19"/>
      <c r="BH212" s="19"/>
      <c r="BI212" s="19"/>
      <c r="BJ212" s="19"/>
      <c r="BK212" s="19"/>
      <c r="BL212" s="19"/>
      <c r="BM212" s="19"/>
      <c r="BN212" s="19"/>
      <c r="BO212" s="19"/>
      <c r="BP212" s="19"/>
      <c r="BQ212" s="19"/>
      <c r="BR212" s="19"/>
      <c r="BS212" s="19"/>
      <c r="BT212" s="19"/>
      <c r="BU212" s="19"/>
      <c r="BV212" s="19"/>
      <c r="BW212" s="19"/>
      <c r="BX212" s="19"/>
      <c r="BY212" s="19"/>
      <c r="BZ212" s="19"/>
      <c r="CA212" s="19"/>
      <c r="CB212" s="19"/>
      <c r="CC212" s="19"/>
      <c r="CD212" s="19"/>
      <c r="CE212" s="19"/>
      <c r="CF212" s="19"/>
      <c r="CG212" s="19"/>
      <c r="CH212" s="19"/>
      <c r="CI212" s="19"/>
      <c r="CJ212" s="19"/>
      <c r="CK212" s="19"/>
      <c r="CL212" s="19"/>
      <c r="CM212" s="19"/>
      <c r="CN212" s="19"/>
      <c r="CO212" s="19"/>
      <c r="CP212" s="19"/>
      <c r="CQ212" s="19"/>
      <c r="CR212" s="19"/>
      <c r="CS212" s="19"/>
      <c r="CT212" s="19"/>
      <c r="CU212" s="19"/>
      <c r="CV212" s="19"/>
      <c r="CW212" s="19"/>
      <c r="CX212" s="19"/>
      <c r="CY212" s="19"/>
      <c r="CZ212" s="19"/>
      <c r="DA212" s="19"/>
      <c r="DB212" s="19"/>
      <c r="DC212" s="19"/>
      <c r="DD212" s="19"/>
      <c r="DE212" s="19"/>
      <c r="DF212" s="19"/>
      <c r="DG212" s="19"/>
      <c r="DH212" s="19"/>
      <c r="DI212" s="19"/>
      <c r="DJ212" s="19"/>
      <c r="DK212" s="19"/>
      <c r="DL212" s="19"/>
      <c r="DM212" s="19"/>
      <c r="DN212" s="19"/>
      <c r="DO212" s="19"/>
      <c r="DP212" s="19"/>
      <c r="DQ212" s="19"/>
      <c r="DR212" s="19"/>
      <c r="DS212" s="19"/>
      <c r="DT212" s="19"/>
      <c r="DU212" s="19"/>
      <c r="DV212" s="19"/>
      <c r="DW212" s="19"/>
      <c r="DX212" s="19"/>
      <c r="DY212" s="19"/>
      <c r="DZ212" s="19"/>
      <c r="EA212" s="19"/>
      <c r="EB212" s="19"/>
      <c r="EC212" s="19"/>
      <c r="ED212" s="19"/>
      <c r="EE212" s="19"/>
      <c r="EF212" s="19"/>
      <c r="EG212" s="19"/>
      <c r="EH212" s="19"/>
      <c r="EI212" s="19"/>
      <c r="EJ212" s="19"/>
      <c r="EK212" s="19"/>
      <c r="EL212" s="19"/>
      <c r="EM212" s="19"/>
      <c r="EN212" s="19"/>
      <c r="EO212" s="19"/>
      <c r="EP212" s="19"/>
      <c r="EQ212" s="19"/>
      <c r="ER212" s="19"/>
      <c r="ES212" s="19"/>
      <c r="ET212" s="19"/>
      <c r="EU212" s="19"/>
      <c r="EV212" s="19"/>
      <c r="EW212" s="19"/>
      <c r="EX212" s="19"/>
      <c r="EY212" s="19"/>
      <c r="EZ212" s="19"/>
      <c r="FA212" s="19"/>
      <c r="FB212" s="19"/>
      <c r="FC212" s="19"/>
      <c r="FD212" s="19"/>
      <c r="FE212" s="19"/>
      <c r="FF212" s="19"/>
      <c r="FG212" s="19"/>
      <c r="FH212" s="19"/>
      <c r="FI212" s="19"/>
      <c r="FJ212" s="19"/>
      <c r="FK212" s="19"/>
      <c r="FL212" s="19"/>
      <c r="FM212" s="19"/>
      <c r="FN212" s="19"/>
      <c r="FO212" s="19"/>
      <c r="FP212" s="19"/>
      <c r="FQ212" s="19"/>
      <c r="FR212" s="19"/>
      <c r="FS212" s="19"/>
      <c r="FT212" s="19"/>
      <c r="FU212" s="19"/>
      <c r="FV212" s="19"/>
      <c r="FW212" s="19"/>
      <c r="FX212" s="19"/>
      <c r="FY212" s="19"/>
      <c r="FZ212" s="19"/>
      <c r="GA212" s="19"/>
      <c r="GB212" s="19"/>
      <c r="GC212" s="19"/>
      <c r="GD212" s="19"/>
      <c r="GE212" s="19"/>
      <c r="GF212" s="19"/>
      <c r="GG212" s="19"/>
      <c r="GH212" s="19"/>
      <c r="GI212" s="19"/>
      <c r="GJ212" s="19"/>
      <c r="GK212" s="19"/>
      <c r="GL212" s="19"/>
      <c r="GM212" s="19"/>
      <c r="GN212" s="19"/>
      <c r="GO212" s="19"/>
      <c r="GP212" s="19"/>
      <c r="GQ212" s="19"/>
      <c r="GR212" s="19"/>
      <c r="GS212" s="19"/>
      <c r="GT212" s="19"/>
      <c r="GU212" s="19"/>
      <c r="GV212" s="19"/>
      <c r="GW212" s="19"/>
      <c r="GX212" s="19"/>
      <c r="GY212" s="19"/>
      <c r="GZ212" s="19"/>
      <c r="HA212" s="19"/>
      <c r="HB212" s="19"/>
    </row>
    <row r="213" spans="1:210" x14ac:dyDescent="0.25">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c r="BE213" s="19"/>
      <c r="BF213" s="19"/>
      <c r="BG213" s="19"/>
      <c r="BH213" s="19"/>
      <c r="BI213" s="19"/>
      <c r="BJ213" s="19"/>
      <c r="BK213" s="19"/>
      <c r="BL213" s="19"/>
      <c r="BM213" s="19"/>
      <c r="BN213" s="19"/>
      <c r="BO213" s="19"/>
      <c r="BP213" s="19"/>
      <c r="BQ213" s="19"/>
      <c r="BR213" s="19"/>
      <c r="BS213" s="19"/>
      <c r="BT213" s="19"/>
      <c r="BU213" s="19"/>
      <c r="BV213" s="19"/>
      <c r="BW213" s="19"/>
      <c r="BX213" s="19"/>
      <c r="BY213" s="19"/>
      <c r="BZ213" s="19"/>
      <c r="CA213" s="19"/>
      <c r="CB213" s="19"/>
      <c r="CC213" s="19"/>
      <c r="CD213" s="19"/>
      <c r="CE213" s="19"/>
      <c r="CF213" s="19"/>
      <c r="CG213" s="19"/>
      <c r="CH213" s="19"/>
      <c r="CI213" s="19"/>
      <c r="CJ213" s="19"/>
      <c r="CK213" s="19"/>
      <c r="CL213" s="19"/>
      <c r="CM213" s="19"/>
      <c r="CN213" s="19"/>
      <c r="CO213" s="19"/>
      <c r="CP213" s="19"/>
      <c r="CQ213" s="19"/>
      <c r="CR213" s="19"/>
      <c r="CS213" s="19"/>
      <c r="CT213" s="19"/>
      <c r="CU213" s="19"/>
      <c r="CV213" s="19"/>
      <c r="CW213" s="19"/>
      <c r="CX213" s="19"/>
      <c r="CY213" s="19"/>
      <c r="CZ213" s="19"/>
      <c r="DA213" s="19"/>
      <c r="DB213" s="19"/>
      <c r="DC213" s="19"/>
      <c r="DD213" s="19"/>
      <c r="DE213" s="19"/>
      <c r="DF213" s="19"/>
      <c r="DG213" s="19"/>
      <c r="DH213" s="19"/>
      <c r="DI213" s="19"/>
      <c r="DJ213" s="19"/>
      <c r="DK213" s="19"/>
      <c r="DL213" s="19"/>
      <c r="DM213" s="19"/>
      <c r="DN213" s="19"/>
      <c r="DO213" s="19"/>
      <c r="DP213" s="19"/>
      <c r="DQ213" s="19"/>
      <c r="DR213" s="19"/>
      <c r="DS213" s="19"/>
      <c r="DT213" s="19"/>
      <c r="DU213" s="19"/>
      <c r="DV213" s="19"/>
      <c r="DW213" s="19"/>
      <c r="DX213" s="19"/>
      <c r="DY213" s="19"/>
      <c r="DZ213" s="19"/>
      <c r="EA213" s="19"/>
      <c r="EB213" s="19"/>
      <c r="EC213" s="19"/>
      <c r="ED213" s="19"/>
      <c r="EE213" s="19"/>
      <c r="EF213" s="19"/>
      <c r="EG213" s="19"/>
      <c r="EH213" s="19"/>
      <c r="EI213" s="19"/>
      <c r="EJ213" s="19"/>
      <c r="EK213" s="19"/>
      <c r="EL213" s="19"/>
      <c r="EM213" s="19"/>
      <c r="EN213" s="19"/>
      <c r="EO213" s="19"/>
      <c r="EP213" s="19"/>
      <c r="EQ213" s="19"/>
      <c r="ER213" s="19"/>
      <c r="ES213" s="19"/>
      <c r="ET213" s="19"/>
      <c r="EU213" s="19"/>
      <c r="EV213" s="19"/>
      <c r="EW213" s="19"/>
      <c r="EX213" s="19"/>
      <c r="EY213" s="19"/>
      <c r="EZ213" s="19"/>
      <c r="FA213" s="19"/>
      <c r="FB213" s="19"/>
      <c r="FC213" s="19"/>
      <c r="FD213" s="19"/>
      <c r="FE213" s="19"/>
      <c r="FF213" s="19"/>
      <c r="FG213" s="19"/>
      <c r="FH213" s="19"/>
      <c r="FI213" s="19"/>
      <c r="FJ213" s="19"/>
      <c r="FK213" s="19"/>
      <c r="FL213" s="19"/>
      <c r="FM213" s="19"/>
      <c r="FN213" s="19"/>
      <c r="FO213" s="19"/>
      <c r="FP213" s="19"/>
      <c r="FQ213" s="19"/>
      <c r="FR213" s="19"/>
      <c r="FS213" s="19"/>
      <c r="FT213" s="19"/>
      <c r="FU213" s="19"/>
      <c r="FV213" s="19"/>
      <c r="FW213" s="19"/>
      <c r="FX213" s="19"/>
      <c r="FY213" s="19"/>
      <c r="FZ213" s="19"/>
      <c r="GA213" s="19"/>
      <c r="GB213" s="19"/>
      <c r="GC213" s="19"/>
      <c r="GD213" s="19"/>
      <c r="GE213" s="19"/>
      <c r="GF213" s="19"/>
      <c r="GG213" s="19"/>
      <c r="GH213" s="19"/>
      <c r="GI213" s="19"/>
      <c r="GJ213" s="19"/>
      <c r="GK213" s="19"/>
      <c r="GL213" s="19"/>
      <c r="GM213" s="19"/>
      <c r="GN213" s="19"/>
      <c r="GO213" s="19"/>
      <c r="GP213" s="19"/>
      <c r="GQ213" s="19"/>
      <c r="GR213" s="19"/>
      <c r="GS213" s="19"/>
      <c r="GT213" s="19"/>
      <c r="GU213" s="19"/>
      <c r="GV213" s="19"/>
      <c r="GW213" s="19"/>
      <c r="GX213" s="19"/>
      <c r="GY213" s="19"/>
      <c r="GZ213" s="19"/>
      <c r="HA213" s="19"/>
      <c r="HB213" s="19"/>
    </row>
    <row r="214" spans="1:210" x14ac:dyDescent="0.25">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c r="BE214" s="19"/>
      <c r="BF214" s="19"/>
      <c r="BG214" s="19"/>
      <c r="BH214" s="19"/>
      <c r="BI214" s="19"/>
      <c r="BJ214" s="19"/>
      <c r="BK214" s="19"/>
      <c r="BL214" s="19"/>
      <c r="BM214" s="19"/>
      <c r="BN214" s="19"/>
      <c r="BO214" s="19"/>
      <c r="BP214" s="19"/>
      <c r="BQ214" s="19"/>
      <c r="BR214" s="19"/>
      <c r="BS214" s="19"/>
      <c r="BT214" s="19"/>
      <c r="BU214" s="19"/>
      <c r="BV214" s="19"/>
      <c r="BW214" s="19"/>
      <c r="BX214" s="19"/>
      <c r="BY214" s="19"/>
      <c r="BZ214" s="19"/>
      <c r="CA214" s="19"/>
      <c r="CB214" s="19"/>
      <c r="CC214" s="19"/>
      <c r="CD214" s="19"/>
      <c r="CE214" s="19"/>
      <c r="CF214" s="19"/>
      <c r="CG214" s="19"/>
      <c r="CH214" s="19"/>
      <c r="CI214" s="19"/>
      <c r="CJ214" s="19"/>
      <c r="CK214" s="19"/>
      <c r="CL214" s="19"/>
      <c r="CM214" s="19"/>
      <c r="CN214" s="19"/>
      <c r="CO214" s="19"/>
      <c r="CP214" s="19"/>
      <c r="CQ214" s="19"/>
      <c r="CR214" s="19"/>
      <c r="CS214" s="19"/>
      <c r="CT214" s="19"/>
      <c r="CU214" s="19"/>
      <c r="CV214" s="19"/>
      <c r="CW214" s="19"/>
      <c r="CX214" s="19"/>
      <c r="CY214" s="19"/>
      <c r="CZ214" s="19"/>
      <c r="DA214" s="19"/>
      <c r="DB214" s="19"/>
      <c r="DC214" s="19"/>
      <c r="DD214" s="19"/>
      <c r="DE214" s="19"/>
      <c r="DF214" s="19"/>
      <c r="DG214" s="19"/>
      <c r="DH214" s="19"/>
      <c r="DI214" s="19"/>
      <c r="DJ214" s="19"/>
      <c r="DK214" s="19"/>
      <c r="DL214" s="19"/>
      <c r="DM214" s="19"/>
      <c r="DN214" s="19"/>
      <c r="DO214" s="19"/>
      <c r="DP214" s="19"/>
      <c r="DQ214" s="19"/>
      <c r="DR214" s="19"/>
      <c r="DS214" s="19"/>
      <c r="DT214" s="19"/>
      <c r="DU214" s="19"/>
      <c r="DV214" s="19"/>
      <c r="DW214" s="19"/>
      <c r="DX214" s="19"/>
      <c r="DY214" s="19"/>
      <c r="DZ214" s="19"/>
      <c r="EA214" s="19"/>
      <c r="EB214" s="19"/>
      <c r="EC214" s="19"/>
      <c r="ED214" s="19"/>
      <c r="EE214" s="19"/>
      <c r="EF214" s="19"/>
      <c r="EG214" s="19"/>
      <c r="EH214" s="19"/>
      <c r="EI214" s="19"/>
      <c r="EJ214" s="19"/>
      <c r="EK214" s="19"/>
      <c r="EL214" s="19"/>
      <c r="EM214" s="19"/>
      <c r="EN214" s="19"/>
      <c r="EO214" s="19"/>
      <c r="EP214" s="19"/>
      <c r="EQ214" s="19"/>
      <c r="ER214" s="19"/>
      <c r="ES214" s="19"/>
      <c r="ET214" s="19"/>
      <c r="EU214" s="19"/>
      <c r="EV214" s="19"/>
      <c r="EW214" s="19"/>
      <c r="EX214" s="19"/>
      <c r="EY214" s="19"/>
      <c r="EZ214" s="19"/>
      <c r="FA214" s="19"/>
      <c r="FB214" s="19"/>
      <c r="FC214" s="19"/>
      <c r="FD214" s="19"/>
      <c r="FE214" s="19"/>
      <c r="FF214" s="19"/>
      <c r="FG214" s="19"/>
      <c r="FH214" s="19"/>
      <c r="FI214" s="19"/>
      <c r="FJ214" s="19"/>
      <c r="FK214" s="19"/>
      <c r="FL214" s="19"/>
      <c r="FM214" s="19"/>
      <c r="FN214" s="19"/>
      <c r="FO214" s="19"/>
      <c r="FP214" s="19"/>
      <c r="FQ214" s="19"/>
      <c r="FR214" s="19"/>
      <c r="FS214" s="19"/>
      <c r="FT214" s="19"/>
      <c r="FU214" s="19"/>
      <c r="FV214" s="19"/>
      <c r="FW214" s="19"/>
      <c r="FX214" s="19"/>
      <c r="FY214" s="19"/>
      <c r="FZ214" s="19"/>
      <c r="GA214" s="19"/>
      <c r="GB214" s="19"/>
      <c r="GC214" s="19"/>
      <c r="GD214" s="19"/>
      <c r="GE214" s="19"/>
      <c r="GF214" s="19"/>
      <c r="GG214" s="19"/>
      <c r="GH214" s="19"/>
      <c r="GI214" s="19"/>
      <c r="GJ214" s="19"/>
      <c r="GK214" s="19"/>
      <c r="GL214" s="19"/>
      <c r="GM214" s="19"/>
      <c r="GN214" s="19"/>
      <c r="GO214" s="19"/>
      <c r="GP214" s="19"/>
      <c r="GQ214" s="19"/>
      <c r="GR214" s="19"/>
      <c r="GS214" s="19"/>
      <c r="GT214" s="19"/>
      <c r="GU214" s="19"/>
      <c r="GV214" s="19"/>
      <c r="GW214" s="19"/>
      <c r="GX214" s="19"/>
      <c r="GY214" s="19"/>
      <c r="GZ214" s="19"/>
      <c r="HA214" s="19"/>
      <c r="HB214" s="19"/>
    </row>
    <row r="215" spans="1:210" x14ac:dyDescent="0.25">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c r="BE215" s="19"/>
      <c r="BF215" s="19"/>
      <c r="BG215" s="19"/>
      <c r="BH215" s="19"/>
      <c r="BI215" s="19"/>
      <c r="BJ215" s="19"/>
      <c r="BK215" s="19"/>
      <c r="BL215" s="19"/>
      <c r="BM215" s="19"/>
      <c r="BN215" s="19"/>
      <c r="BO215" s="19"/>
      <c r="BP215" s="19"/>
      <c r="BQ215" s="19"/>
      <c r="BR215" s="19"/>
      <c r="BS215" s="19"/>
      <c r="BT215" s="19"/>
      <c r="BU215" s="19"/>
      <c r="BV215" s="19"/>
      <c r="BW215" s="19"/>
      <c r="BX215" s="19"/>
      <c r="BY215" s="19"/>
      <c r="BZ215" s="19"/>
      <c r="CA215" s="19"/>
      <c r="CB215" s="19"/>
      <c r="CC215" s="19"/>
      <c r="CD215" s="19"/>
      <c r="CE215" s="19"/>
      <c r="CF215" s="19"/>
      <c r="CG215" s="19"/>
      <c r="CH215" s="19"/>
      <c r="CI215" s="19"/>
      <c r="CJ215" s="19"/>
      <c r="CK215" s="19"/>
      <c r="CL215" s="19"/>
      <c r="CM215" s="19"/>
      <c r="CN215" s="19"/>
      <c r="CO215" s="19"/>
      <c r="CP215" s="19"/>
      <c r="CQ215" s="19"/>
      <c r="CR215" s="19"/>
      <c r="CS215" s="19"/>
      <c r="CT215" s="19"/>
      <c r="CU215" s="19"/>
      <c r="CV215" s="19"/>
      <c r="CW215" s="19"/>
      <c r="CX215" s="19"/>
      <c r="CY215" s="19"/>
      <c r="CZ215" s="19"/>
      <c r="DA215" s="19"/>
      <c r="DB215" s="19"/>
      <c r="DC215" s="19"/>
      <c r="DD215" s="19"/>
      <c r="DE215" s="19"/>
      <c r="DF215" s="19"/>
      <c r="DG215" s="19"/>
      <c r="DH215" s="19"/>
      <c r="DI215" s="19"/>
      <c r="DJ215" s="19"/>
      <c r="DK215" s="19"/>
      <c r="DL215" s="19"/>
      <c r="DM215" s="19"/>
      <c r="DN215" s="19"/>
      <c r="DO215" s="19"/>
      <c r="DP215" s="19"/>
      <c r="DQ215" s="19"/>
      <c r="DR215" s="19"/>
      <c r="DS215" s="19"/>
      <c r="DT215" s="19"/>
      <c r="DU215" s="19"/>
      <c r="DV215" s="19"/>
      <c r="DW215" s="19"/>
      <c r="DX215" s="19"/>
      <c r="DY215" s="19"/>
      <c r="DZ215" s="19"/>
      <c r="EA215" s="19"/>
      <c r="EB215" s="19"/>
      <c r="EC215" s="19"/>
      <c r="ED215" s="19"/>
      <c r="EE215" s="19"/>
      <c r="EF215" s="19"/>
      <c r="EG215" s="19"/>
      <c r="EH215" s="19"/>
      <c r="EI215" s="19"/>
      <c r="EJ215" s="19"/>
      <c r="EK215" s="19"/>
      <c r="EL215" s="19"/>
      <c r="EM215" s="19"/>
      <c r="EN215" s="19"/>
      <c r="EO215" s="19"/>
      <c r="EP215" s="19"/>
      <c r="EQ215" s="19"/>
      <c r="ER215" s="19"/>
      <c r="ES215" s="19"/>
      <c r="ET215" s="19"/>
      <c r="EU215" s="19"/>
      <c r="EV215" s="19"/>
      <c r="EW215" s="19"/>
      <c r="EX215" s="19"/>
      <c r="EY215" s="19"/>
      <c r="EZ215" s="19"/>
      <c r="FA215" s="19"/>
      <c r="FB215" s="19"/>
      <c r="FC215" s="19"/>
      <c r="FD215" s="19"/>
      <c r="FE215" s="19"/>
      <c r="FF215" s="19"/>
      <c r="FG215" s="19"/>
      <c r="FH215" s="19"/>
      <c r="FI215" s="19"/>
      <c r="FJ215" s="19"/>
      <c r="FK215" s="19"/>
      <c r="FL215" s="19"/>
      <c r="FM215" s="19"/>
      <c r="FN215" s="19"/>
      <c r="FO215" s="19"/>
      <c r="FP215" s="19"/>
      <c r="FQ215" s="19"/>
      <c r="FR215" s="19"/>
      <c r="FS215" s="19"/>
      <c r="FT215" s="19"/>
      <c r="FU215" s="19"/>
      <c r="FV215" s="19"/>
      <c r="FW215" s="19"/>
      <c r="FX215" s="19"/>
      <c r="FY215" s="19"/>
      <c r="FZ215" s="19"/>
      <c r="GA215" s="19"/>
      <c r="GB215" s="19"/>
      <c r="GC215" s="19"/>
      <c r="GD215" s="19"/>
      <c r="GE215" s="19"/>
      <c r="GF215" s="19"/>
      <c r="GG215" s="19"/>
      <c r="GH215" s="19"/>
      <c r="GI215" s="19"/>
      <c r="GJ215" s="19"/>
      <c r="GK215" s="19"/>
      <c r="GL215" s="19"/>
      <c r="GM215" s="19"/>
      <c r="GN215" s="19"/>
      <c r="GO215" s="19"/>
      <c r="GP215" s="19"/>
      <c r="GQ215" s="19"/>
      <c r="GR215" s="19"/>
      <c r="GS215" s="19"/>
      <c r="GT215" s="19"/>
      <c r="GU215" s="19"/>
      <c r="GV215" s="19"/>
      <c r="GW215" s="19"/>
      <c r="GX215" s="19"/>
      <c r="GY215" s="19"/>
      <c r="GZ215" s="19"/>
      <c r="HA215" s="19"/>
      <c r="HB215" s="19"/>
    </row>
    <row r="216" spans="1:210" x14ac:dyDescent="0.25">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c r="BE216" s="19"/>
      <c r="BF216" s="19"/>
      <c r="BG216" s="19"/>
      <c r="BH216" s="19"/>
      <c r="BI216" s="19"/>
      <c r="BJ216" s="19"/>
      <c r="BK216" s="19"/>
      <c r="BL216" s="19"/>
      <c r="BM216" s="19"/>
      <c r="BN216" s="19"/>
      <c r="BO216" s="19"/>
      <c r="BP216" s="19"/>
      <c r="BQ216" s="19"/>
      <c r="BR216" s="19"/>
      <c r="BS216" s="19"/>
      <c r="BT216" s="19"/>
      <c r="BU216" s="19"/>
      <c r="BV216" s="19"/>
      <c r="BW216" s="19"/>
      <c r="BX216" s="19"/>
      <c r="BY216" s="19"/>
      <c r="BZ216" s="19"/>
      <c r="CA216" s="19"/>
      <c r="CB216" s="19"/>
      <c r="CC216" s="19"/>
      <c r="CD216" s="19"/>
      <c r="CE216" s="19"/>
      <c r="CF216" s="19"/>
      <c r="CG216" s="19"/>
      <c r="CH216" s="19"/>
      <c r="CI216" s="19"/>
      <c r="CJ216" s="19"/>
      <c r="CK216" s="19"/>
      <c r="CL216" s="19"/>
      <c r="CM216" s="19"/>
      <c r="CN216" s="19"/>
      <c r="CO216" s="19"/>
      <c r="CP216" s="19"/>
      <c r="CQ216" s="19"/>
      <c r="CR216" s="19"/>
      <c r="CS216" s="19"/>
      <c r="CT216" s="19"/>
      <c r="CU216" s="19"/>
      <c r="CV216" s="19"/>
      <c r="CW216" s="19"/>
      <c r="CX216" s="19"/>
      <c r="CY216" s="19"/>
      <c r="CZ216" s="19"/>
      <c r="DA216" s="19"/>
      <c r="DB216" s="19"/>
      <c r="DC216" s="19"/>
      <c r="DD216" s="19"/>
      <c r="DE216" s="19"/>
      <c r="DF216" s="19"/>
      <c r="DG216" s="19"/>
      <c r="DH216" s="19"/>
      <c r="DI216" s="19"/>
      <c r="DJ216" s="19"/>
      <c r="DK216" s="19"/>
      <c r="DL216" s="19"/>
      <c r="DM216" s="19"/>
      <c r="DN216" s="19"/>
      <c r="DO216" s="19"/>
      <c r="DP216" s="19"/>
      <c r="DQ216" s="19"/>
      <c r="DR216" s="19"/>
      <c r="DS216" s="19"/>
      <c r="DT216" s="19"/>
      <c r="DU216" s="19"/>
      <c r="DV216" s="19"/>
      <c r="DW216" s="19"/>
      <c r="DX216" s="19"/>
      <c r="DY216" s="19"/>
      <c r="DZ216" s="19"/>
      <c r="EA216" s="19"/>
      <c r="EB216" s="19"/>
      <c r="EC216" s="19"/>
      <c r="ED216" s="19"/>
      <c r="EE216" s="19"/>
      <c r="EF216" s="19"/>
      <c r="EG216" s="19"/>
      <c r="EH216" s="19"/>
      <c r="EI216" s="19"/>
      <c r="EJ216" s="19"/>
      <c r="EK216" s="19"/>
      <c r="EL216" s="19"/>
      <c r="EM216" s="19"/>
      <c r="EN216" s="19"/>
      <c r="EO216" s="19"/>
      <c r="EP216" s="19"/>
      <c r="EQ216" s="19"/>
      <c r="ER216" s="19"/>
      <c r="ES216" s="19"/>
      <c r="ET216" s="19"/>
      <c r="EU216" s="19"/>
      <c r="EV216" s="19"/>
      <c r="EW216" s="19"/>
      <c r="EX216" s="19"/>
      <c r="EY216" s="19"/>
      <c r="EZ216" s="19"/>
      <c r="FA216" s="19"/>
      <c r="FB216" s="19"/>
      <c r="FC216" s="19"/>
      <c r="FD216" s="19"/>
      <c r="FE216" s="19"/>
      <c r="FF216" s="19"/>
      <c r="FG216" s="19"/>
      <c r="FH216" s="19"/>
      <c r="FI216" s="19"/>
      <c r="FJ216" s="19"/>
      <c r="FK216" s="19"/>
      <c r="FL216" s="19"/>
      <c r="FM216" s="19"/>
      <c r="FN216" s="19"/>
      <c r="FO216" s="19"/>
      <c r="FP216" s="19"/>
      <c r="FQ216" s="19"/>
      <c r="FR216" s="19"/>
      <c r="FS216" s="19"/>
      <c r="FT216" s="19"/>
      <c r="FU216" s="19"/>
      <c r="FV216" s="19"/>
      <c r="FW216" s="19"/>
      <c r="FX216" s="19"/>
      <c r="FY216" s="19"/>
      <c r="FZ216" s="19"/>
      <c r="GA216" s="19"/>
      <c r="GB216" s="19"/>
      <c r="GC216" s="19"/>
      <c r="GD216" s="19"/>
      <c r="GE216" s="19"/>
      <c r="GF216" s="19"/>
      <c r="GG216" s="19"/>
      <c r="GH216" s="19"/>
      <c r="GI216" s="19"/>
      <c r="GJ216" s="19"/>
      <c r="GK216" s="19"/>
      <c r="GL216" s="19"/>
      <c r="GM216" s="19"/>
      <c r="GN216" s="19"/>
      <c r="GO216" s="19"/>
      <c r="GP216" s="19"/>
      <c r="GQ216" s="19"/>
      <c r="GR216" s="19"/>
      <c r="GS216" s="19"/>
      <c r="GT216" s="19"/>
      <c r="GU216" s="19"/>
      <c r="GV216" s="19"/>
      <c r="GW216" s="19"/>
      <c r="GX216" s="19"/>
      <c r="GY216" s="19"/>
      <c r="GZ216" s="19"/>
      <c r="HA216" s="19"/>
      <c r="HB216" s="19"/>
    </row>
    <row r="217" spans="1:210" x14ac:dyDescent="0.25">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c r="BE217" s="19"/>
      <c r="BF217" s="19"/>
      <c r="BG217" s="19"/>
      <c r="BH217" s="19"/>
      <c r="BI217" s="19"/>
      <c r="BJ217" s="19"/>
      <c r="BK217" s="19"/>
      <c r="BL217" s="19"/>
      <c r="BM217" s="19"/>
      <c r="BN217" s="19"/>
      <c r="BO217" s="19"/>
      <c r="BP217" s="19"/>
      <c r="BQ217" s="19"/>
      <c r="BR217" s="19"/>
      <c r="BS217" s="19"/>
      <c r="BT217" s="19"/>
      <c r="BU217" s="19"/>
      <c r="BV217" s="19"/>
      <c r="BW217" s="19"/>
      <c r="BX217" s="19"/>
      <c r="BY217" s="19"/>
      <c r="BZ217" s="19"/>
      <c r="CA217" s="19"/>
      <c r="CB217" s="19"/>
      <c r="CC217" s="19"/>
      <c r="CD217" s="19"/>
      <c r="CE217" s="19"/>
      <c r="CF217" s="19"/>
      <c r="CG217" s="19"/>
      <c r="CH217" s="19"/>
      <c r="CI217" s="19"/>
      <c r="CJ217" s="19"/>
      <c r="CK217" s="19"/>
      <c r="CL217" s="19"/>
      <c r="CM217" s="19"/>
      <c r="CN217" s="19"/>
      <c r="CO217" s="19"/>
      <c r="CP217" s="19"/>
      <c r="CQ217" s="19"/>
      <c r="CR217" s="19"/>
      <c r="CS217" s="19"/>
      <c r="CT217" s="19"/>
      <c r="CU217" s="19"/>
      <c r="CV217" s="19"/>
      <c r="CW217" s="19"/>
      <c r="CX217" s="19"/>
      <c r="CY217" s="19"/>
      <c r="CZ217" s="19"/>
      <c r="DA217" s="19"/>
      <c r="DB217" s="19"/>
      <c r="DC217" s="19"/>
      <c r="DD217" s="19"/>
      <c r="DE217" s="19"/>
      <c r="DF217" s="19"/>
      <c r="DG217" s="19"/>
      <c r="DH217" s="19"/>
      <c r="DI217" s="19"/>
      <c r="DJ217" s="19"/>
      <c r="DK217" s="19"/>
      <c r="DL217" s="19"/>
      <c r="DM217" s="19"/>
      <c r="DN217" s="19"/>
      <c r="DO217" s="19"/>
      <c r="DP217" s="19"/>
      <c r="DQ217" s="19"/>
      <c r="DR217" s="19"/>
      <c r="DS217" s="19"/>
      <c r="DT217" s="19"/>
      <c r="DU217" s="19"/>
      <c r="DV217" s="19"/>
      <c r="DW217" s="19"/>
      <c r="DX217" s="19"/>
      <c r="DY217" s="19"/>
      <c r="DZ217" s="19"/>
      <c r="EA217" s="19"/>
      <c r="EB217" s="19"/>
      <c r="EC217" s="19"/>
      <c r="ED217" s="19"/>
      <c r="EE217" s="19"/>
      <c r="EF217" s="19"/>
      <c r="EG217" s="19"/>
      <c r="EH217" s="19"/>
      <c r="EI217" s="19"/>
      <c r="EJ217" s="19"/>
      <c r="EK217" s="19"/>
      <c r="EL217" s="19"/>
      <c r="EM217" s="19"/>
      <c r="EN217" s="19"/>
      <c r="EO217" s="19"/>
      <c r="EP217" s="19"/>
      <c r="EQ217" s="19"/>
      <c r="ER217" s="19"/>
      <c r="ES217" s="19"/>
      <c r="ET217" s="19"/>
      <c r="EU217" s="19"/>
      <c r="EV217" s="19"/>
      <c r="EW217" s="19"/>
      <c r="EX217" s="19"/>
      <c r="EY217" s="19"/>
      <c r="EZ217" s="19"/>
      <c r="FA217" s="19"/>
      <c r="FB217" s="19"/>
      <c r="FC217" s="19"/>
      <c r="FD217" s="19"/>
      <c r="FE217" s="19"/>
      <c r="FF217" s="19"/>
      <c r="FG217" s="19"/>
      <c r="FH217" s="19"/>
      <c r="FI217" s="19"/>
      <c r="FJ217" s="19"/>
      <c r="FK217" s="19"/>
      <c r="FL217" s="19"/>
      <c r="FM217" s="19"/>
      <c r="FN217" s="19"/>
      <c r="FO217" s="19"/>
      <c r="FP217" s="19"/>
      <c r="FQ217" s="19"/>
      <c r="FR217" s="19"/>
      <c r="FS217" s="19"/>
      <c r="FT217" s="19"/>
      <c r="FU217" s="19"/>
      <c r="FV217" s="19"/>
      <c r="FW217" s="19"/>
      <c r="FX217" s="19"/>
      <c r="FY217" s="19"/>
      <c r="FZ217" s="19"/>
      <c r="GA217" s="19"/>
      <c r="GB217" s="19"/>
      <c r="GC217" s="19"/>
      <c r="GD217" s="19"/>
      <c r="GE217" s="19"/>
      <c r="GF217" s="19"/>
      <c r="GG217" s="19"/>
      <c r="GH217" s="19"/>
      <c r="GI217" s="19"/>
      <c r="GJ217" s="19"/>
      <c r="GK217" s="19"/>
      <c r="GL217" s="19"/>
      <c r="GM217" s="19"/>
      <c r="GN217" s="19"/>
      <c r="GO217" s="19"/>
      <c r="GP217" s="19"/>
      <c r="GQ217" s="19"/>
      <c r="GR217" s="19"/>
      <c r="GS217" s="19"/>
      <c r="GT217" s="19"/>
      <c r="GU217" s="19"/>
      <c r="GV217" s="19"/>
      <c r="GW217" s="19"/>
      <c r="GX217" s="19"/>
      <c r="GY217" s="19"/>
      <c r="GZ217" s="19"/>
      <c r="HA217" s="19"/>
      <c r="HB217" s="19"/>
    </row>
    <row r="218" spans="1:210" x14ac:dyDescent="0.25">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c r="BE218" s="19"/>
      <c r="BF218" s="19"/>
      <c r="BG218" s="19"/>
      <c r="BH218" s="19"/>
      <c r="BI218" s="19"/>
      <c r="BJ218" s="19"/>
      <c r="BK218" s="19"/>
      <c r="BL218" s="19"/>
      <c r="BM218" s="19"/>
      <c r="BN218" s="19"/>
      <c r="BO218" s="19"/>
      <c r="BP218" s="19"/>
      <c r="BQ218" s="19"/>
      <c r="BR218" s="19"/>
      <c r="BS218" s="19"/>
      <c r="BT218" s="19"/>
      <c r="BU218" s="19"/>
      <c r="BV218" s="19"/>
      <c r="BW218" s="19"/>
      <c r="BX218" s="19"/>
      <c r="BY218" s="19"/>
      <c r="BZ218" s="19"/>
      <c r="CA218" s="19"/>
      <c r="CB218" s="19"/>
      <c r="CC218" s="19"/>
      <c r="CD218" s="19"/>
      <c r="CE218" s="19"/>
      <c r="CF218" s="19"/>
      <c r="CG218" s="19"/>
      <c r="CH218" s="19"/>
      <c r="CI218" s="19"/>
      <c r="CJ218" s="19"/>
      <c r="CK218" s="19"/>
      <c r="CL218" s="19"/>
      <c r="CM218" s="19"/>
      <c r="CN218" s="19"/>
      <c r="CO218" s="19"/>
      <c r="CP218" s="19"/>
      <c r="CQ218" s="19"/>
      <c r="CR218" s="19"/>
      <c r="CS218" s="19"/>
      <c r="CT218" s="19"/>
      <c r="CU218" s="19"/>
      <c r="CV218" s="19"/>
      <c r="CW218" s="19"/>
      <c r="CX218" s="19"/>
      <c r="CY218" s="19"/>
      <c r="CZ218" s="19"/>
      <c r="DA218" s="19"/>
      <c r="DB218" s="19"/>
      <c r="DC218" s="19"/>
      <c r="DD218" s="19"/>
      <c r="DE218" s="19"/>
      <c r="DF218" s="19"/>
      <c r="DG218" s="19"/>
      <c r="DH218" s="19"/>
      <c r="DI218" s="19"/>
      <c r="DJ218" s="19"/>
      <c r="DK218" s="19"/>
      <c r="DL218" s="19"/>
      <c r="DM218" s="19"/>
      <c r="DN218" s="19"/>
      <c r="DO218" s="19"/>
      <c r="DP218" s="19"/>
      <c r="DQ218" s="19"/>
      <c r="DR218" s="19"/>
      <c r="DS218" s="19"/>
      <c r="DT218" s="19"/>
      <c r="DU218" s="19"/>
      <c r="DV218" s="19"/>
      <c r="DW218" s="19"/>
      <c r="DX218" s="19"/>
      <c r="DY218" s="19"/>
      <c r="DZ218" s="19"/>
      <c r="EA218" s="19"/>
      <c r="EB218" s="19"/>
      <c r="EC218" s="19"/>
      <c r="ED218" s="19"/>
      <c r="EE218" s="19"/>
      <c r="EF218" s="19"/>
      <c r="EG218" s="19"/>
      <c r="EH218" s="19"/>
      <c r="EI218" s="19"/>
      <c r="EJ218" s="19"/>
      <c r="EK218" s="19"/>
      <c r="EL218" s="19"/>
      <c r="EM218" s="19"/>
      <c r="EN218" s="19"/>
      <c r="EO218" s="19"/>
      <c r="EP218" s="19"/>
      <c r="EQ218" s="19"/>
      <c r="ER218" s="19"/>
      <c r="ES218" s="19"/>
      <c r="ET218" s="19"/>
      <c r="EU218" s="19"/>
      <c r="EV218" s="19"/>
      <c r="EW218" s="19"/>
      <c r="EX218" s="19"/>
      <c r="EY218" s="19"/>
      <c r="EZ218" s="19"/>
      <c r="FA218" s="19"/>
      <c r="FB218" s="19"/>
      <c r="FC218" s="19"/>
      <c r="FD218" s="19"/>
      <c r="FE218" s="19"/>
      <c r="FF218" s="19"/>
      <c r="FG218" s="19"/>
      <c r="FH218" s="19"/>
      <c r="FI218" s="19"/>
      <c r="FJ218" s="19"/>
      <c r="FK218" s="19"/>
      <c r="FL218" s="19"/>
      <c r="FM218" s="19"/>
      <c r="FN218" s="19"/>
      <c r="FO218" s="19"/>
      <c r="FP218" s="19"/>
      <c r="FQ218" s="19"/>
      <c r="FR218" s="19"/>
      <c r="FS218" s="19"/>
      <c r="FT218" s="19"/>
      <c r="FU218" s="19"/>
      <c r="FV218" s="19"/>
      <c r="FW218" s="19"/>
      <c r="FX218" s="19"/>
      <c r="FY218" s="19"/>
      <c r="FZ218" s="19"/>
      <c r="GA218" s="19"/>
      <c r="GB218" s="19"/>
      <c r="GC218" s="19"/>
      <c r="GD218" s="19"/>
      <c r="GE218" s="19"/>
      <c r="GF218" s="19"/>
      <c r="GG218" s="19"/>
      <c r="GH218" s="19"/>
      <c r="GI218" s="19"/>
      <c r="GJ218" s="19"/>
      <c r="GK218" s="19"/>
      <c r="GL218" s="19"/>
      <c r="GM218" s="19"/>
      <c r="GN218" s="19"/>
      <c r="GO218" s="19"/>
      <c r="GP218" s="19"/>
      <c r="GQ218" s="19"/>
      <c r="GR218" s="19"/>
      <c r="GS218" s="19"/>
      <c r="GT218" s="19"/>
      <c r="GU218" s="19"/>
      <c r="GV218" s="19"/>
      <c r="GW218" s="19"/>
      <c r="GX218" s="19"/>
      <c r="GY218" s="19"/>
      <c r="GZ218" s="19"/>
      <c r="HA218" s="19"/>
      <c r="HB218" s="19"/>
    </row>
    <row r="219" spans="1:210" x14ac:dyDescent="0.25">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c r="BE219" s="19"/>
      <c r="BF219" s="19"/>
      <c r="BG219" s="19"/>
      <c r="BH219" s="19"/>
      <c r="BI219" s="19"/>
      <c r="BJ219" s="19"/>
      <c r="BK219" s="19"/>
      <c r="BL219" s="19"/>
      <c r="BM219" s="19"/>
      <c r="BN219" s="19"/>
      <c r="BO219" s="19"/>
      <c r="BP219" s="19"/>
      <c r="BQ219" s="19"/>
      <c r="BR219" s="19"/>
      <c r="BS219" s="19"/>
      <c r="BT219" s="19"/>
      <c r="BU219" s="19"/>
      <c r="BV219" s="19"/>
      <c r="BW219" s="19"/>
      <c r="BX219" s="19"/>
      <c r="BY219" s="19"/>
      <c r="BZ219" s="19"/>
      <c r="CA219" s="19"/>
      <c r="CB219" s="19"/>
      <c r="CC219" s="19"/>
      <c r="CD219" s="19"/>
      <c r="CE219" s="19"/>
      <c r="CF219" s="19"/>
      <c r="CG219" s="19"/>
      <c r="CH219" s="19"/>
      <c r="CI219" s="19"/>
      <c r="CJ219" s="19"/>
      <c r="CK219" s="19"/>
      <c r="CL219" s="19"/>
      <c r="CM219" s="19"/>
      <c r="CN219" s="19"/>
      <c r="CO219" s="19"/>
      <c r="CP219" s="19"/>
      <c r="CQ219" s="19"/>
      <c r="CR219" s="19"/>
      <c r="CS219" s="19"/>
      <c r="CT219" s="19"/>
      <c r="CU219" s="19"/>
      <c r="CV219" s="19"/>
      <c r="CW219" s="19"/>
      <c r="CX219" s="19"/>
      <c r="CY219" s="19"/>
      <c r="CZ219" s="19"/>
      <c r="DA219" s="19"/>
      <c r="DB219" s="19"/>
      <c r="DC219" s="19"/>
      <c r="DD219" s="19"/>
      <c r="DE219" s="19"/>
      <c r="DF219" s="19"/>
      <c r="DG219" s="19"/>
      <c r="DH219" s="19"/>
      <c r="DI219" s="19"/>
      <c r="DJ219" s="19"/>
      <c r="DK219" s="19"/>
      <c r="DL219" s="19"/>
      <c r="DM219" s="19"/>
      <c r="DN219" s="19"/>
      <c r="DO219" s="19"/>
      <c r="DP219" s="19"/>
      <c r="DQ219" s="19"/>
      <c r="DR219" s="19"/>
      <c r="DS219" s="19"/>
      <c r="DT219" s="19"/>
      <c r="DU219" s="19"/>
      <c r="DV219" s="19"/>
      <c r="DW219" s="19"/>
      <c r="DX219" s="19"/>
      <c r="DY219" s="19"/>
      <c r="DZ219" s="19"/>
      <c r="EA219" s="19"/>
      <c r="EB219" s="19"/>
      <c r="EC219" s="19"/>
      <c r="ED219" s="19"/>
      <c r="EE219" s="19"/>
      <c r="EF219" s="19"/>
      <c r="EG219" s="19"/>
      <c r="EH219" s="19"/>
      <c r="EI219" s="19"/>
      <c r="EJ219" s="19"/>
      <c r="EK219" s="19"/>
      <c r="EL219" s="19"/>
      <c r="EM219" s="19"/>
      <c r="EN219" s="19"/>
      <c r="EO219" s="19"/>
      <c r="EP219" s="19"/>
      <c r="EQ219" s="19"/>
      <c r="ER219" s="19"/>
      <c r="ES219" s="19"/>
      <c r="ET219" s="19"/>
      <c r="EU219" s="19"/>
      <c r="EV219" s="19"/>
      <c r="EW219" s="19"/>
      <c r="EX219" s="19"/>
      <c r="EY219" s="19"/>
      <c r="EZ219" s="19"/>
      <c r="FA219" s="19"/>
      <c r="FB219" s="19"/>
      <c r="FC219" s="19"/>
      <c r="FD219" s="19"/>
      <c r="FE219" s="19"/>
      <c r="FF219" s="19"/>
      <c r="FG219" s="19"/>
      <c r="FH219" s="19"/>
      <c r="FI219" s="19"/>
      <c r="FJ219" s="19"/>
      <c r="FK219" s="19"/>
      <c r="FL219" s="19"/>
      <c r="FM219" s="19"/>
      <c r="FN219" s="19"/>
      <c r="FO219" s="19"/>
      <c r="FP219" s="19"/>
      <c r="FQ219" s="19"/>
      <c r="FR219" s="19"/>
      <c r="FS219" s="19"/>
      <c r="FT219" s="19"/>
      <c r="FU219" s="19"/>
      <c r="FV219" s="19"/>
      <c r="FW219" s="19"/>
      <c r="FX219" s="19"/>
      <c r="FY219" s="19"/>
      <c r="FZ219" s="19"/>
      <c r="GA219" s="19"/>
      <c r="GB219" s="19"/>
      <c r="GC219" s="19"/>
      <c r="GD219" s="19"/>
      <c r="GE219" s="19"/>
      <c r="GF219" s="19"/>
      <c r="GG219" s="19"/>
      <c r="GH219" s="19"/>
      <c r="GI219" s="19"/>
      <c r="GJ219" s="19"/>
      <c r="GK219" s="19"/>
      <c r="GL219" s="19"/>
      <c r="GM219" s="19"/>
      <c r="GN219" s="19"/>
      <c r="GO219" s="19"/>
      <c r="GP219" s="19"/>
      <c r="GQ219" s="19"/>
      <c r="GR219" s="19"/>
      <c r="GS219" s="19"/>
      <c r="GT219" s="19"/>
      <c r="GU219" s="19"/>
      <c r="GV219" s="19"/>
      <c r="GW219" s="19"/>
      <c r="GX219" s="19"/>
      <c r="GY219" s="19"/>
      <c r="GZ219" s="19"/>
      <c r="HA219" s="19"/>
      <c r="HB219" s="19"/>
    </row>
    <row r="220" spans="1:210" x14ac:dyDescent="0.25">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c r="BE220" s="19"/>
      <c r="BF220" s="19"/>
      <c r="BG220" s="19"/>
      <c r="BH220" s="19"/>
      <c r="BI220" s="19"/>
      <c r="BJ220" s="19"/>
      <c r="BK220" s="19"/>
      <c r="BL220" s="19"/>
      <c r="BM220" s="19"/>
      <c r="BN220" s="19"/>
      <c r="BO220" s="19"/>
      <c r="BP220" s="19"/>
      <c r="BQ220" s="19"/>
      <c r="BR220" s="19"/>
      <c r="BS220" s="19"/>
      <c r="BT220" s="19"/>
      <c r="BU220" s="19"/>
      <c r="BV220" s="19"/>
      <c r="BW220" s="19"/>
      <c r="BX220" s="19"/>
      <c r="BY220" s="19"/>
      <c r="BZ220" s="19"/>
      <c r="CA220" s="19"/>
      <c r="CB220" s="19"/>
      <c r="CC220" s="19"/>
      <c r="CD220" s="19"/>
      <c r="CE220" s="19"/>
      <c r="CF220" s="19"/>
      <c r="CG220" s="19"/>
      <c r="CH220" s="19"/>
      <c r="CI220" s="19"/>
      <c r="CJ220" s="19"/>
      <c r="CK220" s="19"/>
      <c r="CL220" s="19"/>
      <c r="CM220" s="19"/>
      <c r="CN220" s="19"/>
      <c r="CO220" s="19"/>
      <c r="CP220" s="19"/>
      <c r="CQ220" s="19"/>
      <c r="CR220" s="19"/>
      <c r="CS220" s="19"/>
      <c r="CT220" s="19"/>
      <c r="CU220" s="19"/>
      <c r="CV220" s="19"/>
      <c r="CW220" s="19"/>
      <c r="CX220" s="19"/>
      <c r="CY220" s="19"/>
      <c r="CZ220" s="19"/>
      <c r="DA220" s="19"/>
      <c r="DB220" s="19"/>
      <c r="DC220" s="19"/>
      <c r="DD220" s="19"/>
      <c r="DE220" s="19"/>
      <c r="DF220" s="19"/>
      <c r="DG220" s="19"/>
      <c r="DH220" s="19"/>
      <c r="DI220" s="19"/>
      <c r="DJ220" s="19"/>
      <c r="DK220" s="19"/>
      <c r="DL220" s="19"/>
      <c r="DM220" s="19"/>
      <c r="DN220" s="19"/>
      <c r="DO220" s="19"/>
      <c r="DP220" s="19"/>
      <c r="DQ220" s="19"/>
      <c r="DR220" s="19"/>
      <c r="DS220" s="19"/>
      <c r="DT220" s="19"/>
      <c r="DU220" s="19"/>
      <c r="DV220" s="19"/>
      <c r="DW220" s="19"/>
      <c r="DX220" s="19"/>
      <c r="DY220" s="19"/>
      <c r="DZ220" s="19"/>
      <c r="EA220" s="19"/>
      <c r="EB220" s="19"/>
      <c r="EC220" s="19"/>
      <c r="ED220" s="19"/>
      <c r="EE220" s="19"/>
      <c r="EF220" s="19"/>
      <c r="EG220" s="19"/>
      <c r="EH220" s="19"/>
      <c r="EI220" s="19"/>
      <c r="EJ220" s="19"/>
      <c r="EK220" s="19"/>
      <c r="EL220" s="19"/>
      <c r="EM220" s="19"/>
      <c r="EN220" s="19"/>
      <c r="EO220" s="19"/>
      <c r="EP220" s="19"/>
      <c r="EQ220" s="19"/>
      <c r="ER220" s="19"/>
      <c r="ES220" s="19"/>
      <c r="ET220" s="19"/>
      <c r="EU220" s="19"/>
      <c r="EV220" s="19"/>
      <c r="EW220" s="19"/>
      <c r="EX220" s="19"/>
      <c r="EY220" s="19"/>
      <c r="EZ220" s="19"/>
      <c r="FA220" s="19"/>
      <c r="FB220" s="19"/>
      <c r="FC220" s="19"/>
      <c r="FD220" s="19"/>
      <c r="FE220" s="19"/>
      <c r="FF220" s="19"/>
      <c r="FG220" s="19"/>
      <c r="FH220" s="19"/>
      <c r="FI220" s="19"/>
      <c r="FJ220" s="19"/>
      <c r="FK220" s="19"/>
      <c r="FL220" s="19"/>
      <c r="FM220" s="19"/>
      <c r="FN220" s="19"/>
      <c r="FO220" s="19"/>
      <c r="FP220" s="19"/>
      <c r="FQ220" s="19"/>
      <c r="FR220" s="19"/>
      <c r="FS220" s="19"/>
      <c r="FT220" s="19"/>
      <c r="FU220" s="19"/>
      <c r="FV220" s="19"/>
      <c r="FW220" s="19"/>
      <c r="FX220" s="19"/>
      <c r="FY220" s="19"/>
      <c r="FZ220" s="19"/>
      <c r="GA220" s="19"/>
      <c r="GB220" s="19"/>
      <c r="GC220" s="19"/>
      <c r="GD220" s="19"/>
      <c r="GE220" s="19"/>
      <c r="GF220" s="19"/>
      <c r="GG220" s="19"/>
      <c r="GH220" s="19"/>
      <c r="GI220" s="19"/>
      <c r="GJ220" s="19"/>
      <c r="GK220" s="19"/>
      <c r="GL220" s="19"/>
      <c r="GM220" s="19"/>
      <c r="GN220" s="19"/>
      <c r="GO220" s="19"/>
      <c r="GP220" s="19"/>
      <c r="GQ220" s="19"/>
      <c r="GR220" s="19"/>
      <c r="GS220" s="19"/>
      <c r="GT220" s="19"/>
      <c r="GU220" s="19"/>
      <c r="GV220" s="19"/>
      <c r="GW220" s="19"/>
      <c r="GX220" s="19"/>
      <c r="GY220" s="19"/>
      <c r="GZ220" s="19"/>
      <c r="HA220" s="19"/>
      <c r="HB220" s="19"/>
    </row>
    <row r="221" spans="1:210" x14ac:dyDescent="0.25">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c r="BE221" s="19"/>
      <c r="BF221" s="19"/>
      <c r="BG221" s="19"/>
      <c r="BH221" s="19"/>
      <c r="BI221" s="19"/>
      <c r="BJ221" s="19"/>
      <c r="BK221" s="19"/>
      <c r="BL221" s="19"/>
      <c r="BM221" s="19"/>
      <c r="BN221" s="19"/>
      <c r="BO221" s="19"/>
      <c r="BP221" s="19"/>
      <c r="BQ221" s="19"/>
      <c r="BR221" s="19"/>
      <c r="BS221" s="19"/>
      <c r="BT221" s="19"/>
      <c r="BU221" s="19"/>
      <c r="BV221" s="19"/>
      <c r="BW221" s="19"/>
      <c r="BX221" s="19"/>
      <c r="BY221" s="19"/>
      <c r="BZ221" s="19"/>
      <c r="CA221" s="19"/>
      <c r="CB221" s="19"/>
      <c r="CC221" s="19"/>
      <c r="CD221" s="19"/>
      <c r="CE221" s="19"/>
      <c r="CF221" s="19"/>
      <c r="CG221" s="19"/>
      <c r="CH221" s="19"/>
      <c r="CI221" s="19"/>
      <c r="CJ221" s="19"/>
      <c r="CK221" s="19"/>
      <c r="CL221" s="19"/>
      <c r="CM221" s="19"/>
      <c r="CN221" s="19"/>
      <c r="CO221" s="19"/>
      <c r="CP221" s="19"/>
      <c r="CQ221" s="19"/>
      <c r="CR221" s="19"/>
      <c r="CS221" s="19"/>
      <c r="CT221" s="19"/>
      <c r="CU221" s="19"/>
      <c r="CV221" s="19"/>
      <c r="CW221" s="19"/>
      <c r="CX221" s="19"/>
      <c r="CY221" s="19"/>
      <c r="CZ221" s="19"/>
      <c r="DA221" s="19"/>
      <c r="DB221" s="19"/>
      <c r="DC221" s="19"/>
      <c r="DD221" s="19"/>
      <c r="DE221" s="19"/>
      <c r="DF221" s="19"/>
      <c r="DG221" s="19"/>
      <c r="DH221" s="19"/>
      <c r="DI221" s="19"/>
      <c r="DJ221" s="19"/>
      <c r="DK221" s="19"/>
      <c r="DL221" s="19"/>
      <c r="DM221" s="19"/>
      <c r="DN221" s="19"/>
      <c r="DO221" s="19"/>
      <c r="DP221" s="19"/>
      <c r="DQ221" s="19"/>
      <c r="DR221" s="19"/>
      <c r="DS221" s="19"/>
      <c r="DT221" s="19"/>
      <c r="DU221" s="19"/>
      <c r="DV221" s="19"/>
      <c r="DW221" s="19"/>
      <c r="DX221" s="19"/>
      <c r="DY221" s="19"/>
      <c r="DZ221" s="19"/>
      <c r="EA221" s="19"/>
      <c r="EB221" s="19"/>
      <c r="EC221" s="19"/>
      <c r="ED221" s="19"/>
      <c r="EE221" s="19"/>
      <c r="EF221" s="19"/>
      <c r="EG221" s="19"/>
      <c r="EH221" s="19"/>
      <c r="EI221" s="19"/>
      <c r="EJ221" s="19"/>
      <c r="EK221" s="19"/>
      <c r="EL221" s="19"/>
      <c r="EM221" s="19"/>
      <c r="EN221" s="19"/>
      <c r="EO221" s="19"/>
      <c r="EP221" s="19"/>
      <c r="EQ221" s="19"/>
      <c r="ER221" s="19"/>
      <c r="ES221" s="19"/>
      <c r="ET221" s="19"/>
      <c r="EU221" s="19"/>
      <c r="EV221" s="19"/>
      <c r="EW221" s="19"/>
      <c r="EX221" s="19"/>
      <c r="EY221" s="19"/>
      <c r="EZ221" s="19"/>
      <c r="FA221" s="19"/>
      <c r="FB221" s="19"/>
      <c r="FC221" s="19"/>
      <c r="FD221" s="19"/>
      <c r="FE221" s="19"/>
      <c r="FF221" s="19"/>
      <c r="FG221" s="19"/>
      <c r="FH221" s="19"/>
      <c r="FI221" s="19"/>
      <c r="FJ221" s="19"/>
      <c r="FK221" s="19"/>
      <c r="FL221" s="19"/>
      <c r="FM221" s="19"/>
      <c r="FN221" s="19"/>
      <c r="FO221" s="19"/>
      <c r="FP221" s="19"/>
      <c r="FQ221" s="19"/>
      <c r="FR221" s="19"/>
      <c r="FS221" s="19"/>
      <c r="FT221" s="19"/>
      <c r="FU221" s="19"/>
      <c r="FV221" s="19"/>
      <c r="FW221" s="19"/>
      <c r="FX221" s="19"/>
      <c r="FY221" s="19"/>
      <c r="FZ221" s="19"/>
      <c r="GA221" s="19"/>
      <c r="GB221" s="19"/>
      <c r="GC221" s="19"/>
      <c r="GD221" s="19"/>
      <c r="GE221" s="19"/>
      <c r="GF221" s="19"/>
      <c r="GG221" s="19"/>
      <c r="GH221" s="19"/>
      <c r="GI221" s="19"/>
      <c r="GJ221" s="19"/>
      <c r="GK221" s="19"/>
      <c r="GL221" s="19"/>
      <c r="GM221" s="19"/>
      <c r="GN221" s="19"/>
      <c r="GO221" s="19"/>
      <c r="GP221" s="19"/>
      <c r="GQ221" s="19"/>
      <c r="GR221" s="19"/>
      <c r="GS221" s="19"/>
      <c r="GT221" s="19"/>
      <c r="GU221" s="19"/>
      <c r="GV221" s="19"/>
      <c r="GW221" s="19"/>
      <c r="GX221" s="19"/>
      <c r="GY221" s="19"/>
      <c r="GZ221" s="19"/>
      <c r="HA221" s="19"/>
      <c r="HB221" s="19"/>
    </row>
    <row r="222" spans="1:210" x14ac:dyDescent="0.25">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c r="BE222" s="19"/>
      <c r="BF222" s="19"/>
      <c r="BG222" s="19"/>
      <c r="BH222" s="19"/>
      <c r="BI222" s="19"/>
      <c r="BJ222" s="19"/>
      <c r="BK222" s="19"/>
      <c r="BL222" s="19"/>
      <c r="BM222" s="19"/>
      <c r="BN222" s="19"/>
      <c r="BO222" s="19"/>
      <c r="BP222" s="19"/>
      <c r="BQ222" s="19"/>
      <c r="BR222" s="19"/>
      <c r="BS222" s="19"/>
      <c r="BT222" s="19"/>
      <c r="BU222" s="19"/>
      <c r="BV222" s="19"/>
      <c r="BW222" s="19"/>
      <c r="BX222" s="19"/>
      <c r="BY222" s="19"/>
      <c r="BZ222" s="19"/>
      <c r="CA222" s="19"/>
      <c r="CB222" s="19"/>
      <c r="CC222" s="19"/>
      <c r="CD222" s="19"/>
      <c r="CE222" s="19"/>
      <c r="CF222" s="19"/>
      <c r="CG222" s="19"/>
      <c r="CH222" s="19"/>
      <c r="CI222" s="19"/>
      <c r="CJ222" s="19"/>
      <c r="CK222" s="19"/>
      <c r="CL222" s="19"/>
      <c r="CM222" s="19"/>
      <c r="CN222" s="19"/>
      <c r="CO222" s="19"/>
      <c r="CP222" s="19"/>
      <c r="CQ222" s="19"/>
      <c r="CR222" s="19"/>
      <c r="CS222" s="19"/>
      <c r="CT222" s="19"/>
      <c r="CU222" s="19"/>
      <c r="CV222" s="19"/>
      <c r="CW222" s="19"/>
      <c r="CX222" s="19"/>
      <c r="CY222" s="19"/>
      <c r="CZ222" s="19"/>
      <c r="DA222" s="19"/>
      <c r="DB222" s="19"/>
      <c r="DC222" s="19"/>
      <c r="DD222" s="19"/>
      <c r="DE222" s="19"/>
      <c r="DF222" s="19"/>
      <c r="DG222" s="19"/>
      <c r="DH222" s="19"/>
      <c r="DI222" s="19"/>
      <c r="DJ222" s="19"/>
      <c r="DK222" s="19"/>
      <c r="DL222" s="19"/>
      <c r="DM222" s="19"/>
      <c r="DN222" s="19"/>
      <c r="DO222" s="19"/>
      <c r="DP222" s="19"/>
      <c r="DQ222" s="19"/>
      <c r="DR222" s="19"/>
      <c r="DS222" s="19"/>
      <c r="DT222" s="19"/>
      <c r="DU222" s="19"/>
      <c r="DV222" s="19"/>
      <c r="DW222" s="19"/>
      <c r="DX222" s="19"/>
      <c r="DY222" s="19"/>
      <c r="DZ222" s="19"/>
      <c r="EA222" s="19"/>
      <c r="EB222" s="19"/>
      <c r="EC222" s="19"/>
      <c r="ED222" s="19"/>
      <c r="EE222" s="19"/>
      <c r="EF222" s="19"/>
      <c r="EG222" s="19"/>
      <c r="EH222" s="19"/>
      <c r="EI222" s="19"/>
      <c r="EJ222" s="19"/>
      <c r="EK222" s="19"/>
      <c r="EL222" s="19"/>
      <c r="EM222" s="19"/>
      <c r="EN222" s="19"/>
      <c r="EO222" s="19"/>
      <c r="EP222" s="19"/>
      <c r="EQ222" s="19"/>
      <c r="ER222" s="19"/>
      <c r="ES222" s="19"/>
      <c r="ET222" s="19"/>
      <c r="EU222" s="19"/>
      <c r="EV222" s="19"/>
      <c r="EW222" s="19"/>
      <c r="EX222" s="19"/>
      <c r="EY222" s="19"/>
      <c r="EZ222" s="19"/>
      <c r="FA222" s="19"/>
      <c r="FB222" s="19"/>
      <c r="FC222" s="19"/>
      <c r="FD222" s="19"/>
      <c r="FE222" s="19"/>
      <c r="FF222" s="19"/>
      <c r="FG222" s="19"/>
      <c r="FH222" s="19"/>
      <c r="FI222" s="19"/>
      <c r="FJ222" s="19"/>
      <c r="FK222" s="19"/>
      <c r="FL222" s="19"/>
      <c r="FM222" s="19"/>
      <c r="FN222" s="19"/>
      <c r="FO222" s="19"/>
      <c r="FP222" s="19"/>
      <c r="FQ222" s="19"/>
      <c r="FR222" s="19"/>
      <c r="FS222" s="19"/>
      <c r="FT222" s="19"/>
      <c r="FU222" s="19"/>
      <c r="FV222" s="19"/>
      <c r="FW222" s="19"/>
      <c r="FX222" s="19"/>
      <c r="FY222" s="19"/>
      <c r="FZ222" s="19"/>
      <c r="GA222" s="19"/>
      <c r="GB222" s="19"/>
      <c r="GC222" s="19"/>
      <c r="GD222" s="19"/>
      <c r="GE222" s="19"/>
      <c r="GF222" s="19"/>
      <c r="GG222" s="19"/>
      <c r="GH222" s="19"/>
      <c r="GI222" s="19"/>
      <c r="GJ222" s="19"/>
      <c r="GK222" s="19"/>
      <c r="GL222" s="19"/>
      <c r="GM222" s="19"/>
      <c r="GN222" s="19"/>
      <c r="GO222" s="19"/>
      <c r="GP222" s="19"/>
      <c r="GQ222" s="19"/>
      <c r="GR222" s="19"/>
      <c r="GS222" s="19"/>
      <c r="GT222" s="19"/>
      <c r="GU222" s="19"/>
      <c r="GV222" s="19"/>
      <c r="GW222" s="19"/>
      <c r="GX222" s="19"/>
      <c r="GY222" s="19"/>
      <c r="GZ222" s="19"/>
      <c r="HA222" s="19"/>
      <c r="HB222" s="19"/>
    </row>
    <row r="223" spans="1:210" x14ac:dyDescent="0.25">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c r="BE223" s="19"/>
      <c r="BF223" s="19"/>
      <c r="BG223" s="19"/>
      <c r="BH223" s="19"/>
      <c r="BI223" s="19"/>
      <c r="BJ223" s="19"/>
      <c r="BK223" s="19"/>
      <c r="BL223" s="19"/>
      <c r="BM223" s="19"/>
      <c r="BN223" s="19"/>
      <c r="BO223" s="19"/>
      <c r="BP223" s="19"/>
      <c r="BQ223" s="19"/>
      <c r="BR223" s="19"/>
      <c r="BS223" s="19"/>
      <c r="BT223" s="19"/>
      <c r="BU223" s="19"/>
      <c r="BV223" s="19"/>
      <c r="BW223" s="19"/>
      <c r="BX223" s="19"/>
      <c r="BY223" s="19"/>
      <c r="BZ223" s="19"/>
      <c r="CA223" s="19"/>
      <c r="CB223" s="19"/>
      <c r="CC223" s="19"/>
      <c r="CD223" s="19"/>
      <c r="CE223" s="19"/>
      <c r="CF223" s="19"/>
      <c r="CG223" s="19"/>
      <c r="CH223" s="19"/>
      <c r="CI223" s="19"/>
      <c r="CJ223" s="19"/>
      <c r="CK223" s="19"/>
      <c r="CL223" s="19"/>
      <c r="CM223" s="19"/>
      <c r="CN223" s="19"/>
      <c r="CO223" s="19"/>
      <c r="CP223" s="19"/>
      <c r="CQ223" s="19"/>
      <c r="CR223" s="19"/>
      <c r="CS223" s="19"/>
      <c r="CT223" s="19"/>
      <c r="CU223" s="19"/>
      <c r="CV223" s="19"/>
      <c r="CW223" s="19"/>
      <c r="CX223" s="19"/>
      <c r="CY223" s="19"/>
      <c r="CZ223" s="19"/>
      <c r="DA223" s="19"/>
      <c r="DB223" s="19"/>
      <c r="DC223" s="19"/>
      <c r="DD223" s="19"/>
      <c r="DE223" s="19"/>
      <c r="DF223" s="19"/>
      <c r="DG223" s="19"/>
      <c r="DH223" s="19"/>
      <c r="DI223" s="19"/>
      <c r="DJ223" s="19"/>
      <c r="DK223" s="19"/>
      <c r="DL223" s="19"/>
      <c r="DM223" s="19"/>
      <c r="DN223" s="19"/>
      <c r="DO223" s="19"/>
      <c r="DP223" s="19"/>
      <c r="DQ223" s="19"/>
      <c r="DR223" s="19"/>
      <c r="DS223" s="19"/>
      <c r="DT223" s="19"/>
      <c r="DU223" s="19"/>
      <c r="DV223" s="19"/>
      <c r="DW223" s="19"/>
      <c r="DX223" s="19"/>
      <c r="DY223" s="19"/>
      <c r="DZ223" s="19"/>
      <c r="EA223" s="19"/>
      <c r="EB223" s="19"/>
      <c r="EC223" s="19"/>
      <c r="ED223" s="19"/>
      <c r="EE223" s="19"/>
      <c r="EF223" s="19"/>
      <c r="EG223" s="19"/>
      <c r="EH223" s="19"/>
      <c r="EI223" s="19"/>
      <c r="EJ223" s="19"/>
      <c r="EK223" s="19"/>
      <c r="EL223" s="19"/>
      <c r="EM223" s="19"/>
      <c r="EN223" s="19"/>
      <c r="EO223" s="19"/>
      <c r="EP223" s="19"/>
      <c r="EQ223" s="19"/>
      <c r="ER223" s="19"/>
      <c r="ES223" s="19"/>
      <c r="ET223" s="19"/>
      <c r="EU223" s="19"/>
      <c r="EV223" s="19"/>
      <c r="EW223" s="19"/>
      <c r="EX223" s="19"/>
      <c r="EY223" s="19"/>
      <c r="EZ223" s="19"/>
      <c r="FA223" s="19"/>
      <c r="FB223" s="19"/>
      <c r="FC223" s="19"/>
      <c r="FD223" s="19"/>
      <c r="FE223" s="19"/>
      <c r="FF223" s="19"/>
      <c r="FG223" s="19"/>
      <c r="FH223" s="19"/>
      <c r="FI223" s="19"/>
      <c r="FJ223" s="19"/>
      <c r="FK223" s="19"/>
      <c r="FL223" s="19"/>
      <c r="FM223" s="19"/>
      <c r="FN223" s="19"/>
      <c r="FO223" s="19"/>
      <c r="FP223" s="19"/>
      <c r="FQ223" s="19"/>
      <c r="FR223" s="19"/>
      <c r="FS223" s="19"/>
      <c r="FT223" s="19"/>
      <c r="FU223" s="19"/>
      <c r="FV223" s="19"/>
      <c r="FW223" s="19"/>
      <c r="FX223" s="19"/>
      <c r="FY223" s="19"/>
      <c r="FZ223" s="19"/>
      <c r="GA223" s="19"/>
      <c r="GB223" s="19"/>
      <c r="GC223" s="19"/>
      <c r="GD223" s="19"/>
      <c r="GE223" s="19"/>
      <c r="GF223" s="19"/>
      <c r="GG223" s="19"/>
      <c r="GH223" s="19"/>
      <c r="GI223" s="19"/>
      <c r="GJ223" s="19"/>
      <c r="GK223" s="19"/>
      <c r="GL223" s="19"/>
      <c r="GM223" s="19"/>
      <c r="GN223" s="19"/>
      <c r="GO223" s="19"/>
      <c r="GP223" s="19"/>
      <c r="GQ223" s="19"/>
      <c r="GR223" s="19"/>
      <c r="GS223" s="19"/>
      <c r="GT223" s="19"/>
      <c r="GU223" s="19"/>
      <c r="GV223" s="19"/>
      <c r="GW223" s="19"/>
      <c r="GX223" s="19"/>
      <c r="GY223" s="19"/>
      <c r="GZ223" s="19"/>
      <c r="HA223" s="19"/>
      <c r="HB223" s="19"/>
    </row>
    <row r="224" spans="1:210" x14ac:dyDescent="0.25">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c r="BE224" s="19"/>
      <c r="BF224" s="19"/>
      <c r="BG224" s="19"/>
      <c r="BH224" s="19"/>
      <c r="BI224" s="19"/>
      <c r="BJ224" s="19"/>
      <c r="BK224" s="19"/>
      <c r="BL224" s="19"/>
      <c r="BM224" s="19"/>
      <c r="BN224" s="19"/>
      <c r="BO224" s="19"/>
      <c r="BP224" s="19"/>
      <c r="BQ224" s="19"/>
      <c r="BR224" s="19"/>
      <c r="BS224" s="19"/>
      <c r="BT224" s="19"/>
      <c r="BU224" s="19"/>
      <c r="BV224" s="19"/>
      <c r="BW224" s="19"/>
      <c r="BX224" s="19"/>
      <c r="BY224" s="19"/>
      <c r="BZ224" s="19"/>
      <c r="CA224" s="19"/>
      <c r="CB224" s="19"/>
      <c r="CC224" s="19"/>
      <c r="CD224" s="19"/>
      <c r="CE224" s="19"/>
      <c r="CF224" s="19"/>
      <c r="CG224" s="19"/>
      <c r="CH224" s="19"/>
      <c r="CI224" s="19"/>
      <c r="CJ224" s="19"/>
      <c r="CK224" s="19"/>
      <c r="CL224" s="19"/>
      <c r="CM224" s="19"/>
      <c r="CN224" s="19"/>
      <c r="CO224" s="19"/>
      <c r="CP224" s="19"/>
      <c r="CQ224" s="19"/>
      <c r="CR224" s="19"/>
      <c r="CS224" s="19"/>
      <c r="CT224" s="19"/>
      <c r="CU224" s="19"/>
      <c r="CV224" s="19"/>
      <c r="CW224" s="19"/>
      <c r="CX224" s="19"/>
      <c r="CY224" s="19"/>
      <c r="CZ224" s="19"/>
      <c r="DA224" s="19"/>
      <c r="DB224" s="19"/>
      <c r="DC224" s="19"/>
      <c r="DD224" s="19"/>
      <c r="DE224" s="19"/>
      <c r="DF224" s="19"/>
      <c r="DG224" s="19"/>
      <c r="DH224" s="19"/>
      <c r="DI224" s="19"/>
      <c r="DJ224" s="19"/>
      <c r="DK224" s="19"/>
      <c r="DL224" s="19"/>
      <c r="DM224" s="19"/>
      <c r="DN224" s="19"/>
      <c r="DO224" s="19"/>
      <c r="DP224" s="19"/>
      <c r="DQ224" s="19"/>
      <c r="DR224" s="19"/>
      <c r="DS224" s="19"/>
      <c r="DT224" s="19"/>
      <c r="DU224" s="19"/>
      <c r="DV224" s="19"/>
      <c r="DW224" s="19"/>
      <c r="DX224" s="19"/>
      <c r="DY224" s="19"/>
      <c r="DZ224" s="19"/>
      <c r="EA224" s="19"/>
      <c r="EB224" s="19"/>
      <c r="EC224" s="19"/>
      <c r="ED224" s="19"/>
      <c r="EE224" s="19"/>
      <c r="EF224" s="19"/>
      <c r="EG224" s="19"/>
      <c r="EH224" s="19"/>
      <c r="EI224" s="19"/>
      <c r="EJ224" s="19"/>
      <c r="EK224" s="19"/>
      <c r="EL224" s="19"/>
      <c r="EM224" s="19"/>
      <c r="EN224" s="19"/>
      <c r="EO224" s="19"/>
      <c r="EP224" s="19"/>
      <c r="EQ224" s="19"/>
      <c r="ER224" s="19"/>
      <c r="ES224" s="19"/>
      <c r="ET224" s="19"/>
      <c r="EU224" s="19"/>
      <c r="EV224" s="19"/>
      <c r="EW224" s="19"/>
      <c r="EX224" s="19"/>
      <c r="EY224" s="19"/>
      <c r="EZ224" s="19"/>
      <c r="FA224" s="19"/>
      <c r="FB224" s="19"/>
      <c r="FC224" s="19"/>
      <c r="FD224" s="19"/>
      <c r="FE224" s="19"/>
      <c r="FF224" s="19"/>
      <c r="FG224" s="19"/>
      <c r="FH224" s="19"/>
      <c r="FI224" s="19"/>
      <c r="FJ224" s="19"/>
      <c r="FK224" s="19"/>
      <c r="FL224" s="19"/>
      <c r="FM224" s="19"/>
      <c r="FN224" s="19"/>
      <c r="FO224" s="19"/>
      <c r="FP224" s="19"/>
      <c r="FQ224" s="19"/>
      <c r="FR224" s="19"/>
      <c r="FS224" s="19"/>
      <c r="FT224" s="19"/>
      <c r="FU224" s="19"/>
      <c r="FV224" s="19"/>
      <c r="FW224" s="19"/>
      <c r="FX224" s="19"/>
      <c r="FY224" s="19"/>
      <c r="FZ224" s="19"/>
      <c r="GA224" s="19"/>
      <c r="GB224" s="19"/>
      <c r="GC224" s="19"/>
      <c r="GD224" s="19"/>
      <c r="GE224" s="19"/>
      <c r="GF224" s="19"/>
      <c r="GG224" s="19"/>
      <c r="GH224" s="19"/>
      <c r="GI224" s="19"/>
      <c r="GJ224" s="19"/>
      <c r="GK224" s="19"/>
      <c r="GL224" s="19"/>
      <c r="GM224" s="19"/>
      <c r="GN224" s="19"/>
      <c r="GO224" s="19"/>
      <c r="GP224" s="19"/>
      <c r="GQ224" s="19"/>
      <c r="GR224" s="19"/>
      <c r="GS224" s="19"/>
      <c r="GT224" s="19"/>
      <c r="GU224" s="19"/>
      <c r="GV224" s="19"/>
      <c r="GW224" s="19"/>
      <c r="GX224" s="19"/>
      <c r="GY224" s="19"/>
      <c r="GZ224" s="19"/>
      <c r="HA224" s="19"/>
      <c r="HB224" s="19"/>
    </row>
    <row r="225" spans="1:210" x14ac:dyDescent="0.25">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c r="BE225" s="19"/>
      <c r="BF225" s="19"/>
      <c r="BG225" s="19"/>
      <c r="BH225" s="19"/>
      <c r="BI225" s="19"/>
      <c r="BJ225" s="19"/>
      <c r="BK225" s="19"/>
      <c r="BL225" s="19"/>
      <c r="BM225" s="19"/>
      <c r="BN225" s="19"/>
      <c r="BO225" s="19"/>
      <c r="BP225" s="19"/>
      <c r="BQ225" s="19"/>
      <c r="BR225" s="19"/>
      <c r="BS225" s="19"/>
      <c r="BT225" s="19"/>
      <c r="BU225" s="19"/>
      <c r="BV225" s="19"/>
      <c r="BW225" s="19"/>
      <c r="BX225" s="19"/>
      <c r="BY225" s="19"/>
      <c r="BZ225" s="19"/>
      <c r="CA225" s="19"/>
      <c r="CB225" s="19"/>
      <c r="CC225" s="19"/>
      <c r="CD225" s="19"/>
      <c r="CE225" s="19"/>
      <c r="CF225" s="19"/>
      <c r="CG225" s="19"/>
      <c r="CH225" s="19"/>
      <c r="CI225" s="19"/>
      <c r="CJ225" s="19"/>
      <c r="CK225" s="19"/>
      <c r="CL225" s="19"/>
      <c r="CM225" s="19"/>
      <c r="CN225" s="19"/>
      <c r="CO225" s="19"/>
      <c r="CP225" s="19"/>
      <c r="CQ225" s="19"/>
      <c r="CR225" s="19"/>
      <c r="CS225" s="19"/>
      <c r="CT225" s="19"/>
      <c r="CU225" s="19"/>
      <c r="CV225" s="19"/>
      <c r="CW225" s="19"/>
      <c r="CX225" s="19"/>
      <c r="CY225" s="19"/>
      <c r="CZ225" s="19"/>
      <c r="DA225" s="19"/>
      <c r="DB225" s="19"/>
      <c r="DC225" s="19"/>
      <c r="DD225" s="19"/>
      <c r="DE225" s="19"/>
      <c r="DF225" s="19"/>
      <c r="DG225" s="19"/>
      <c r="DH225" s="19"/>
      <c r="DI225" s="19"/>
      <c r="DJ225" s="19"/>
      <c r="DK225" s="19"/>
      <c r="DL225" s="19"/>
      <c r="DM225" s="19"/>
      <c r="DN225" s="19"/>
      <c r="DO225" s="19"/>
      <c r="DP225" s="19"/>
      <c r="DQ225" s="19"/>
      <c r="DR225" s="19"/>
      <c r="DS225" s="19"/>
      <c r="DT225" s="19"/>
      <c r="DU225" s="19"/>
      <c r="DV225" s="19"/>
      <c r="DW225" s="19"/>
      <c r="DX225" s="19"/>
      <c r="DY225" s="19"/>
      <c r="DZ225" s="19"/>
      <c r="EA225" s="19"/>
      <c r="EB225" s="19"/>
      <c r="EC225" s="19"/>
      <c r="ED225" s="19"/>
      <c r="EE225" s="19"/>
      <c r="EF225" s="19"/>
      <c r="EG225" s="19"/>
      <c r="EH225" s="19"/>
      <c r="EI225" s="19"/>
      <c r="EJ225" s="19"/>
      <c r="EK225" s="19"/>
      <c r="EL225" s="19"/>
      <c r="EM225" s="19"/>
      <c r="EN225" s="19"/>
      <c r="EO225" s="19"/>
      <c r="EP225" s="19"/>
      <c r="EQ225" s="19"/>
      <c r="ER225" s="19"/>
      <c r="ES225" s="19"/>
      <c r="ET225" s="19"/>
      <c r="EU225" s="19"/>
      <c r="EV225" s="19"/>
      <c r="EW225" s="19"/>
      <c r="EX225" s="19"/>
      <c r="EY225" s="19"/>
      <c r="EZ225" s="19"/>
      <c r="FA225" s="19"/>
      <c r="FB225" s="19"/>
      <c r="FC225" s="19"/>
      <c r="FD225" s="19"/>
      <c r="FE225" s="19"/>
      <c r="FF225" s="19"/>
      <c r="FG225" s="19"/>
      <c r="FH225" s="19"/>
      <c r="FI225" s="19"/>
      <c r="FJ225" s="19"/>
      <c r="FK225" s="19"/>
      <c r="FL225" s="19"/>
      <c r="FM225" s="19"/>
      <c r="FN225" s="19"/>
      <c r="FO225" s="19"/>
      <c r="FP225" s="19"/>
      <c r="FQ225" s="19"/>
      <c r="FR225" s="19"/>
      <c r="FS225" s="19"/>
      <c r="FT225" s="19"/>
      <c r="FU225" s="19"/>
      <c r="FV225" s="19"/>
      <c r="FW225" s="19"/>
      <c r="FX225" s="19"/>
      <c r="FY225" s="19"/>
      <c r="FZ225" s="19"/>
      <c r="GA225" s="19"/>
      <c r="GB225" s="19"/>
      <c r="GC225" s="19"/>
      <c r="GD225" s="19"/>
      <c r="GE225" s="19"/>
      <c r="GF225" s="19"/>
      <c r="GG225" s="19"/>
      <c r="GH225" s="19"/>
      <c r="GI225" s="19"/>
      <c r="GJ225" s="19"/>
      <c r="GK225" s="19"/>
      <c r="GL225" s="19"/>
      <c r="GM225" s="19"/>
      <c r="GN225" s="19"/>
      <c r="GO225" s="19"/>
      <c r="GP225" s="19"/>
      <c r="GQ225" s="19"/>
      <c r="GR225" s="19"/>
      <c r="GS225" s="19"/>
      <c r="GT225" s="19"/>
      <c r="GU225" s="19"/>
      <c r="GV225" s="19"/>
      <c r="GW225" s="19"/>
      <c r="GX225" s="19"/>
      <c r="GY225" s="19"/>
      <c r="GZ225" s="19"/>
      <c r="HA225" s="19"/>
      <c r="HB225" s="19"/>
    </row>
    <row r="226" spans="1:210" x14ac:dyDescent="0.25">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c r="BE226" s="19"/>
      <c r="BF226" s="19"/>
      <c r="BG226" s="19"/>
      <c r="BH226" s="19"/>
      <c r="BI226" s="19"/>
      <c r="BJ226" s="19"/>
      <c r="BK226" s="19"/>
      <c r="BL226" s="19"/>
      <c r="BM226" s="19"/>
      <c r="BN226" s="19"/>
      <c r="BO226" s="19"/>
      <c r="BP226" s="19"/>
      <c r="BQ226" s="19"/>
      <c r="BR226" s="19"/>
      <c r="BS226" s="19"/>
      <c r="BT226" s="19"/>
      <c r="BU226" s="19"/>
      <c r="BV226" s="19"/>
      <c r="BW226" s="19"/>
      <c r="BX226" s="19"/>
      <c r="BY226" s="19"/>
      <c r="BZ226" s="19"/>
      <c r="CA226" s="19"/>
      <c r="CB226" s="19"/>
      <c r="CC226" s="19"/>
      <c r="CD226" s="19"/>
      <c r="CE226" s="19"/>
      <c r="CF226" s="19"/>
      <c r="CG226" s="19"/>
      <c r="CH226" s="19"/>
      <c r="CI226" s="19"/>
      <c r="CJ226" s="19"/>
      <c r="CK226" s="19"/>
      <c r="CL226" s="19"/>
      <c r="CM226" s="19"/>
      <c r="CN226" s="19"/>
      <c r="CO226" s="19"/>
      <c r="CP226" s="19"/>
      <c r="CQ226" s="19"/>
      <c r="CR226" s="19"/>
      <c r="CS226" s="19"/>
      <c r="CT226" s="19"/>
      <c r="CU226" s="19"/>
      <c r="CV226" s="19"/>
      <c r="CW226" s="19"/>
      <c r="CX226" s="19"/>
      <c r="CY226" s="19"/>
      <c r="CZ226" s="19"/>
      <c r="DA226" s="19"/>
      <c r="DB226" s="19"/>
      <c r="DC226" s="19"/>
      <c r="DD226" s="19"/>
      <c r="DE226" s="19"/>
      <c r="DF226" s="19"/>
      <c r="DG226" s="19"/>
      <c r="DH226" s="19"/>
      <c r="DI226" s="19"/>
      <c r="DJ226" s="19"/>
      <c r="DK226" s="19"/>
      <c r="DL226" s="19"/>
      <c r="DM226" s="19"/>
      <c r="DN226" s="19"/>
      <c r="DO226" s="19"/>
      <c r="DP226" s="19"/>
      <c r="DQ226" s="19"/>
      <c r="DR226" s="19"/>
      <c r="DS226" s="19"/>
      <c r="DT226" s="19"/>
      <c r="DU226" s="19"/>
      <c r="DV226" s="19"/>
      <c r="DW226" s="19"/>
      <c r="DX226" s="19"/>
      <c r="DY226" s="19"/>
      <c r="DZ226" s="19"/>
      <c r="EA226" s="19"/>
      <c r="EB226" s="19"/>
      <c r="EC226" s="19"/>
      <c r="ED226" s="19"/>
      <c r="EE226" s="19"/>
      <c r="EF226" s="19"/>
      <c r="EG226" s="19"/>
      <c r="EH226" s="19"/>
      <c r="EI226" s="19"/>
      <c r="EJ226" s="19"/>
      <c r="EK226" s="19"/>
      <c r="EL226" s="19"/>
      <c r="EM226" s="19"/>
      <c r="EN226" s="19"/>
      <c r="EO226" s="19"/>
      <c r="EP226" s="19"/>
      <c r="EQ226" s="19"/>
      <c r="ER226" s="19"/>
      <c r="ES226" s="19"/>
      <c r="ET226" s="19"/>
      <c r="EU226" s="19"/>
      <c r="EV226" s="19"/>
      <c r="EW226" s="19"/>
      <c r="EX226" s="19"/>
      <c r="EY226" s="19"/>
      <c r="EZ226" s="19"/>
      <c r="FA226" s="19"/>
      <c r="FB226" s="19"/>
      <c r="FC226" s="19"/>
      <c r="FD226" s="19"/>
      <c r="FE226" s="19"/>
      <c r="FF226" s="19"/>
      <c r="FG226" s="19"/>
      <c r="FH226" s="19"/>
      <c r="FI226" s="19"/>
      <c r="FJ226" s="19"/>
      <c r="FK226" s="19"/>
      <c r="FL226" s="19"/>
      <c r="FM226" s="19"/>
      <c r="FN226" s="19"/>
      <c r="FO226" s="19"/>
      <c r="FP226" s="19"/>
      <c r="FQ226" s="19"/>
      <c r="FR226" s="19"/>
      <c r="FS226" s="19"/>
      <c r="FT226" s="19"/>
      <c r="FU226" s="19"/>
      <c r="FV226" s="19"/>
      <c r="FW226" s="19"/>
      <c r="FX226" s="19"/>
      <c r="FY226" s="19"/>
      <c r="FZ226" s="19"/>
      <c r="GA226" s="19"/>
      <c r="GB226" s="19"/>
      <c r="GC226" s="19"/>
      <c r="GD226" s="19"/>
      <c r="GE226" s="19"/>
      <c r="GF226" s="19"/>
      <c r="GG226" s="19"/>
      <c r="GH226" s="19"/>
      <c r="GI226" s="19"/>
      <c r="GJ226" s="19"/>
      <c r="GK226" s="19"/>
      <c r="GL226" s="19"/>
      <c r="GM226" s="19"/>
      <c r="GN226" s="19"/>
      <c r="GO226" s="19"/>
      <c r="GP226" s="19"/>
      <c r="GQ226" s="19"/>
      <c r="GR226" s="19"/>
      <c r="GS226" s="19"/>
      <c r="GT226" s="19"/>
      <c r="GU226" s="19"/>
      <c r="GV226" s="19"/>
      <c r="GW226" s="19"/>
      <c r="GX226" s="19"/>
      <c r="GY226" s="19"/>
      <c r="GZ226" s="19"/>
      <c r="HA226" s="19"/>
      <c r="HB226" s="19"/>
    </row>
    <row r="227" spans="1:210" x14ac:dyDescent="0.25">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c r="BE227" s="19"/>
      <c r="BF227" s="19"/>
      <c r="BG227" s="19"/>
      <c r="BH227" s="19"/>
      <c r="BI227" s="19"/>
      <c r="BJ227" s="19"/>
      <c r="BK227" s="19"/>
      <c r="BL227" s="19"/>
      <c r="BM227" s="19"/>
      <c r="BN227" s="19"/>
      <c r="BO227" s="19"/>
      <c r="BP227" s="19"/>
      <c r="BQ227" s="19"/>
      <c r="BR227" s="19"/>
      <c r="BS227" s="19"/>
      <c r="BT227" s="19"/>
      <c r="BU227" s="19"/>
      <c r="BV227" s="19"/>
      <c r="BW227" s="19"/>
      <c r="BX227" s="19"/>
      <c r="BY227" s="19"/>
      <c r="BZ227" s="19"/>
      <c r="CA227" s="19"/>
      <c r="CB227" s="19"/>
      <c r="CC227" s="19"/>
      <c r="CD227" s="19"/>
      <c r="CE227" s="19"/>
      <c r="CF227" s="19"/>
      <c r="CG227" s="19"/>
      <c r="CH227" s="19"/>
      <c r="CI227" s="19"/>
      <c r="CJ227" s="19"/>
      <c r="CK227" s="19"/>
      <c r="CL227" s="19"/>
      <c r="CM227" s="19"/>
      <c r="CN227" s="19"/>
      <c r="CO227" s="19"/>
      <c r="CP227" s="19"/>
      <c r="CQ227" s="19"/>
      <c r="CR227" s="19"/>
      <c r="CS227" s="19"/>
      <c r="CT227" s="19"/>
      <c r="CU227" s="19"/>
      <c r="CV227" s="19"/>
      <c r="CW227" s="19"/>
      <c r="CX227" s="19"/>
      <c r="CY227" s="19"/>
      <c r="CZ227" s="19"/>
      <c r="DA227" s="19"/>
      <c r="DB227" s="19"/>
      <c r="DC227" s="19"/>
      <c r="DD227" s="19"/>
      <c r="DE227" s="19"/>
      <c r="DF227" s="19"/>
      <c r="DG227" s="19"/>
      <c r="DH227" s="19"/>
      <c r="DI227" s="19"/>
      <c r="DJ227" s="19"/>
      <c r="DK227" s="19"/>
      <c r="DL227" s="19"/>
      <c r="DM227" s="19"/>
      <c r="DN227" s="19"/>
      <c r="DO227" s="19"/>
      <c r="DP227" s="19"/>
      <c r="DQ227" s="19"/>
      <c r="DR227" s="19"/>
      <c r="DS227" s="19"/>
      <c r="DT227" s="19"/>
      <c r="DU227" s="19"/>
      <c r="DV227" s="19"/>
      <c r="DW227" s="19"/>
      <c r="DX227" s="19"/>
      <c r="DY227" s="19"/>
      <c r="DZ227" s="19"/>
      <c r="EA227" s="19"/>
      <c r="EB227" s="19"/>
      <c r="EC227" s="19"/>
      <c r="ED227" s="19"/>
      <c r="EE227" s="19"/>
      <c r="EF227" s="19"/>
      <c r="EG227" s="19"/>
      <c r="EH227" s="19"/>
      <c r="EI227" s="19"/>
      <c r="EJ227" s="19"/>
      <c r="EK227" s="19"/>
      <c r="EL227" s="19"/>
      <c r="EM227" s="19"/>
      <c r="EN227" s="19"/>
      <c r="EO227" s="19"/>
      <c r="EP227" s="19"/>
      <c r="EQ227" s="19"/>
      <c r="ER227" s="19"/>
      <c r="ES227" s="19"/>
      <c r="ET227" s="19"/>
      <c r="EU227" s="19"/>
      <c r="EV227" s="19"/>
      <c r="EW227" s="19"/>
      <c r="EX227" s="19"/>
      <c r="EY227" s="19"/>
      <c r="EZ227" s="19"/>
      <c r="FA227" s="19"/>
      <c r="FB227" s="19"/>
      <c r="FC227" s="19"/>
      <c r="FD227" s="19"/>
      <c r="FE227" s="19"/>
      <c r="FF227" s="19"/>
      <c r="FG227" s="19"/>
      <c r="FH227" s="19"/>
      <c r="FI227" s="19"/>
      <c r="FJ227" s="19"/>
      <c r="FK227" s="19"/>
      <c r="FL227" s="19"/>
      <c r="FM227" s="19"/>
      <c r="FN227" s="19"/>
      <c r="FO227" s="19"/>
      <c r="FP227" s="19"/>
      <c r="FQ227" s="19"/>
      <c r="FR227" s="19"/>
      <c r="FS227" s="19"/>
      <c r="FT227" s="19"/>
      <c r="FU227" s="19"/>
      <c r="FV227" s="19"/>
      <c r="FW227" s="19"/>
      <c r="FX227" s="19"/>
      <c r="FY227" s="19"/>
      <c r="FZ227" s="19"/>
      <c r="GA227" s="19"/>
      <c r="GB227" s="19"/>
      <c r="GC227" s="19"/>
      <c r="GD227" s="19"/>
      <c r="GE227" s="19"/>
      <c r="GF227" s="19"/>
      <c r="GG227" s="19"/>
      <c r="GH227" s="19"/>
      <c r="GI227" s="19"/>
      <c r="GJ227" s="19"/>
      <c r="GK227" s="19"/>
      <c r="GL227" s="19"/>
      <c r="GM227" s="19"/>
      <c r="GN227" s="19"/>
      <c r="GO227" s="19"/>
      <c r="GP227" s="19"/>
      <c r="GQ227" s="19"/>
      <c r="GR227" s="19"/>
      <c r="GS227" s="19"/>
      <c r="GT227" s="19"/>
      <c r="GU227" s="19"/>
      <c r="GV227" s="19"/>
      <c r="GW227" s="19"/>
      <c r="GX227" s="19"/>
      <c r="GY227" s="19"/>
      <c r="GZ227" s="19"/>
      <c r="HA227" s="19"/>
      <c r="HB227" s="19"/>
    </row>
    <row r="228" spans="1:210" x14ac:dyDescent="0.25">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c r="BE228" s="19"/>
      <c r="BF228" s="19"/>
      <c r="BG228" s="19"/>
      <c r="BH228" s="19"/>
      <c r="BI228" s="19"/>
      <c r="BJ228" s="19"/>
      <c r="BK228" s="19"/>
      <c r="BL228" s="19"/>
      <c r="BM228" s="19"/>
      <c r="BN228" s="19"/>
      <c r="BO228" s="19"/>
      <c r="BP228" s="19"/>
      <c r="BQ228" s="19"/>
      <c r="BR228" s="19"/>
      <c r="BS228" s="19"/>
      <c r="BT228" s="19"/>
      <c r="BU228" s="19"/>
      <c r="BV228" s="19"/>
      <c r="BW228" s="19"/>
      <c r="BX228" s="19"/>
      <c r="BY228" s="19"/>
      <c r="BZ228" s="19"/>
      <c r="CA228" s="19"/>
      <c r="CB228" s="19"/>
      <c r="CC228" s="19"/>
      <c r="CD228" s="19"/>
      <c r="CE228" s="19"/>
      <c r="CF228" s="19"/>
      <c r="CG228" s="19"/>
      <c r="CH228" s="19"/>
      <c r="CI228" s="19"/>
      <c r="CJ228" s="19"/>
      <c r="CK228" s="19"/>
      <c r="CL228" s="19"/>
      <c r="CM228" s="19"/>
      <c r="CN228" s="19"/>
      <c r="CO228" s="19"/>
      <c r="CP228" s="19"/>
      <c r="CQ228" s="19"/>
      <c r="CR228" s="19"/>
      <c r="CS228" s="19"/>
      <c r="CT228" s="19"/>
      <c r="CU228" s="19"/>
      <c r="CV228" s="19"/>
      <c r="CW228" s="19"/>
      <c r="CX228" s="19"/>
      <c r="CY228" s="19"/>
      <c r="CZ228" s="19"/>
      <c r="DA228" s="19"/>
      <c r="DB228" s="19"/>
      <c r="DC228" s="19"/>
      <c r="DD228" s="19"/>
      <c r="DE228" s="19"/>
      <c r="DF228" s="19"/>
      <c r="DG228" s="19"/>
      <c r="DH228" s="19"/>
      <c r="DI228" s="19"/>
      <c r="DJ228" s="19"/>
      <c r="DK228" s="19"/>
      <c r="DL228" s="19"/>
      <c r="DM228" s="19"/>
      <c r="DN228" s="19"/>
      <c r="DO228" s="19"/>
      <c r="DP228" s="19"/>
      <c r="DQ228" s="19"/>
      <c r="DR228" s="19"/>
      <c r="DS228" s="19"/>
      <c r="DT228" s="19"/>
      <c r="DU228" s="19"/>
      <c r="DV228" s="19"/>
      <c r="DW228" s="19"/>
      <c r="DX228" s="19"/>
      <c r="DY228" s="19"/>
      <c r="DZ228" s="19"/>
      <c r="EA228" s="19"/>
      <c r="EB228" s="19"/>
      <c r="EC228" s="19"/>
      <c r="ED228" s="19"/>
      <c r="EE228" s="19"/>
      <c r="EF228" s="19"/>
      <c r="EG228" s="19"/>
      <c r="EH228" s="19"/>
      <c r="EI228" s="19"/>
      <c r="EJ228" s="19"/>
      <c r="EK228" s="19"/>
      <c r="EL228" s="19"/>
      <c r="EM228" s="19"/>
      <c r="EN228" s="19"/>
      <c r="EO228" s="19"/>
      <c r="EP228" s="19"/>
      <c r="EQ228" s="19"/>
      <c r="ER228" s="19"/>
      <c r="ES228" s="19"/>
      <c r="ET228" s="19"/>
      <c r="EU228" s="19"/>
      <c r="EV228" s="19"/>
      <c r="EW228" s="19"/>
      <c r="EX228" s="19"/>
      <c r="EY228" s="19"/>
      <c r="EZ228" s="19"/>
      <c r="FA228" s="19"/>
      <c r="FB228" s="19"/>
      <c r="FC228" s="19"/>
      <c r="FD228" s="19"/>
      <c r="FE228" s="19"/>
      <c r="FF228" s="19"/>
      <c r="FG228" s="19"/>
      <c r="FH228" s="19"/>
      <c r="FI228" s="19"/>
      <c r="FJ228" s="19"/>
      <c r="FK228" s="19"/>
      <c r="FL228" s="19"/>
      <c r="FM228" s="19"/>
      <c r="FN228" s="19"/>
      <c r="FO228" s="19"/>
      <c r="FP228" s="19"/>
      <c r="FQ228" s="19"/>
      <c r="FR228" s="19"/>
      <c r="FS228" s="19"/>
      <c r="FT228" s="19"/>
      <c r="FU228" s="19"/>
      <c r="FV228" s="19"/>
      <c r="FW228" s="19"/>
      <c r="FX228" s="19"/>
      <c r="FY228" s="19"/>
      <c r="FZ228" s="19"/>
      <c r="GA228" s="19"/>
      <c r="GB228" s="19"/>
      <c r="GC228" s="19"/>
      <c r="GD228" s="19"/>
      <c r="GE228" s="19"/>
      <c r="GF228" s="19"/>
      <c r="GG228" s="19"/>
      <c r="GH228" s="19"/>
      <c r="GI228" s="19"/>
      <c r="GJ228" s="19"/>
      <c r="GK228" s="19"/>
      <c r="GL228" s="19"/>
      <c r="GM228" s="19"/>
      <c r="GN228" s="19"/>
      <c r="GO228" s="19"/>
      <c r="GP228" s="19"/>
      <c r="GQ228" s="19"/>
      <c r="GR228" s="19"/>
      <c r="GS228" s="19"/>
      <c r="GT228" s="19"/>
      <c r="GU228" s="19"/>
      <c r="GV228" s="19"/>
      <c r="GW228" s="19"/>
      <c r="GX228" s="19"/>
      <c r="GY228" s="19"/>
      <c r="GZ228" s="19"/>
      <c r="HA228" s="19"/>
      <c r="HB228" s="19"/>
    </row>
    <row r="229" spans="1:210" x14ac:dyDescent="0.25">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c r="BE229" s="19"/>
      <c r="BF229" s="19"/>
      <c r="BG229" s="19"/>
      <c r="BH229" s="19"/>
      <c r="BI229" s="19"/>
      <c r="BJ229" s="19"/>
      <c r="BK229" s="19"/>
      <c r="BL229" s="19"/>
      <c r="BM229" s="19"/>
      <c r="BN229" s="19"/>
      <c r="BO229" s="19"/>
      <c r="BP229" s="19"/>
      <c r="BQ229" s="19"/>
      <c r="BR229" s="19"/>
      <c r="BS229" s="19"/>
      <c r="BT229" s="19"/>
      <c r="BU229" s="19"/>
      <c r="BV229" s="19"/>
      <c r="BW229" s="19"/>
      <c r="BX229" s="19"/>
      <c r="BY229" s="19"/>
      <c r="BZ229" s="19"/>
      <c r="CA229" s="19"/>
      <c r="CB229" s="19"/>
      <c r="CC229" s="19"/>
      <c r="CD229" s="19"/>
      <c r="CE229" s="19"/>
      <c r="CF229" s="19"/>
      <c r="CG229" s="19"/>
      <c r="CH229" s="19"/>
      <c r="CI229" s="19"/>
      <c r="CJ229" s="19"/>
      <c r="CK229" s="19"/>
      <c r="CL229" s="19"/>
      <c r="CM229" s="19"/>
      <c r="CN229" s="19"/>
      <c r="CO229" s="19"/>
      <c r="CP229" s="19"/>
      <c r="CQ229" s="19"/>
      <c r="CR229" s="19"/>
      <c r="CS229" s="19"/>
      <c r="CT229" s="19"/>
      <c r="CU229" s="19"/>
      <c r="CV229" s="19"/>
      <c r="CW229" s="19"/>
      <c r="CX229" s="19"/>
      <c r="CY229" s="19"/>
      <c r="CZ229" s="19"/>
      <c r="DA229" s="19"/>
      <c r="DB229" s="19"/>
      <c r="DC229" s="19"/>
      <c r="DD229" s="19"/>
      <c r="DE229" s="19"/>
      <c r="DF229" s="19"/>
      <c r="DG229" s="19"/>
      <c r="DH229" s="19"/>
      <c r="DI229" s="19"/>
      <c r="DJ229" s="19"/>
      <c r="DK229" s="19"/>
      <c r="DL229" s="19"/>
      <c r="DM229" s="19"/>
      <c r="DN229" s="19"/>
      <c r="DO229" s="19"/>
      <c r="DP229" s="19"/>
      <c r="DQ229" s="19"/>
      <c r="DR229" s="19"/>
      <c r="DS229" s="19"/>
      <c r="DT229" s="19"/>
      <c r="DU229" s="19"/>
      <c r="DV229" s="19"/>
      <c r="DW229" s="19"/>
      <c r="DX229" s="19"/>
      <c r="DY229" s="19"/>
      <c r="DZ229" s="19"/>
      <c r="EA229" s="19"/>
      <c r="EB229" s="19"/>
      <c r="EC229" s="19"/>
      <c r="ED229" s="19"/>
      <c r="EE229" s="19"/>
      <c r="EF229" s="19"/>
      <c r="EG229" s="19"/>
      <c r="EH229" s="19"/>
      <c r="EI229" s="19"/>
      <c r="EJ229" s="19"/>
      <c r="EK229" s="19"/>
      <c r="EL229" s="19"/>
      <c r="EM229" s="19"/>
      <c r="EN229" s="19"/>
      <c r="EO229" s="19"/>
      <c r="EP229" s="19"/>
      <c r="EQ229" s="19"/>
      <c r="ER229" s="19"/>
      <c r="ES229" s="19"/>
      <c r="ET229" s="19"/>
      <c r="EU229" s="19"/>
      <c r="EV229" s="19"/>
      <c r="EW229" s="19"/>
      <c r="EX229" s="19"/>
      <c r="EY229" s="19"/>
      <c r="EZ229" s="19"/>
      <c r="FA229" s="19"/>
      <c r="FB229" s="19"/>
      <c r="FC229" s="19"/>
      <c r="FD229" s="19"/>
      <c r="FE229" s="19"/>
      <c r="FF229" s="19"/>
      <c r="FG229" s="19"/>
      <c r="FH229" s="19"/>
      <c r="FI229" s="19"/>
      <c r="FJ229" s="19"/>
      <c r="FK229" s="19"/>
      <c r="FL229" s="19"/>
      <c r="FM229" s="19"/>
      <c r="FN229" s="19"/>
      <c r="FO229" s="19"/>
      <c r="FP229" s="19"/>
      <c r="FQ229" s="19"/>
      <c r="FR229" s="19"/>
      <c r="FS229" s="19"/>
      <c r="FT229" s="19"/>
      <c r="FU229" s="19"/>
      <c r="FV229" s="19"/>
      <c r="FW229" s="19"/>
      <c r="FX229" s="19"/>
      <c r="FY229" s="19"/>
      <c r="FZ229" s="19"/>
      <c r="GA229" s="19"/>
      <c r="GB229" s="19"/>
      <c r="GC229" s="19"/>
      <c r="GD229" s="19"/>
      <c r="GE229" s="19"/>
      <c r="GF229" s="19"/>
      <c r="GG229" s="19"/>
      <c r="GH229" s="19"/>
      <c r="GI229" s="19"/>
      <c r="GJ229" s="19"/>
      <c r="GK229" s="19"/>
      <c r="GL229" s="19"/>
      <c r="GM229" s="19"/>
      <c r="GN229" s="19"/>
      <c r="GO229" s="19"/>
      <c r="GP229" s="19"/>
      <c r="GQ229" s="19"/>
      <c r="GR229" s="19"/>
      <c r="GS229" s="19"/>
      <c r="GT229" s="19"/>
      <c r="GU229" s="19"/>
      <c r="GV229" s="19"/>
      <c r="GW229" s="19"/>
      <c r="GX229" s="19"/>
      <c r="GY229" s="19"/>
      <c r="GZ229" s="19"/>
      <c r="HA229" s="19"/>
      <c r="HB229" s="19"/>
    </row>
    <row r="230" spans="1:210" x14ac:dyDescent="0.25">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c r="BE230" s="19"/>
      <c r="BF230" s="19"/>
      <c r="BG230" s="19"/>
      <c r="BH230" s="19"/>
      <c r="BI230" s="19"/>
      <c r="BJ230" s="19"/>
      <c r="BK230" s="19"/>
      <c r="BL230" s="19"/>
      <c r="BM230" s="19"/>
      <c r="BN230" s="19"/>
      <c r="BO230" s="19"/>
      <c r="BP230" s="19"/>
      <c r="BQ230" s="19"/>
      <c r="BR230" s="19"/>
      <c r="BS230" s="19"/>
      <c r="BT230" s="19"/>
      <c r="BU230" s="19"/>
      <c r="BV230" s="19"/>
      <c r="BW230" s="19"/>
      <c r="BX230" s="19"/>
      <c r="BY230" s="19"/>
      <c r="BZ230" s="19"/>
      <c r="CA230" s="19"/>
      <c r="CB230" s="19"/>
      <c r="CC230" s="19"/>
      <c r="CD230" s="19"/>
      <c r="CE230" s="19"/>
      <c r="CF230" s="19"/>
      <c r="CG230" s="19"/>
      <c r="CH230" s="19"/>
      <c r="CI230" s="19"/>
      <c r="CJ230" s="19"/>
      <c r="CK230" s="19"/>
      <c r="CL230" s="19"/>
      <c r="CM230" s="19"/>
      <c r="CN230" s="19"/>
      <c r="CO230" s="19"/>
      <c r="CP230" s="19"/>
      <c r="CQ230" s="19"/>
      <c r="CR230" s="19"/>
      <c r="CS230" s="19"/>
      <c r="CT230" s="19"/>
      <c r="CU230" s="19"/>
      <c r="CV230" s="19"/>
      <c r="CW230" s="19"/>
      <c r="CX230" s="19"/>
      <c r="CY230" s="19"/>
      <c r="CZ230" s="19"/>
      <c r="DA230" s="19"/>
      <c r="DB230" s="19"/>
      <c r="DC230" s="19"/>
      <c r="DD230" s="19"/>
      <c r="DE230" s="19"/>
      <c r="DF230" s="19"/>
      <c r="DG230" s="19"/>
      <c r="DH230" s="19"/>
      <c r="DI230" s="19"/>
      <c r="DJ230" s="19"/>
      <c r="DK230" s="19"/>
      <c r="DL230" s="19"/>
      <c r="DM230" s="19"/>
      <c r="DN230" s="19"/>
      <c r="DO230" s="19"/>
      <c r="DP230" s="19"/>
      <c r="DQ230" s="19"/>
      <c r="DR230" s="19"/>
      <c r="DS230" s="19"/>
      <c r="DT230" s="19"/>
      <c r="DU230" s="19"/>
      <c r="DV230" s="19"/>
      <c r="DW230" s="19"/>
      <c r="DX230" s="19"/>
      <c r="DY230" s="19"/>
      <c r="DZ230" s="19"/>
      <c r="EA230" s="19"/>
      <c r="EB230" s="19"/>
      <c r="EC230" s="19"/>
      <c r="ED230" s="19"/>
      <c r="EE230" s="19"/>
      <c r="EF230" s="19"/>
      <c r="EG230" s="19"/>
      <c r="EH230" s="19"/>
      <c r="EI230" s="19"/>
      <c r="EJ230" s="19"/>
      <c r="EK230" s="19"/>
      <c r="EL230" s="19"/>
      <c r="EM230" s="19"/>
      <c r="EN230" s="19"/>
      <c r="EO230" s="19"/>
      <c r="EP230" s="19"/>
      <c r="EQ230" s="19"/>
      <c r="ER230" s="19"/>
      <c r="ES230" s="19"/>
      <c r="ET230" s="19"/>
      <c r="EU230" s="19"/>
      <c r="EV230" s="19"/>
      <c r="EW230" s="19"/>
      <c r="EX230" s="19"/>
      <c r="EY230" s="19"/>
      <c r="EZ230" s="19"/>
      <c r="FA230" s="19"/>
      <c r="FB230" s="19"/>
      <c r="FC230" s="19"/>
      <c r="FD230" s="19"/>
      <c r="FE230" s="19"/>
      <c r="FF230" s="19"/>
      <c r="FG230" s="19"/>
      <c r="FH230" s="19"/>
      <c r="FI230" s="19"/>
      <c r="FJ230" s="19"/>
      <c r="FK230" s="19"/>
      <c r="FL230" s="19"/>
      <c r="FM230" s="19"/>
      <c r="FN230" s="19"/>
      <c r="FO230" s="19"/>
      <c r="FP230" s="19"/>
      <c r="FQ230" s="19"/>
      <c r="FR230" s="19"/>
      <c r="FS230" s="19"/>
      <c r="FT230" s="19"/>
      <c r="FU230" s="19"/>
      <c r="FV230" s="19"/>
      <c r="FW230" s="19"/>
      <c r="FX230" s="19"/>
      <c r="FY230" s="19"/>
      <c r="FZ230" s="19"/>
      <c r="GA230" s="19"/>
      <c r="GB230" s="19"/>
      <c r="GC230" s="19"/>
      <c r="GD230" s="19"/>
      <c r="GE230" s="19"/>
      <c r="GF230" s="19"/>
      <c r="GG230" s="19"/>
      <c r="GH230" s="19"/>
      <c r="GI230" s="19"/>
      <c r="GJ230" s="19"/>
      <c r="GK230" s="19"/>
      <c r="GL230" s="19"/>
      <c r="GM230" s="19"/>
      <c r="GN230" s="19"/>
      <c r="GO230" s="19"/>
      <c r="GP230" s="19"/>
      <c r="GQ230" s="19"/>
      <c r="GR230" s="19"/>
      <c r="GS230" s="19"/>
      <c r="GT230" s="19"/>
      <c r="GU230" s="19"/>
      <c r="GV230" s="19"/>
      <c r="GW230" s="19"/>
      <c r="GX230" s="19"/>
      <c r="GY230" s="19"/>
      <c r="GZ230" s="19"/>
      <c r="HA230" s="19"/>
      <c r="HB230" s="19"/>
    </row>
    <row r="231" spans="1:210" x14ac:dyDescent="0.25">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c r="BE231" s="19"/>
      <c r="BF231" s="19"/>
      <c r="BG231" s="19"/>
      <c r="BH231" s="19"/>
      <c r="BI231" s="19"/>
      <c r="BJ231" s="19"/>
      <c r="BK231" s="19"/>
      <c r="BL231" s="19"/>
      <c r="BM231" s="19"/>
      <c r="BN231" s="19"/>
      <c r="BO231" s="19"/>
      <c r="BP231" s="19"/>
      <c r="BQ231" s="19"/>
      <c r="BR231" s="19"/>
      <c r="BS231" s="19"/>
      <c r="BT231" s="19"/>
      <c r="BU231" s="19"/>
      <c r="BV231" s="19"/>
      <c r="BW231" s="19"/>
      <c r="BX231" s="19"/>
      <c r="BY231" s="19"/>
      <c r="BZ231" s="19"/>
      <c r="CA231" s="19"/>
      <c r="CB231" s="19"/>
      <c r="CC231" s="19"/>
      <c r="CD231" s="19"/>
      <c r="CE231" s="19"/>
      <c r="CF231" s="19"/>
      <c r="CG231" s="19"/>
      <c r="CH231" s="19"/>
      <c r="CI231" s="19"/>
      <c r="CJ231" s="19"/>
      <c r="CK231" s="19"/>
      <c r="CL231" s="19"/>
      <c r="CM231" s="19"/>
      <c r="CN231" s="19"/>
      <c r="CO231" s="19"/>
      <c r="CP231" s="19"/>
      <c r="CQ231" s="19"/>
      <c r="CR231" s="19"/>
      <c r="CS231" s="19"/>
      <c r="CT231" s="19"/>
      <c r="CU231" s="19"/>
      <c r="CV231" s="19"/>
      <c r="CW231" s="19"/>
      <c r="CX231" s="19"/>
      <c r="CY231" s="19"/>
      <c r="CZ231" s="19"/>
      <c r="DA231" s="19"/>
      <c r="DB231" s="19"/>
      <c r="DC231" s="19"/>
      <c r="DD231" s="19"/>
      <c r="DE231" s="19"/>
      <c r="DF231" s="19"/>
      <c r="DG231" s="19"/>
      <c r="DH231" s="19"/>
      <c r="DI231" s="19"/>
      <c r="DJ231" s="19"/>
      <c r="DK231" s="19"/>
      <c r="DL231" s="19"/>
      <c r="DM231" s="19"/>
      <c r="DN231" s="19"/>
      <c r="DO231" s="19"/>
      <c r="DP231" s="19"/>
      <c r="DQ231" s="19"/>
      <c r="DR231" s="19"/>
      <c r="DS231" s="19"/>
      <c r="DT231" s="19"/>
      <c r="DU231" s="19"/>
      <c r="DV231" s="19"/>
      <c r="DW231" s="19"/>
      <c r="DX231" s="19"/>
      <c r="DY231" s="19"/>
      <c r="DZ231" s="19"/>
      <c r="EA231" s="19"/>
      <c r="EB231" s="19"/>
      <c r="EC231" s="19"/>
      <c r="ED231" s="19"/>
      <c r="EE231" s="19"/>
      <c r="EF231" s="19"/>
      <c r="EG231" s="19"/>
      <c r="EH231" s="19"/>
      <c r="EI231" s="19"/>
      <c r="EJ231" s="19"/>
      <c r="EK231" s="19"/>
      <c r="EL231" s="19"/>
      <c r="EM231" s="19"/>
      <c r="EN231" s="19"/>
      <c r="EO231" s="19"/>
      <c r="EP231" s="19"/>
      <c r="EQ231" s="19"/>
      <c r="ER231" s="19"/>
      <c r="ES231" s="19"/>
      <c r="ET231" s="19"/>
      <c r="EU231" s="19"/>
      <c r="EV231" s="19"/>
      <c r="EW231" s="19"/>
      <c r="EX231" s="19"/>
      <c r="EY231" s="19"/>
      <c r="EZ231" s="19"/>
      <c r="FA231" s="19"/>
      <c r="FB231" s="19"/>
      <c r="FC231" s="19"/>
      <c r="FD231" s="19"/>
      <c r="FE231" s="19"/>
      <c r="FF231" s="19"/>
      <c r="FG231" s="19"/>
      <c r="FH231" s="19"/>
      <c r="FI231" s="19"/>
      <c r="FJ231" s="19"/>
      <c r="FK231" s="19"/>
      <c r="FL231" s="19"/>
      <c r="FM231" s="19"/>
      <c r="FN231" s="19"/>
      <c r="FO231" s="19"/>
      <c r="FP231" s="19"/>
      <c r="FQ231" s="19"/>
      <c r="FR231" s="19"/>
      <c r="FS231" s="19"/>
      <c r="FT231" s="19"/>
      <c r="FU231" s="19"/>
      <c r="FV231" s="19"/>
      <c r="FW231" s="19"/>
      <c r="FX231" s="19"/>
      <c r="FY231" s="19"/>
      <c r="FZ231" s="19"/>
      <c r="GA231" s="19"/>
      <c r="GB231" s="19"/>
      <c r="GC231" s="19"/>
      <c r="GD231" s="19"/>
      <c r="GE231" s="19"/>
      <c r="GF231" s="19"/>
      <c r="GG231" s="19"/>
      <c r="GH231" s="19"/>
      <c r="GI231" s="19"/>
      <c r="GJ231" s="19"/>
      <c r="GK231" s="19"/>
      <c r="GL231" s="19"/>
      <c r="GM231" s="19"/>
      <c r="GN231" s="19"/>
      <c r="GO231" s="19"/>
      <c r="GP231" s="19"/>
      <c r="GQ231" s="19"/>
      <c r="GR231" s="19"/>
      <c r="GS231" s="19"/>
      <c r="GT231" s="19"/>
      <c r="GU231" s="19"/>
      <c r="GV231" s="19"/>
      <c r="GW231" s="19"/>
      <c r="GX231" s="19"/>
      <c r="GY231" s="19"/>
      <c r="GZ231" s="19"/>
      <c r="HA231" s="19"/>
      <c r="HB231" s="19"/>
    </row>
    <row r="232" spans="1:210" x14ac:dyDescent="0.25">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c r="BE232" s="19"/>
      <c r="BF232" s="19"/>
      <c r="BG232" s="19"/>
      <c r="BH232" s="19"/>
      <c r="BI232" s="19"/>
      <c r="BJ232" s="19"/>
      <c r="BK232" s="19"/>
      <c r="BL232" s="19"/>
      <c r="BM232" s="19"/>
      <c r="BN232" s="19"/>
      <c r="BO232" s="19"/>
      <c r="BP232" s="19"/>
      <c r="BQ232" s="19"/>
      <c r="BR232" s="19"/>
      <c r="BS232" s="19"/>
      <c r="BT232" s="19"/>
      <c r="BU232" s="19"/>
      <c r="BV232" s="19"/>
      <c r="BW232" s="19"/>
      <c r="BX232" s="19"/>
      <c r="BY232" s="19"/>
      <c r="BZ232" s="19"/>
      <c r="CA232" s="19"/>
      <c r="CB232" s="19"/>
      <c r="CC232" s="19"/>
      <c r="CD232" s="19"/>
      <c r="CE232" s="19"/>
      <c r="CF232" s="19"/>
      <c r="CG232" s="19"/>
      <c r="CH232" s="19"/>
      <c r="CI232" s="19"/>
      <c r="CJ232" s="19"/>
      <c r="CK232" s="19"/>
      <c r="CL232" s="19"/>
      <c r="CM232" s="19"/>
      <c r="CN232" s="19"/>
      <c r="CO232" s="19"/>
      <c r="CP232" s="19"/>
      <c r="CQ232" s="19"/>
      <c r="CR232" s="19"/>
      <c r="CS232" s="19"/>
      <c r="CT232" s="19"/>
      <c r="CU232" s="19"/>
      <c r="CV232" s="19"/>
      <c r="CW232" s="19"/>
      <c r="CX232" s="19"/>
      <c r="CY232" s="19"/>
      <c r="CZ232" s="19"/>
      <c r="DA232" s="19"/>
      <c r="DB232" s="19"/>
      <c r="DC232" s="19"/>
      <c r="DD232" s="19"/>
      <c r="DE232" s="19"/>
      <c r="DF232" s="19"/>
      <c r="DG232" s="19"/>
      <c r="DH232" s="19"/>
      <c r="DI232" s="19"/>
      <c r="DJ232" s="19"/>
      <c r="DK232" s="19"/>
      <c r="DL232" s="19"/>
      <c r="DM232" s="19"/>
      <c r="DN232" s="19"/>
      <c r="DO232" s="19"/>
      <c r="DP232" s="19"/>
      <c r="DQ232" s="19"/>
      <c r="DR232" s="19"/>
      <c r="DS232" s="19"/>
      <c r="DT232" s="19"/>
      <c r="DU232" s="19"/>
      <c r="DV232" s="19"/>
      <c r="DW232" s="19"/>
      <c r="DX232" s="19"/>
      <c r="DY232" s="19"/>
      <c r="DZ232" s="19"/>
      <c r="EA232" s="19"/>
      <c r="EB232" s="19"/>
      <c r="EC232" s="19"/>
      <c r="ED232" s="19"/>
      <c r="EE232" s="19"/>
      <c r="EF232" s="19"/>
      <c r="EG232" s="19"/>
      <c r="EH232" s="19"/>
      <c r="EI232" s="19"/>
      <c r="EJ232" s="19"/>
      <c r="EK232" s="19"/>
      <c r="EL232" s="19"/>
      <c r="EM232" s="19"/>
      <c r="EN232" s="19"/>
      <c r="EO232" s="19"/>
      <c r="EP232" s="19"/>
      <c r="EQ232" s="19"/>
      <c r="ER232" s="19"/>
      <c r="ES232" s="19"/>
      <c r="ET232" s="19"/>
      <c r="EU232" s="19"/>
      <c r="EV232" s="19"/>
      <c r="EW232" s="19"/>
      <c r="EX232" s="19"/>
      <c r="EY232" s="19"/>
      <c r="EZ232" s="19"/>
      <c r="FA232" s="19"/>
      <c r="FB232" s="19"/>
      <c r="FC232" s="19"/>
      <c r="FD232" s="19"/>
      <c r="FE232" s="19"/>
      <c r="FF232" s="19"/>
      <c r="FG232" s="19"/>
      <c r="FH232" s="19"/>
      <c r="FI232" s="19"/>
      <c r="FJ232" s="19"/>
      <c r="FK232" s="19"/>
      <c r="FL232" s="19"/>
      <c r="FM232" s="19"/>
      <c r="FN232" s="19"/>
      <c r="FO232" s="19"/>
      <c r="FP232" s="19"/>
      <c r="FQ232" s="19"/>
      <c r="FR232" s="19"/>
      <c r="FS232" s="19"/>
      <c r="FT232" s="19"/>
      <c r="FU232" s="19"/>
      <c r="FV232" s="19"/>
      <c r="FW232" s="19"/>
      <c r="FX232" s="19"/>
      <c r="FY232" s="19"/>
      <c r="FZ232" s="19"/>
      <c r="GA232" s="19"/>
      <c r="GB232" s="19"/>
      <c r="GC232" s="19"/>
      <c r="GD232" s="19"/>
      <c r="GE232" s="19"/>
      <c r="GF232" s="19"/>
      <c r="GG232" s="19"/>
      <c r="GH232" s="19"/>
      <c r="GI232" s="19"/>
      <c r="GJ232" s="19"/>
      <c r="GK232" s="19"/>
      <c r="GL232" s="19"/>
      <c r="GM232" s="19"/>
      <c r="GN232" s="19"/>
      <c r="GO232" s="19"/>
      <c r="GP232" s="19"/>
      <c r="GQ232" s="19"/>
      <c r="GR232" s="19"/>
      <c r="GS232" s="19"/>
      <c r="GT232" s="19"/>
      <c r="GU232" s="19"/>
      <c r="GV232" s="19"/>
      <c r="GW232" s="19"/>
      <c r="GX232" s="19"/>
      <c r="GY232" s="19"/>
      <c r="GZ232" s="19"/>
      <c r="HA232" s="19"/>
      <c r="HB232" s="19"/>
    </row>
    <row r="233" spans="1:210" x14ac:dyDescent="0.25">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c r="BE233" s="19"/>
      <c r="BF233" s="19"/>
      <c r="BG233" s="19"/>
      <c r="BH233" s="19"/>
      <c r="BI233" s="19"/>
      <c r="BJ233" s="19"/>
      <c r="BK233" s="19"/>
      <c r="BL233" s="19"/>
      <c r="BM233" s="19"/>
      <c r="BN233" s="19"/>
      <c r="BO233" s="19"/>
      <c r="BP233" s="19"/>
      <c r="BQ233" s="19"/>
      <c r="BR233" s="19"/>
      <c r="BS233" s="19"/>
      <c r="BT233" s="19"/>
      <c r="BU233" s="19"/>
      <c r="BV233" s="19"/>
      <c r="BW233" s="19"/>
      <c r="BX233" s="19"/>
      <c r="BY233" s="19"/>
      <c r="BZ233" s="19"/>
      <c r="CA233" s="19"/>
      <c r="CB233" s="19"/>
      <c r="CC233" s="19"/>
      <c r="CD233" s="19"/>
      <c r="CE233" s="19"/>
      <c r="CF233" s="19"/>
      <c r="CG233" s="19"/>
      <c r="CH233" s="19"/>
      <c r="CI233" s="19"/>
      <c r="CJ233" s="19"/>
      <c r="CK233" s="19"/>
      <c r="CL233" s="19"/>
      <c r="CM233" s="19"/>
      <c r="CN233" s="19"/>
      <c r="CO233" s="19"/>
      <c r="CP233" s="19"/>
      <c r="CQ233" s="19"/>
      <c r="CR233" s="19"/>
      <c r="CS233" s="19"/>
      <c r="CT233" s="19"/>
      <c r="CU233" s="19"/>
      <c r="CV233" s="19"/>
      <c r="CW233" s="19"/>
      <c r="CX233" s="19"/>
      <c r="CY233" s="19"/>
      <c r="CZ233" s="19"/>
      <c r="DA233" s="19"/>
      <c r="DB233" s="19"/>
      <c r="DC233" s="19"/>
      <c r="DD233" s="19"/>
      <c r="DE233" s="19"/>
      <c r="DF233" s="19"/>
      <c r="DG233" s="19"/>
      <c r="DH233" s="19"/>
      <c r="DI233" s="19"/>
      <c r="DJ233" s="19"/>
      <c r="DK233" s="19"/>
      <c r="DL233" s="19"/>
      <c r="DM233" s="19"/>
      <c r="DN233" s="19"/>
      <c r="DO233" s="19"/>
      <c r="DP233" s="19"/>
      <c r="DQ233" s="19"/>
      <c r="DR233" s="19"/>
      <c r="DS233" s="19"/>
      <c r="DT233" s="19"/>
      <c r="DU233" s="19"/>
      <c r="DV233" s="19"/>
      <c r="DW233" s="19"/>
      <c r="DX233" s="19"/>
      <c r="DY233" s="19"/>
      <c r="DZ233" s="19"/>
      <c r="EA233" s="19"/>
      <c r="EB233" s="19"/>
      <c r="EC233" s="19"/>
      <c r="ED233" s="19"/>
      <c r="EE233" s="19"/>
      <c r="EF233" s="19"/>
      <c r="EG233" s="19"/>
      <c r="EH233" s="19"/>
      <c r="EI233" s="19"/>
      <c r="EJ233" s="19"/>
      <c r="EK233" s="19"/>
      <c r="EL233" s="19"/>
      <c r="EM233" s="19"/>
      <c r="EN233" s="19"/>
      <c r="EO233" s="19"/>
      <c r="EP233" s="19"/>
      <c r="EQ233" s="19"/>
      <c r="ER233" s="19"/>
      <c r="ES233" s="19"/>
      <c r="ET233" s="19"/>
      <c r="EU233" s="19"/>
      <c r="EV233" s="19"/>
      <c r="EW233" s="19"/>
      <c r="EX233" s="19"/>
      <c r="EY233" s="19"/>
      <c r="EZ233" s="19"/>
      <c r="FA233" s="19"/>
      <c r="FB233" s="19"/>
      <c r="FC233" s="19"/>
      <c r="FD233" s="19"/>
      <c r="FE233" s="19"/>
      <c r="FF233" s="19"/>
      <c r="FG233" s="19"/>
      <c r="FH233" s="19"/>
      <c r="FI233" s="19"/>
      <c r="FJ233" s="19"/>
      <c r="FK233" s="19"/>
      <c r="FL233" s="19"/>
      <c r="FM233" s="19"/>
      <c r="FN233" s="19"/>
      <c r="FO233" s="19"/>
      <c r="FP233" s="19"/>
      <c r="FQ233" s="19"/>
      <c r="FR233" s="19"/>
      <c r="FS233" s="19"/>
      <c r="FT233" s="19"/>
      <c r="FU233" s="19"/>
      <c r="FV233" s="19"/>
      <c r="FW233" s="19"/>
      <c r="FX233" s="19"/>
      <c r="FY233" s="19"/>
      <c r="FZ233" s="19"/>
      <c r="GA233" s="19"/>
      <c r="GB233" s="19"/>
      <c r="GC233" s="19"/>
      <c r="GD233" s="19"/>
      <c r="GE233" s="19"/>
      <c r="GF233" s="19"/>
      <c r="GG233" s="19"/>
      <c r="GH233" s="19"/>
      <c r="GI233" s="19"/>
      <c r="GJ233" s="19"/>
      <c r="GK233" s="19"/>
      <c r="GL233" s="19"/>
      <c r="GM233" s="19"/>
      <c r="GN233" s="19"/>
      <c r="GO233" s="19"/>
      <c r="GP233" s="19"/>
      <c r="GQ233" s="19"/>
      <c r="GR233" s="19"/>
      <c r="GS233" s="19"/>
      <c r="GT233" s="19"/>
      <c r="GU233" s="19"/>
      <c r="GV233" s="19"/>
      <c r="GW233" s="19"/>
      <c r="GX233" s="19"/>
      <c r="GY233" s="19"/>
      <c r="GZ233" s="19"/>
      <c r="HA233" s="19"/>
      <c r="HB233" s="19"/>
    </row>
    <row r="234" spans="1:210" x14ac:dyDescent="0.25">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c r="BE234" s="19"/>
      <c r="BF234" s="19"/>
      <c r="BG234" s="19"/>
      <c r="BH234" s="19"/>
      <c r="BI234" s="19"/>
      <c r="BJ234" s="19"/>
      <c r="BK234" s="19"/>
      <c r="BL234" s="19"/>
      <c r="BM234" s="19"/>
      <c r="BN234" s="19"/>
      <c r="BO234" s="19"/>
      <c r="BP234" s="19"/>
      <c r="BQ234" s="19"/>
      <c r="BR234" s="19"/>
      <c r="BS234" s="19"/>
      <c r="BT234" s="19"/>
      <c r="BU234" s="19"/>
      <c r="BV234" s="19"/>
      <c r="BW234" s="19"/>
      <c r="BX234" s="19"/>
      <c r="BY234" s="19"/>
      <c r="BZ234" s="19"/>
      <c r="CA234" s="19"/>
      <c r="CB234" s="19"/>
      <c r="CC234" s="19"/>
      <c r="CD234" s="19"/>
      <c r="CE234" s="19"/>
      <c r="CF234" s="19"/>
      <c r="CG234" s="19"/>
      <c r="CH234" s="19"/>
      <c r="CI234" s="19"/>
      <c r="CJ234" s="19"/>
      <c r="CK234" s="19"/>
      <c r="CL234" s="19"/>
      <c r="CM234" s="19"/>
      <c r="CN234" s="19"/>
      <c r="CO234" s="19"/>
      <c r="CP234" s="19"/>
      <c r="CQ234" s="19"/>
      <c r="CR234" s="19"/>
      <c r="CS234" s="19"/>
      <c r="CT234" s="19"/>
      <c r="CU234" s="19"/>
      <c r="CV234" s="19"/>
      <c r="CW234" s="19"/>
      <c r="CX234" s="19"/>
      <c r="CY234" s="19"/>
      <c r="CZ234" s="19"/>
      <c r="DA234" s="19"/>
      <c r="DB234" s="19"/>
      <c r="DC234" s="19"/>
      <c r="DD234" s="19"/>
      <c r="DE234" s="19"/>
      <c r="DF234" s="19"/>
      <c r="DG234" s="19"/>
      <c r="DH234" s="19"/>
      <c r="DI234" s="19"/>
      <c r="DJ234" s="19"/>
      <c r="DK234" s="19"/>
      <c r="DL234" s="19"/>
      <c r="DM234" s="19"/>
      <c r="DN234" s="19"/>
      <c r="DO234" s="19"/>
      <c r="DP234" s="19"/>
      <c r="DQ234" s="19"/>
      <c r="DR234" s="19"/>
      <c r="DS234" s="19"/>
      <c r="DT234" s="19"/>
      <c r="DU234" s="19"/>
      <c r="DV234" s="19"/>
      <c r="DW234" s="19"/>
      <c r="DX234" s="19"/>
      <c r="DY234" s="19"/>
      <c r="DZ234" s="19"/>
      <c r="EA234" s="19"/>
      <c r="EB234" s="19"/>
      <c r="EC234" s="19"/>
      <c r="ED234" s="19"/>
      <c r="EE234" s="19"/>
      <c r="EF234" s="19"/>
      <c r="EG234" s="19"/>
      <c r="EH234" s="19"/>
      <c r="EI234" s="19"/>
      <c r="EJ234" s="19"/>
      <c r="EK234" s="19"/>
      <c r="EL234" s="19"/>
      <c r="EM234" s="19"/>
      <c r="EN234" s="19"/>
      <c r="EO234" s="19"/>
      <c r="EP234" s="19"/>
      <c r="EQ234" s="19"/>
      <c r="ER234" s="19"/>
      <c r="ES234" s="19"/>
      <c r="ET234" s="19"/>
      <c r="EU234" s="19"/>
      <c r="EV234" s="19"/>
      <c r="EW234" s="19"/>
      <c r="EX234" s="19"/>
      <c r="EY234" s="19"/>
      <c r="EZ234" s="19"/>
      <c r="FA234" s="19"/>
      <c r="FB234" s="19"/>
      <c r="FC234" s="19"/>
      <c r="FD234" s="19"/>
      <c r="FE234" s="19"/>
      <c r="FF234" s="19"/>
      <c r="FG234" s="19"/>
      <c r="FH234" s="19"/>
      <c r="FI234" s="19"/>
      <c r="FJ234" s="19"/>
      <c r="FK234" s="19"/>
      <c r="FL234" s="19"/>
      <c r="FM234" s="19"/>
      <c r="FN234" s="19"/>
      <c r="FO234" s="19"/>
      <c r="FP234" s="19"/>
      <c r="FQ234" s="19"/>
      <c r="FR234" s="19"/>
      <c r="FS234" s="19"/>
      <c r="FT234" s="19"/>
      <c r="FU234" s="19"/>
      <c r="FV234" s="19"/>
      <c r="FW234" s="19"/>
      <c r="FX234" s="19"/>
      <c r="FY234" s="19"/>
      <c r="FZ234" s="19"/>
      <c r="GA234" s="19"/>
      <c r="GB234" s="19"/>
      <c r="GC234" s="19"/>
      <c r="GD234" s="19"/>
      <c r="GE234" s="19"/>
      <c r="GF234" s="19"/>
      <c r="GG234" s="19"/>
      <c r="GH234" s="19"/>
      <c r="GI234" s="19"/>
      <c r="GJ234" s="19"/>
      <c r="GK234" s="19"/>
      <c r="GL234" s="19"/>
      <c r="GM234" s="19"/>
      <c r="GN234" s="19"/>
      <c r="GO234" s="19"/>
      <c r="GP234" s="19"/>
      <c r="GQ234" s="19"/>
      <c r="GR234" s="19"/>
      <c r="GS234" s="19"/>
      <c r="GT234" s="19"/>
      <c r="GU234" s="19"/>
      <c r="GV234" s="19"/>
      <c r="GW234" s="19"/>
      <c r="GX234" s="19"/>
      <c r="GY234" s="19"/>
      <c r="GZ234" s="19"/>
      <c r="HA234" s="19"/>
      <c r="HB234" s="19"/>
    </row>
    <row r="235" spans="1:210" x14ac:dyDescent="0.25">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c r="BE235" s="19"/>
      <c r="BF235" s="19"/>
      <c r="BG235" s="19"/>
      <c r="BH235" s="19"/>
      <c r="BI235" s="19"/>
      <c r="BJ235" s="19"/>
      <c r="BK235" s="19"/>
      <c r="BL235" s="19"/>
      <c r="BM235" s="19"/>
      <c r="BN235" s="19"/>
      <c r="BO235" s="19"/>
      <c r="BP235" s="19"/>
      <c r="BQ235" s="19"/>
      <c r="BR235" s="19"/>
      <c r="BS235" s="19"/>
      <c r="BT235" s="19"/>
      <c r="BU235" s="19"/>
      <c r="BV235" s="19"/>
      <c r="BW235" s="19"/>
      <c r="BX235" s="19"/>
      <c r="BY235" s="19"/>
      <c r="BZ235" s="19"/>
      <c r="CA235" s="19"/>
      <c r="CB235" s="19"/>
      <c r="CC235" s="19"/>
      <c r="CD235" s="19"/>
      <c r="CE235" s="19"/>
      <c r="CF235" s="19"/>
      <c r="CG235" s="19"/>
      <c r="CH235" s="19"/>
      <c r="CI235" s="19"/>
      <c r="CJ235" s="19"/>
      <c r="CK235" s="19"/>
      <c r="CL235" s="19"/>
      <c r="CM235" s="19"/>
      <c r="CN235" s="19"/>
      <c r="CO235" s="19"/>
      <c r="CP235" s="19"/>
      <c r="CQ235" s="19"/>
      <c r="CR235" s="19"/>
      <c r="CS235" s="19"/>
      <c r="CT235" s="19"/>
      <c r="CU235" s="19"/>
      <c r="CV235" s="19"/>
      <c r="CW235" s="19"/>
      <c r="CX235" s="19"/>
      <c r="CY235" s="19"/>
      <c r="CZ235" s="19"/>
      <c r="DA235" s="19"/>
      <c r="DB235" s="19"/>
      <c r="DC235" s="19"/>
      <c r="DD235" s="19"/>
      <c r="DE235" s="19"/>
      <c r="DF235" s="19"/>
      <c r="DG235" s="19"/>
      <c r="DH235" s="19"/>
      <c r="DI235" s="19"/>
      <c r="DJ235" s="19"/>
      <c r="DK235" s="19"/>
      <c r="DL235" s="19"/>
      <c r="DM235" s="19"/>
      <c r="DN235" s="19"/>
      <c r="DO235" s="19"/>
      <c r="DP235" s="19"/>
      <c r="DQ235" s="19"/>
      <c r="DR235" s="19"/>
      <c r="DS235" s="19"/>
      <c r="DT235" s="19"/>
      <c r="DU235" s="19"/>
      <c r="DV235" s="19"/>
      <c r="DW235" s="19"/>
      <c r="DX235" s="19"/>
      <c r="DY235" s="19"/>
      <c r="DZ235" s="19"/>
      <c r="EA235" s="19"/>
      <c r="EB235" s="19"/>
      <c r="EC235" s="19"/>
      <c r="ED235" s="19"/>
      <c r="EE235" s="19"/>
      <c r="EF235" s="19"/>
      <c r="EG235" s="19"/>
      <c r="EH235" s="19"/>
      <c r="EI235" s="19"/>
      <c r="EJ235" s="19"/>
      <c r="EK235" s="19"/>
      <c r="EL235" s="19"/>
      <c r="EM235" s="19"/>
      <c r="EN235" s="19"/>
      <c r="EO235" s="19"/>
      <c r="EP235" s="19"/>
      <c r="EQ235" s="19"/>
      <c r="ER235" s="19"/>
      <c r="ES235" s="19"/>
      <c r="ET235" s="19"/>
      <c r="EU235" s="19"/>
      <c r="EV235" s="19"/>
      <c r="EW235" s="19"/>
      <c r="EX235" s="19"/>
      <c r="EY235" s="19"/>
      <c r="EZ235" s="19"/>
      <c r="FA235" s="19"/>
      <c r="FB235" s="19"/>
      <c r="FC235" s="19"/>
      <c r="FD235" s="19"/>
      <c r="FE235" s="19"/>
      <c r="FF235" s="19"/>
      <c r="FG235" s="19"/>
      <c r="FH235" s="19"/>
      <c r="FI235" s="19"/>
      <c r="FJ235" s="19"/>
      <c r="FK235" s="19"/>
      <c r="FL235" s="19"/>
      <c r="FM235" s="19"/>
      <c r="FN235" s="19"/>
      <c r="FO235" s="19"/>
      <c r="FP235" s="19"/>
      <c r="FQ235" s="19"/>
      <c r="FR235" s="19"/>
      <c r="FS235" s="19"/>
      <c r="FT235" s="19"/>
      <c r="FU235" s="19"/>
      <c r="FV235" s="19"/>
      <c r="FW235" s="19"/>
      <c r="FX235" s="19"/>
      <c r="FY235" s="19"/>
      <c r="FZ235" s="19"/>
      <c r="GA235" s="19"/>
      <c r="GB235" s="19"/>
      <c r="GC235" s="19"/>
      <c r="GD235" s="19"/>
      <c r="GE235" s="19"/>
      <c r="GF235" s="19"/>
      <c r="GG235" s="19"/>
      <c r="GH235" s="19"/>
      <c r="GI235" s="19"/>
      <c r="GJ235" s="19"/>
      <c r="GK235" s="19"/>
      <c r="GL235" s="19"/>
      <c r="GM235" s="19"/>
      <c r="GN235" s="19"/>
      <c r="GO235" s="19"/>
      <c r="GP235" s="19"/>
      <c r="GQ235" s="19"/>
      <c r="GR235" s="19"/>
      <c r="GS235" s="19"/>
      <c r="GT235" s="19"/>
      <c r="GU235" s="19"/>
      <c r="GV235" s="19"/>
      <c r="GW235" s="19"/>
      <c r="GX235" s="19"/>
      <c r="GY235" s="19"/>
      <c r="GZ235" s="19"/>
      <c r="HA235" s="19"/>
      <c r="HB235" s="19"/>
    </row>
    <row r="236" spans="1:210" x14ac:dyDescent="0.25">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c r="BE236" s="19"/>
      <c r="BF236" s="19"/>
      <c r="BG236" s="19"/>
      <c r="BH236" s="19"/>
      <c r="BI236" s="19"/>
      <c r="BJ236" s="19"/>
      <c r="BK236" s="19"/>
      <c r="BL236" s="19"/>
      <c r="BM236" s="19"/>
      <c r="BN236" s="19"/>
      <c r="BO236" s="19"/>
      <c r="BP236" s="19"/>
      <c r="BQ236" s="19"/>
      <c r="BR236" s="19"/>
      <c r="BS236" s="19"/>
      <c r="BT236" s="19"/>
      <c r="BU236" s="19"/>
      <c r="BV236" s="19"/>
      <c r="BW236" s="19"/>
      <c r="BX236" s="19"/>
      <c r="BY236" s="19"/>
      <c r="BZ236" s="19"/>
      <c r="CA236" s="19"/>
      <c r="CB236" s="19"/>
      <c r="CC236" s="19"/>
      <c r="CD236" s="19"/>
      <c r="CE236" s="19"/>
      <c r="CF236" s="19"/>
      <c r="CG236" s="19"/>
      <c r="CH236" s="19"/>
      <c r="CI236" s="19"/>
      <c r="CJ236" s="19"/>
      <c r="CK236" s="19"/>
      <c r="CL236" s="19"/>
      <c r="CM236" s="19"/>
      <c r="CN236" s="19"/>
      <c r="CO236" s="19"/>
      <c r="CP236" s="19"/>
      <c r="CQ236" s="19"/>
      <c r="CR236" s="19"/>
      <c r="CS236" s="19"/>
      <c r="CT236" s="19"/>
      <c r="CU236" s="19"/>
      <c r="CV236" s="19"/>
      <c r="CW236" s="19"/>
      <c r="CX236" s="19"/>
      <c r="CY236" s="19"/>
      <c r="CZ236" s="19"/>
      <c r="DA236" s="19"/>
      <c r="DB236" s="19"/>
      <c r="DC236" s="19"/>
      <c r="DD236" s="19"/>
      <c r="DE236" s="19"/>
      <c r="DF236" s="19"/>
      <c r="DG236" s="19"/>
      <c r="DH236" s="19"/>
      <c r="DI236" s="19"/>
      <c r="DJ236" s="19"/>
      <c r="DK236" s="19"/>
      <c r="DL236" s="19"/>
      <c r="DM236" s="19"/>
      <c r="DN236" s="19"/>
      <c r="DO236" s="19"/>
      <c r="DP236" s="19"/>
      <c r="DQ236" s="19"/>
      <c r="DR236" s="19"/>
      <c r="DS236" s="19"/>
      <c r="DT236" s="19"/>
      <c r="DU236" s="19"/>
      <c r="DV236" s="19"/>
      <c r="DW236" s="19"/>
      <c r="DX236" s="19"/>
      <c r="DY236" s="19"/>
      <c r="DZ236" s="19"/>
      <c r="EA236" s="19"/>
      <c r="EB236" s="19"/>
      <c r="EC236" s="19"/>
      <c r="ED236" s="19"/>
      <c r="EE236" s="19"/>
      <c r="EF236" s="19"/>
      <c r="EG236" s="19"/>
      <c r="EH236" s="19"/>
      <c r="EI236" s="19"/>
      <c r="EJ236" s="19"/>
      <c r="EK236" s="19"/>
      <c r="EL236" s="19"/>
      <c r="EM236" s="19"/>
      <c r="EN236" s="19"/>
      <c r="EO236" s="19"/>
      <c r="EP236" s="19"/>
      <c r="EQ236" s="19"/>
      <c r="ER236" s="19"/>
      <c r="ES236" s="19"/>
      <c r="ET236" s="19"/>
      <c r="EU236" s="19"/>
      <c r="EV236" s="19"/>
      <c r="EW236" s="19"/>
      <c r="EX236" s="19"/>
      <c r="EY236" s="19"/>
      <c r="EZ236" s="19"/>
      <c r="FA236" s="19"/>
      <c r="FB236" s="19"/>
      <c r="FC236" s="19"/>
      <c r="FD236" s="19"/>
      <c r="FE236" s="19"/>
      <c r="FF236" s="19"/>
      <c r="FG236" s="19"/>
      <c r="FH236" s="19"/>
      <c r="FI236" s="19"/>
      <c r="FJ236" s="19"/>
      <c r="FK236" s="19"/>
      <c r="FL236" s="19"/>
      <c r="FM236" s="19"/>
      <c r="FN236" s="19"/>
      <c r="FO236" s="19"/>
      <c r="FP236" s="19"/>
      <c r="FQ236" s="19"/>
      <c r="FR236" s="19"/>
      <c r="FS236" s="19"/>
      <c r="FT236" s="19"/>
      <c r="FU236" s="19"/>
      <c r="FV236" s="19"/>
      <c r="FW236" s="19"/>
      <c r="FX236" s="19"/>
      <c r="FY236" s="19"/>
      <c r="FZ236" s="19"/>
      <c r="GA236" s="19"/>
      <c r="GB236" s="19"/>
      <c r="GC236" s="19"/>
      <c r="GD236" s="19"/>
      <c r="GE236" s="19"/>
      <c r="GF236" s="19"/>
      <c r="GG236" s="19"/>
      <c r="GH236" s="19"/>
      <c r="GI236" s="19"/>
      <c r="GJ236" s="19"/>
      <c r="GK236" s="19"/>
      <c r="GL236" s="19"/>
      <c r="GM236" s="19"/>
      <c r="GN236" s="19"/>
      <c r="GO236" s="19"/>
      <c r="GP236" s="19"/>
      <c r="GQ236" s="19"/>
      <c r="GR236" s="19"/>
      <c r="GS236" s="19"/>
      <c r="GT236" s="19"/>
      <c r="GU236" s="19"/>
      <c r="GV236" s="19"/>
      <c r="GW236" s="19"/>
      <c r="GX236" s="19"/>
      <c r="GY236" s="19"/>
      <c r="GZ236" s="19"/>
      <c r="HA236" s="19"/>
      <c r="HB236" s="19"/>
    </row>
    <row r="237" spans="1:210" x14ac:dyDescent="0.25">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c r="BE237" s="19"/>
      <c r="BF237" s="19"/>
      <c r="BG237" s="19"/>
      <c r="BH237" s="19"/>
      <c r="BI237" s="19"/>
      <c r="BJ237" s="19"/>
      <c r="BK237" s="19"/>
      <c r="BL237" s="19"/>
      <c r="BM237" s="19"/>
      <c r="BN237" s="19"/>
      <c r="BO237" s="19"/>
      <c r="BP237" s="19"/>
      <c r="BQ237" s="19"/>
      <c r="BR237" s="19"/>
      <c r="BS237" s="19"/>
      <c r="BT237" s="19"/>
      <c r="BU237" s="19"/>
      <c r="BV237" s="19"/>
      <c r="BW237" s="19"/>
      <c r="BX237" s="19"/>
      <c r="BY237" s="19"/>
      <c r="BZ237" s="19"/>
      <c r="CA237" s="19"/>
      <c r="CB237" s="19"/>
      <c r="CC237" s="19"/>
      <c r="CD237" s="19"/>
      <c r="CE237" s="19"/>
      <c r="CF237" s="19"/>
      <c r="CG237" s="19"/>
      <c r="CH237" s="19"/>
      <c r="CI237" s="19"/>
      <c r="CJ237" s="19"/>
      <c r="CK237" s="19"/>
      <c r="CL237" s="19"/>
      <c r="CM237" s="19"/>
      <c r="CN237" s="19"/>
      <c r="CO237" s="19"/>
      <c r="CP237" s="19"/>
      <c r="CQ237" s="19"/>
      <c r="CR237" s="19"/>
      <c r="CS237" s="19"/>
      <c r="CT237" s="19"/>
      <c r="CU237" s="19"/>
      <c r="CV237" s="19"/>
      <c r="CW237" s="19"/>
      <c r="CX237" s="19"/>
      <c r="CY237" s="19"/>
      <c r="CZ237" s="19"/>
      <c r="DA237" s="19"/>
      <c r="DB237" s="19"/>
      <c r="DC237" s="19"/>
      <c r="DD237" s="19"/>
      <c r="DE237" s="19"/>
      <c r="DF237" s="19"/>
      <c r="DG237" s="19"/>
      <c r="DH237" s="19"/>
      <c r="DI237" s="19"/>
      <c r="DJ237" s="19"/>
      <c r="DK237" s="19"/>
      <c r="DL237" s="19"/>
      <c r="DM237" s="19"/>
      <c r="DN237" s="19"/>
      <c r="DO237" s="19"/>
      <c r="DP237" s="19"/>
      <c r="DQ237" s="19"/>
      <c r="DR237" s="19"/>
      <c r="DS237" s="19"/>
      <c r="DT237" s="19"/>
      <c r="DU237" s="19"/>
      <c r="DV237" s="19"/>
      <c r="DW237" s="19"/>
      <c r="DX237" s="19"/>
      <c r="DY237" s="19"/>
      <c r="DZ237" s="19"/>
      <c r="EA237" s="19"/>
      <c r="EB237" s="19"/>
      <c r="EC237" s="19"/>
      <c r="ED237" s="19"/>
      <c r="EE237" s="19"/>
      <c r="EF237" s="19"/>
      <c r="EG237" s="19"/>
      <c r="EH237" s="19"/>
      <c r="EI237" s="19"/>
      <c r="EJ237" s="19"/>
      <c r="EK237" s="19"/>
      <c r="EL237" s="19"/>
      <c r="EM237" s="19"/>
      <c r="EN237" s="19"/>
      <c r="EO237" s="19"/>
      <c r="EP237" s="19"/>
      <c r="EQ237" s="19"/>
      <c r="ER237" s="19"/>
      <c r="ES237" s="19"/>
      <c r="ET237" s="19"/>
      <c r="EU237" s="19"/>
      <c r="EV237" s="19"/>
      <c r="EW237" s="19"/>
      <c r="EX237" s="19"/>
      <c r="EY237" s="19"/>
      <c r="EZ237" s="19"/>
      <c r="FA237" s="19"/>
      <c r="FB237" s="19"/>
      <c r="FC237" s="19"/>
      <c r="FD237" s="19"/>
      <c r="FE237" s="19"/>
      <c r="FF237" s="19"/>
      <c r="FG237" s="19"/>
      <c r="FH237" s="19"/>
      <c r="FI237" s="19"/>
      <c r="FJ237" s="19"/>
      <c r="FK237" s="19"/>
      <c r="FL237" s="19"/>
      <c r="FM237" s="19"/>
      <c r="FN237" s="19"/>
      <c r="FO237" s="19"/>
      <c r="FP237" s="19"/>
      <c r="FQ237" s="19"/>
      <c r="FR237" s="19"/>
      <c r="FS237" s="19"/>
      <c r="FT237" s="19"/>
      <c r="FU237" s="19"/>
      <c r="FV237" s="19"/>
      <c r="FW237" s="19"/>
      <c r="FX237" s="19"/>
      <c r="FY237" s="19"/>
      <c r="FZ237" s="19"/>
      <c r="GA237" s="19"/>
      <c r="GB237" s="19"/>
      <c r="GC237" s="19"/>
      <c r="GD237" s="19"/>
      <c r="GE237" s="19"/>
      <c r="GF237" s="19"/>
      <c r="GG237" s="19"/>
      <c r="GH237" s="19"/>
      <c r="GI237" s="19"/>
      <c r="GJ237" s="19"/>
      <c r="GK237" s="19"/>
      <c r="GL237" s="19"/>
      <c r="GM237" s="19"/>
      <c r="GN237" s="19"/>
      <c r="GO237" s="19"/>
      <c r="GP237" s="19"/>
      <c r="GQ237" s="19"/>
      <c r="GR237" s="19"/>
      <c r="GS237" s="19"/>
      <c r="GT237" s="19"/>
      <c r="GU237" s="19"/>
      <c r="GV237" s="19"/>
      <c r="GW237" s="19"/>
      <c r="GX237" s="19"/>
      <c r="GY237" s="19"/>
      <c r="GZ237" s="19"/>
      <c r="HA237" s="19"/>
      <c r="HB237" s="19"/>
    </row>
    <row r="238" spans="1:210" x14ac:dyDescent="0.25">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c r="BE238" s="19"/>
      <c r="BF238" s="19"/>
      <c r="BG238" s="19"/>
      <c r="BH238" s="19"/>
      <c r="BI238" s="19"/>
      <c r="BJ238" s="19"/>
      <c r="BK238" s="19"/>
      <c r="BL238" s="19"/>
      <c r="BM238" s="19"/>
      <c r="BN238" s="19"/>
      <c r="BO238" s="19"/>
      <c r="BP238" s="19"/>
      <c r="BQ238" s="19"/>
      <c r="BR238" s="19"/>
      <c r="BS238" s="19"/>
      <c r="BT238" s="19"/>
      <c r="BU238" s="19"/>
      <c r="BV238" s="19"/>
      <c r="BW238" s="19"/>
      <c r="BX238" s="19"/>
      <c r="BY238" s="19"/>
      <c r="BZ238" s="19"/>
      <c r="CA238" s="19"/>
      <c r="CB238" s="19"/>
      <c r="CC238" s="19"/>
      <c r="CD238" s="19"/>
      <c r="CE238" s="19"/>
      <c r="CF238" s="19"/>
      <c r="CG238" s="19"/>
      <c r="CH238" s="19"/>
      <c r="CI238" s="19"/>
      <c r="CJ238" s="19"/>
      <c r="CK238" s="19"/>
      <c r="CL238" s="19"/>
      <c r="CM238" s="19"/>
      <c r="CN238" s="19"/>
      <c r="CO238" s="19"/>
      <c r="CP238" s="19"/>
      <c r="CQ238" s="19"/>
      <c r="CR238" s="19"/>
      <c r="CS238" s="19"/>
      <c r="CT238" s="19"/>
      <c r="CU238" s="19"/>
      <c r="CV238" s="19"/>
      <c r="CW238" s="19"/>
      <c r="CX238" s="19"/>
      <c r="CY238" s="19"/>
      <c r="CZ238" s="19"/>
      <c r="DA238" s="19"/>
      <c r="DB238" s="19"/>
      <c r="DC238" s="19"/>
      <c r="DD238" s="19"/>
      <c r="DE238" s="19"/>
      <c r="DF238" s="19"/>
      <c r="DG238" s="19"/>
      <c r="DH238" s="19"/>
      <c r="DI238" s="19"/>
      <c r="DJ238" s="19"/>
      <c r="DK238" s="19"/>
      <c r="DL238" s="19"/>
      <c r="DM238" s="19"/>
      <c r="DN238" s="19"/>
      <c r="DO238" s="19"/>
      <c r="DP238" s="19"/>
      <c r="DQ238" s="19"/>
      <c r="DR238" s="19"/>
      <c r="DS238" s="19"/>
      <c r="DT238" s="19"/>
      <c r="DU238" s="19"/>
      <c r="DV238" s="19"/>
      <c r="DW238" s="19"/>
      <c r="DX238" s="19"/>
      <c r="DY238" s="19"/>
      <c r="DZ238" s="19"/>
      <c r="EA238" s="19"/>
      <c r="EB238" s="19"/>
      <c r="EC238" s="19"/>
      <c r="ED238" s="19"/>
      <c r="EE238" s="19"/>
      <c r="EF238" s="19"/>
      <c r="EG238" s="19"/>
      <c r="EH238" s="19"/>
      <c r="EI238" s="19"/>
      <c r="EJ238" s="19"/>
      <c r="EK238" s="19"/>
      <c r="EL238" s="19"/>
      <c r="EM238" s="19"/>
      <c r="EN238" s="19"/>
      <c r="EO238" s="19"/>
      <c r="EP238" s="19"/>
      <c r="EQ238" s="19"/>
      <c r="ER238" s="19"/>
      <c r="ES238" s="19"/>
      <c r="ET238" s="19"/>
      <c r="EU238" s="19"/>
      <c r="EV238" s="19"/>
      <c r="EW238" s="19"/>
      <c r="EX238" s="19"/>
      <c r="EY238" s="19"/>
      <c r="EZ238" s="19"/>
      <c r="FA238" s="19"/>
      <c r="FB238" s="19"/>
      <c r="FC238" s="19"/>
      <c r="FD238" s="19"/>
      <c r="FE238" s="19"/>
      <c r="FF238" s="19"/>
      <c r="FG238" s="19"/>
      <c r="FH238" s="19"/>
      <c r="FI238" s="19"/>
      <c r="FJ238" s="19"/>
      <c r="FK238" s="19"/>
      <c r="FL238" s="19"/>
      <c r="FM238" s="19"/>
      <c r="FN238" s="19"/>
      <c r="FO238" s="19"/>
      <c r="FP238" s="19"/>
      <c r="FQ238" s="19"/>
      <c r="FR238" s="19"/>
      <c r="FS238" s="19"/>
      <c r="FT238" s="19"/>
      <c r="FU238" s="19"/>
      <c r="FV238" s="19"/>
      <c r="FW238" s="19"/>
      <c r="FX238" s="19"/>
      <c r="FY238" s="19"/>
      <c r="FZ238" s="19"/>
      <c r="GA238" s="19"/>
      <c r="GB238" s="19"/>
      <c r="GC238" s="19"/>
      <c r="GD238" s="19"/>
      <c r="GE238" s="19"/>
      <c r="GF238" s="19"/>
      <c r="GG238" s="19"/>
      <c r="GH238" s="19"/>
      <c r="GI238" s="19"/>
      <c r="GJ238" s="19"/>
      <c r="GK238" s="19"/>
      <c r="GL238" s="19"/>
      <c r="GM238" s="19"/>
      <c r="GN238" s="19"/>
      <c r="GO238" s="19"/>
      <c r="GP238" s="19"/>
      <c r="GQ238" s="19"/>
      <c r="GR238" s="19"/>
      <c r="GS238" s="19"/>
      <c r="GT238" s="19"/>
      <c r="GU238" s="19"/>
      <c r="GV238" s="19"/>
      <c r="GW238" s="19"/>
      <c r="GX238" s="19"/>
      <c r="GY238" s="19"/>
      <c r="GZ238" s="19"/>
      <c r="HA238" s="19"/>
      <c r="HB238" s="19"/>
    </row>
    <row r="239" spans="1:210" x14ac:dyDescent="0.25">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c r="BE239" s="19"/>
      <c r="BF239" s="19"/>
      <c r="BG239" s="19"/>
      <c r="BH239" s="19"/>
      <c r="BI239" s="19"/>
      <c r="BJ239" s="19"/>
      <c r="BK239" s="19"/>
      <c r="BL239" s="19"/>
      <c r="BM239" s="19"/>
      <c r="BN239" s="19"/>
      <c r="BO239" s="19"/>
      <c r="BP239" s="19"/>
      <c r="BQ239" s="19"/>
      <c r="BR239" s="19"/>
      <c r="BS239" s="19"/>
      <c r="BT239" s="19"/>
      <c r="BU239" s="19"/>
      <c r="BV239" s="19"/>
      <c r="BW239" s="19"/>
      <c r="BX239" s="19"/>
      <c r="BY239" s="19"/>
      <c r="BZ239" s="19"/>
      <c r="CA239" s="19"/>
      <c r="CB239" s="19"/>
      <c r="CC239" s="19"/>
      <c r="CD239" s="19"/>
      <c r="CE239" s="19"/>
      <c r="CF239" s="19"/>
      <c r="CG239" s="19"/>
      <c r="CH239" s="19"/>
      <c r="CI239" s="19"/>
      <c r="CJ239" s="19"/>
      <c r="CK239" s="19"/>
      <c r="CL239" s="19"/>
      <c r="CM239" s="19"/>
      <c r="CN239" s="19"/>
      <c r="CO239" s="19"/>
      <c r="CP239" s="19"/>
      <c r="CQ239" s="19"/>
      <c r="CR239" s="19"/>
      <c r="CS239" s="19"/>
      <c r="CT239" s="19"/>
      <c r="CU239" s="19"/>
      <c r="CV239" s="19"/>
      <c r="CW239" s="19"/>
      <c r="CX239" s="19"/>
      <c r="CY239" s="19"/>
      <c r="CZ239" s="19"/>
      <c r="DA239" s="19"/>
      <c r="DB239" s="19"/>
      <c r="DC239" s="19"/>
      <c r="DD239" s="19"/>
      <c r="DE239" s="19"/>
      <c r="DF239" s="19"/>
      <c r="DG239" s="19"/>
      <c r="DH239" s="19"/>
      <c r="DI239" s="19"/>
      <c r="DJ239" s="19"/>
      <c r="DK239" s="19"/>
      <c r="DL239" s="19"/>
      <c r="DM239" s="19"/>
      <c r="DN239" s="19"/>
      <c r="DO239" s="19"/>
      <c r="DP239" s="19"/>
      <c r="DQ239" s="19"/>
      <c r="DR239" s="19"/>
      <c r="DS239" s="19"/>
      <c r="DT239" s="19"/>
      <c r="DU239" s="19"/>
      <c r="DV239" s="19"/>
      <c r="DW239" s="19"/>
      <c r="DX239" s="19"/>
      <c r="DY239" s="19"/>
      <c r="DZ239" s="19"/>
      <c r="EA239" s="19"/>
      <c r="EB239" s="19"/>
      <c r="EC239" s="19"/>
      <c r="ED239" s="19"/>
      <c r="EE239" s="19"/>
      <c r="EF239" s="19"/>
      <c r="EG239" s="19"/>
      <c r="EH239" s="19"/>
      <c r="EI239" s="19"/>
      <c r="EJ239" s="19"/>
      <c r="EK239" s="19"/>
      <c r="EL239" s="19"/>
      <c r="EM239" s="19"/>
      <c r="EN239" s="19"/>
      <c r="EO239" s="19"/>
      <c r="EP239" s="19"/>
      <c r="EQ239" s="19"/>
      <c r="ER239" s="19"/>
      <c r="ES239" s="19"/>
      <c r="ET239" s="19"/>
      <c r="EU239" s="19"/>
      <c r="EV239" s="19"/>
      <c r="EW239" s="19"/>
      <c r="EX239" s="19"/>
      <c r="EY239" s="19"/>
      <c r="EZ239" s="19"/>
      <c r="FA239" s="19"/>
      <c r="FB239" s="19"/>
      <c r="FC239" s="19"/>
      <c r="FD239" s="19"/>
      <c r="FE239" s="19"/>
      <c r="FF239" s="19"/>
      <c r="FG239" s="19"/>
      <c r="FH239" s="19"/>
      <c r="FI239" s="19"/>
      <c r="FJ239" s="19"/>
      <c r="FK239" s="19"/>
      <c r="FL239" s="19"/>
      <c r="FM239" s="19"/>
      <c r="FN239" s="19"/>
      <c r="FO239" s="19"/>
      <c r="FP239" s="19"/>
      <c r="FQ239" s="19"/>
      <c r="FR239" s="19"/>
      <c r="FS239" s="19"/>
      <c r="FT239" s="19"/>
      <c r="FU239" s="19"/>
      <c r="FV239" s="19"/>
      <c r="FW239" s="19"/>
      <c r="FX239" s="19"/>
      <c r="FY239" s="19"/>
      <c r="FZ239" s="19"/>
      <c r="GA239" s="19"/>
      <c r="GB239" s="19"/>
      <c r="GC239" s="19"/>
      <c r="GD239" s="19"/>
      <c r="GE239" s="19"/>
      <c r="GF239" s="19"/>
      <c r="GG239" s="19"/>
      <c r="GH239" s="19"/>
      <c r="GI239" s="19"/>
      <c r="GJ239" s="19"/>
      <c r="GK239" s="19"/>
      <c r="GL239" s="19"/>
      <c r="GM239" s="19"/>
      <c r="GN239" s="19"/>
      <c r="GO239" s="19"/>
      <c r="GP239" s="19"/>
      <c r="GQ239" s="19"/>
      <c r="GR239" s="19"/>
      <c r="GS239" s="19"/>
      <c r="GT239" s="19"/>
      <c r="GU239" s="19"/>
      <c r="GV239" s="19"/>
      <c r="GW239" s="19"/>
      <c r="GX239" s="19"/>
      <c r="GY239" s="19"/>
      <c r="GZ239" s="19"/>
      <c r="HA239" s="19"/>
      <c r="HB239" s="19"/>
    </row>
    <row r="240" spans="1:210" x14ac:dyDescent="0.25">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c r="BE240" s="19"/>
      <c r="BF240" s="19"/>
      <c r="BG240" s="19"/>
      <c r="BH240" s="19"/>
      <c r="BI240" s="19"/>
      <c r="BJ240" s="19"/>
      <c r="BK240" s="19"/>
      <c r="BL240" s="19"/>
      <c r="BM240" s="19"/>
      <c r="BN240" s="19"/>
      <c r="BO240" s="19"/>
      <c r="BP240" s="19"/>
      <c r="BQ240" s="19"/>
      <c r="BR240" s="19"/>
      <c r="BS240" s="19"/>
      <c r="BT240" s="19"/>
      <c r="BU240" s="19"/>
      <c r="BV240" s="19"/>
      <c r="BW240" s="19"/>
      <c r="BX240" s="19"/>
      <c r="BY240" s="19"/>
      <c r="BZ240" s="19"/>
      <c r="CA240" s="19"/>
      <c r="CB240" s="19"/>
      <c r="CC240" s="19"/>
      <c r="CD240" s="19"/>
      <c r="CE240" s="19"/>
      <c r="CF240" s="19"/>
      <c r="CG240" s="19"/>
      <c r="CH240" s="19"/>
      <c r="CI240" s="19"/>
      <c r="CJ240" s="19"/>
      <c r="CK240" s="19"/>
      <c r="CL240" s="19"/>
      <c r="CM240" s="19"/>
      <c r="CN240" s="19"/>
      <c r="CO240" s="19"/>
      <c r="CP240" s="19"/>
      <c r="CQ240" s="19"/>
      <c r="CR240" s="19"/>
      <c r="CS240" s="19"/>
      <c r="CT240" s="19"/>
      <c r="CU240" s="19"/>
      <c r="CV240" s="19"/>
      <c r="CW240" s="19"/>
      <c r="CX240" s="19"/>
      <c r="CY240" s="19"/>
      <c r="CZ240" s="19"/>
      <c r="DA240" s="19"/>
      <c r="DB240" s="19"/>
      <c r="DC240" s="19"/>
      <c r="DD240" s="19"/>
      <c r="DE240" s="19"/>
      <c r="DF240" s="19"/>
      <c r="DG240" s="19"/>
      <c r="DH240" s="19"/>
      <c r="DI240" s="19"/>
      <c r="DJ240" s="19"/>
      <c r="DK240" s="19"/>
      <c r="DL240" s="19"/>
      <c r="DM240" s="19"/>
      <c r="DN240" s="19"/>
      <c r="DO240" s="19"/>
      <c r="DP240" s="19"/>
      <c r="DQ240" s="19"/>
      <c r="DR240" s="19"/>
      <c r="DS240" s="19"/>
      <c r="DT240" s="19"/>
      <c r="DU240" s="19"/>
      <c r="DV240" s="19"/>
      <c r="DW240" s="19"/>
      <c r="DX240" s="19"/>
      <c r="DY240" s="19"/>
      <c r="DZ240" s="19"/>
      <c r="EA240" s="19"/>
      <c r="EB240" s="19"/>
      <c r="EC240" s="19"/>
      <c r="ED240" s="19"/>
      <c r="EE240" s="19"/>
      <c r="EF240" s="19"/>
      <c r="EG240" s="19"/>
      <c r="EH240" s="19"/>
      <c r="EI240" s="19"/>
      <c r="EJ240" s="19"/>
      <c r="EK240" s="19"/>
      <c r="EL240" s="19"/>
      <c r="EM240" s="19"/>
      <c r="EN240" s="19"/>
      <c r="EO240" s="19"/>
      <c r="EP240" s="19"/>
      <c r="EQ240" s="19"/>
      <c r="ER240" s="19"/>
      <c r="ES240" s="19"/>
      <c r="ET240" s="19"/>
      <c r="EU240" s="19"/>
      <c r="EV240" s="19"/>
      <c r="EW240" s="19"/>
      <c r="EX240" s="19"/>
      <c r="EY240" s="19"/>
      <c r="EZ240" s="19"/>
      <c r="FA240" s="19"/>
      <c r="FB240" s="19"/>
      <c r="FC240" s="19"/>
      <c r="FD240" s="19"/>
      <c r="FE240" s="19"/>
      <c r="FF240" s="19"/>
      <c r="FG240" s="19"/>
      <c r="FH240" s="19"/>
      <c r="FI240" s="19"/>
      <c r="FJ240" s="19"/>
      <c r="FK240" s="19"/>
      <c r="FL240" s="19"/>
      <c r="FM240" s="19"/>
      <c r="FN240" s="19"/>
      <c r="FO240" s="19"/>
      <c r="FP240" s="19"/>
      <c r="FQ240" s="19"/>
      <c r="FR240" s="19"/>
      <c r="FS240" s="19"/>
      <c r="FT240" s="19"/>
      <c r="FU240" s="19"/>
      <c r="FV240" s="19"/>
      <c r="FW240" s="19"/>
      <c r="FX240" s="19"/>
      <c r="FY240" s="19"/>
      <c r="FZ240" s="19"/>
      <c r="GA240" s="19"/>
      <c r="GB240" s="19"/>
      <c r="GC240" s="19"/>
      <c r="GD240" s="19"/>
      <c r="GE240" s="19"/>
      <c r="GF240" s="19"/>
      <c r="GG240" s="19"/>
      <c r="GH240" s="19"/>
      <c r="GI240" s="19"/>
      <c r="GJ240" s="19"/>
      <c r="GK240" s="19"/>
      <c r="GL240" s="19"/>
      <c r="GM240" s="19"/>
      <c r="GN240" s="19"/>
      <c r="GO240" s="19"/>
      <c r="GP240" s="19"/>
      <c r="GQ240" s="19"/>
      <c r="GR240" s="19"/>
      <c r="GS240" s="19"/>
      <c r="GT240" s="19"/>
      <c r="GU240" s="19"/>
      <c r="GV240" s="19"/>
      <c r="GW240" s="19"/>
      <c r="GX240" s="19"/>
      <c r="GY240" s="19"/>
      <c r="GZ240" s="19"/>
      <c r="HA240" s="19"/>
      <c r="HB240" s="19"/>
    </row>
    <row r="241" spans="1:210" x14ac:dyDescent="0.25">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c r="BE241" s="19"/>
      <c r="BF241" s="19"/>
      <c r="BG241" s="19"/>
      <c r="BH241" s="19"/>
      <c r="BI241" s="19"/>
      <c r="BJ241" s="19"/>
      <c r="BK241" s="19"/>
      <c r="BL241" s="19"/>
      <c r="BM241" s="19"/>
      <c r="BN241" s="19"/>
      <c r="BO241" s="19"/>
      <c r="BP241" s="19"/>
      <c r="BQ241" s="19"/>
      <c r="BR241" s="19"/>
      <c r="BS241" s="19"/>
      <c r="BT241" s="19"/>
      <c r="BU241" s="19"/>
      <c r="BV241" s="19"/>
      <c r="BW241" s="19"/>
      <c r="BX241" s="19"/>
      <c r="BY241" s="19"/>
      <c r="BZ241" s="19"/>
      <c r="CA241" s="19"/>
      <c r="CB241" s="19"/>
      <c r="CC241" s="19"/>
      <c r="CD241" s="19"/>
      <c r="CE241" s="19"/>
      <c r="CF241" s="19"/>
      <c r="CG241" s="19"/>
      <c r="CH241" s="19"/>
      <c r="CI241" s="19"/>
      <c r="CJ241" s="19"/>
      <c r="CK241" s="19"/>
      <c r="CL241" s="19"/>
      <c r="CM241" s="19"/>
      <c r="CN241" s="19"/>
      <c r="CO241" s="19"/>
      <c r="CP241" s="19"/>
      <c r="CQ241" s="19"/>
      <c r="CR241" s="19"/>
      <c r="CS241" s="19"/>
      <c r="CT241" s="19"/>
      <c r="CU241" s="19"/>
      <c r="CV241" s="19"/>
      <c r="CW241" s="19"/>
      <c r="CX241" s="19"/>
      <c r="CY241" s="19"/>
      <c r="CZ241" s="19"/>
      <c r="DA241" s="19"/>
      <c r="DB241" s="19"/>
      <c r="DC241" s="19"/>
      <c r="DD241" s="19"/>
      <c r="DE241" s="19"/>
      <c r="DF241" s="19"/>
      <c r="DG241" s="19"/>
      <c r="DH241" s="19"/>
      <c r="DI241" s="19"/>
      <c r="DJ241" s="19"/>
      <c r="DK241" s="19"/>
      <c r="DL241" s="19"/>
      <c r="DM241" s="19"/>
      <c r="DN241" s="19"/>
      <c r="DO241" s="19"/>
      <c r="DP241" s="19"/>
      <c r="DQ241" s="19"/>
      <c r="DR241" s="19"/>
      <c r="DS241" s="19"/>
      <c r="DT241" s="19"/>
      <c r="DU241" s="19"/>
      <c r="DV241" s="19"/>
      <c r="DW241" s="19"/>
      <c r="DX241" s="19"/>
      <c r="DY241" s="19"/>
      <c r="DZ241" s="19"/>
      <c r="EA241" s="19"/>
      <c r="EB241" s="19"/>
      <c r="EC241" s="19"/>
      <c r="ED241" s="19"/>
      <c r="EE241" s="19"/>
      <c r="EF241" s="19"/>
      <c r="EG241" s="19"/>
      <c r="EH241" s="19"/>
      <c r="EI241" s="19"/>
      <c r="EJ241" s="19"/>
      <c r="EK241" s="19"/>
      <c r="EL241" s="19"/>
      <c r="EM241" s="19"/>
      <c r="EN241" s="19"/>
      <c r="EO241" s="19"/>
      <c r="EP241" s="19"/>
      <c r="EQ241" s="19"/>
      <c r="ER241" s="19"/>
      <c r="ES241" s="19"/>
      <c r="ET241" s="19"/>
      <c r="EU241" s="19"/>
      <c r="EV241" s="19"/>
      <c r="EW241" s="19"/>
      <c r="EX241" s="19"/>
      <c r="EY241" s="19"/>
      <c r="EZ241" s="19"/>
      <c r="FA241" s="19"/>
      <c r="FB241" s="19"/>
      <c r="FC241" s="19"/>
      <c r="FD241" s="19"/>
      <c r="FE241" s="19"/>
      <c r="FF241" s="19"/>
      <c r="FG241" s="19"/>
      <c r="FH241" s="19"/>
      <c r="FI241" s="19"/>
      <c r="FJ241" s="19"/>
      <c r="FK241" s="19"/>
      <c r="FL241" s="19"/>
      <c r="FM241" s="19"/>
      <c r="FN241" s="19"/>
      <c r="FO241" s="19"/>
      <c r="FP241" s="19"/>
      <c r="FQ241" s="19"/>
      <c r="FR241" s="19"/>
      <c r="FS241" s="19"/>
      <c r="FT241" s="19"/>
      <c r="FU241" s="19"/>
      <c r="FV241" s="19"/>
      <c r="FW241" s="19"/>
      <c r="FX241" s="19"/>
      <c r="FY241" s="19"/>
      <c r="FZ241" s="19"/>
      <c r="GA241" s="19"/>
      <c r="GB241" s="19"/>
      <c r="GC241" s="19"/>
      <c r="GD241" s="19"/>
      <c r="GE241" s="19"/>
      <c r="GF241" s="19"/>
      <c r="GG241" s="19"/>
      <c r="GH241" s="19"/>
      <c r="GI241" s="19"/>
      <c r="GJ241" s="19"/>
      <c r="GK241" s="19"/>
      <c r="GL241" s="19"/>
      <c r="GM241" s="19"/>
      <c r="GN241" s="19"/>
      <c r="GO241" s="19"/>
      <c r="GP241" s="19"/>
      <c r="GQ241" s="19"/>
      <c r="GR241" s="19"/>
      <c r="GS241" s="19"/>
      <c r="GT241" s="19"/>
      <c r="GU241" s="19"/>
      <c r="GV241" s="19"/>
      <c r="GW241" s="19"/>
      <c r="GX241" s="19"/>
      <c r="GY241" s="19"/>
      <c r="GZ241" s="19"/>
      <c r="HA241" s="19"/>
      <c r="HB241" s="19"/>
    </row>
    <row r="242" spans="1:210" x14ac:dyDescent="0.25">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c r="BE242" s="19"/>
      <c r="BF242" s="19"/>
      <c r="BG242" s="19"/>
      <c r="BH242" s="19"/>
      <c r="BI242" s="19"/>
      <c r="BJ242" s="19"/>
      <c r="BK242" s="19"/>
      <c r="BL242" s="19"/>
      <c r="BM242" s="19"/>
      <c r="BN242" s="19"/>
      <c r="BO242" s="19"/>
      <c r="BP242" s="19"/>
      <c r="BQ242" s="19"/>
      <c r="BR242" s="19"/>
      <c r="BS242" s="19"/>
      <c r="BT242" s="19"/>
      <c r="BU242" s="19"/>
      <c r="BV242" s="19"/>
      <c r="BW242" s="19"/>
      <c r="BX242" s="19"/>
      <c r="BY242" s="19"/>
      <c r="BZ242" s="19"/>
      <c r="CA242" s="19"/>
      <c r="CB242" s="19"/>
      <c r="CC242" s="19"/>
      <c r="CD242" s="19"/>
      <c r="CE242" s="19"/>
      <c r="CF242" s="19"/>
      <c r="CG242" s="19"/>
      <c r="CH242" s="19"/>
      <c r="CI242" s="19"/>
      <c r="CJ242" s="19"/>
      <c r="CK242" s="19"/>
      <c r="CL242" s="19"/>
      <c r="CM242" s="19"/>
      <c r="CN242" s="19"/>
      <c r="CO242" s="19"/>
      <c r="CP242" s="19"/>
      <c r="CQ242" s="19"/>
      <c r="CR242" s="19"/>
      <c r="CS242" s="19"/>
      <c r="CT242" s="19"/>
      <c r="CU242" s="19"/>
      <c r="CV242" s="19"/>
      <c r="CW242" s="19"/>
      <c r="CX242" s="19"/>
      <c r="CY242" s="19"/>
      <c r="CZ242" s="19"/>
      <c r="DA242" s="19"/>
      <c r="DB242" s="19"/>
      <c r="DC242" s="19"/>
      <c r="DD242" s="19"/>
      <c r="DE242" s="19"/>
      <c r="DF242" s="19"/>
      <c r="DG242" s="19"/>
      <c r="DH242" s="19"/>
      <c r="DI242" s="19"/>
      <c r="DJ242" s="19"/>
      <c r="DK242" s="19"/>
      <c r="DL242" s="19"/>
      <c r="DM242" s="19"/>
      <c r="DN242" s="19"/>
      <c r="DO242" s="19"/>
      <c r="DP242" s="19"/>
      <c r="DQ242" s="19"/>
      <c r="DR242" s="19"/>
      <c r="DS242" s="19"/>
      <c r="DT242" s="19"/>
      <c r="DU242" s="19"/>
      <c r="DV242" s="19"/>
      <c r="DW242" s="19"/>
      <c r="DX242" s="19"/>
      <c r="DY242" s="19"/>
      <c r="DZ242" s="19"/>
      <c r="EA242" s="19"/>
      <c r="EB242" s="19"/>
      <c r="EC242" s="19"/>
      <c r="ED242" s="19"/>
      <c r="EE242" s="19"/>
      <c r="EF242" s="19"/>
      <c r="EG242" s="19"/>
      <c r="EH242" s="19"/>
      <c r="EI242" s="19"/>
      <c r="EJ242" s="19"/>
      <c r="EK242" s="19"/>
      <c r="EL242" s="19"/>
      <c r="EM242" s="19"/>
      <c r="EN242" s="19"/>
      <c r="EO242" s="19"/>
      <c r="EP242" s="19"/>
      <c r="EQ242" s="19"/>
      <c r="ER242" s="19"/>
      <c r="ES242" s="19"/>
      <c r="ET242" s="19"/>
      <c r="EU242" s="19"/>
      <c r="EV242" s="19"/>
      <c r="EW242" s="19"/>
      <c r="EX242" s="19"/>
      <c r="EY242" s="19"/>
      <c r="EZ242" s="19"/>
      <c r="FA242" s="19"/>
      <c r="FB242" s="19"/>
      <c r="FC242" s="19"/>
      <c r="FD242" s="19"/>
      <c r="FE242" s="19"/>
      <c r="FF242" s="19"/>
      <c r="FG242" s="19"/>
      <c r="FH242" s="19"/>
      <c r="FI242" s="19"/>
      <c r="FJ242" s="19"/>
      <c r="FK242" s="19"/>
      <c r="FL242" s="19"/>
      <c r="FM242" s="19"/>
      <c r="FN242" s="19"/>
      <c r="FO242" s="19"/>
      <c r="FP242" s="19"/>
      <c r="FQ242" s="19"/>
      <c r="FR242" s="19"/>
      <c r="FS242" s="19"/>
      <c r="FT242" s="19"/>
      <c r="FU242" s="19"/>
      <c r="FV242" s="19"/>
      <c r="FW242" s="19"/>
      <c r="FX242" s="19"/>
      <c r="FY242" s="19"/>
      <c r="FZ242" s="19"/>
      <c r="GA242" s="19"/>
      <c r="GB242" s="19"/>
      <c r="GC242" s="19"/>
      <c r="GD242" s="19"/>
      <c r="GE242" s="19"/>
      <c r="GF242" s="19"/>
      <c r="GG242" s="19"/>
      <c r="GH242" s="19"/>
      <c r="GI242" s="19"/>
      <c r="GJ242" s="19"/>
      <c r="GK242" s="19"/>
      <c r="GL242" s="19"/>
      <c r="GM242" s="19"/>
      <c r="GN242" s="19"/>
      <c r="GO242" s="19"/>
      <c r="GP242" s="19"/>
      <c r="GQ242" s="19"/>
      <c r="GR242" s="19"/>
      <c r="GS242" s="19"/>
      <c r="GT242" s="19"/>
      <c r="GU242" s="19"/>
      <c r="GV242" s="19"/>
      <c r="GW242" s="19"/>
      <c r="GX242" s="19"/>
      <c r="GY242" s="19"/>
      <c r="GZ242" s="19"/>
      <c r="HA242" s="19"/>
      <c r="HB242" s="19"/>
    </row>
    <row r="243" spans="1:210" x14ac:dyDescent="0.25">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c r="BE243" s="19"/>
      <c r="BF243" s="19"/>
      <c r="BG243" s="19"/>
      <c r="BH243" s="19"/>
      <c r="BI243" s="19"/>
      <c r="BJ243" s="19"/>
      <c r="BK243" s="19"/>
      <c r="BL243" s="19"/>
      <c r="BM243" s="19"/>
      <c r="BN243" s="19"/>
      <c r="BO243" s="19"/>
      <c r="BP243" s="19"/>
      <c r="BQ243" s="19"/>
      <c r="BR243" s="19"/>
      <c r="BS243" s="19"/>
      <c r="BT243" s="19"/>
      <c r="BU243" s="19"/>
      <c r="BV243" s="19"/>
      <c r="BW243" s="19"/>
      <c r="BX243" s="19"/>
      <c r="BY243" s="19"/>
      <c r="BZ243" s="19"/>
      <c r="CA243" s="19"/>
      <c r="CB243" s="19"/>
      <c r="CC243" s="19"/>
      <c r="CD243" s="19"/>
      <c r="CE243" s="19"/>
      <c r="CF243" s="19"/>
      <c r="CG243" s="19"/>
      <c r="CH243" s="19"/>
      <c r="CI243" s="19"/>
      <c r="CJ243" s="19"/>
      <c r="CK243" s="19"/>
      <c r="CL243" s="19"/>
      <c r="CM243" s="19"/>
      <c r="CN243" s="19"/>
      <c r="CO243" s="19"/>
      <c r="CP243" s="19"/>
      <c r="CQ243" s="19"/>
      <c r="CR243" s="19"/>
      <c r="CS243" s="19"/>
      <c r="CT243" s="19"/>
      <c r="CU243" s="19"/>
      <c r="CV243" s="19"/>
      <c r="CW243" s="19"/>
      <c r="CX243" s="19"/>
      <c r="CY243" s="19"/>
      <c r="CZ243" s="19"/>
      <c r="DA243" s="19"/>
      <c r="DB243" s="19"/>
      <c r="DC243" s="19"/>
      <c r="DD243" s="19"/>
      <c r="DE243" s="19"/>
      <c r="DF243" s="19"/>
      <c r="DG243" s="19"/>
      <c r="DH243" s="19"/>
      <c r="DI243" s="19"/>
      <c r="DJ243" s="19"/>
      <c r="DK243" s="19"/>
      <c r="DL243" s="19"/>
      <c r="DM243" s="19"/>
      <c r="DN243" s="19"/>
      <c r="DO243" s="19"/>
      <c r="DP243" s="19"/>
      <c r="DQ243" s="19"/>
      <c r="DR243" s="19"/>
      <c r="DS243" s="19"/>
      <c r="DT243" s="19"/>
      <c r="DU243" s="19"/>
      <c r="DV243" s="19"/>
      <c r="DW243" s="19"/>
      <c r="DX243" s="19"/>
      <c r="DY243" s="19"/>
      <c r="DZ243" s="19"/>
      <c r="EA243" s="19"/>
      <c r="EB243" s="19"/>
      <c r="EC243" s="19"/>
      <c r="ED243" s="19"/>
      <c r="EE243" s="19"/>
      <c r="EF243" s="19"/>
      <c r="EG243" s="19"/>
      <c r="EH243" s="19"/>
      <c r="EI243" s="19"/>
      <c r="EJ243" s="19"/>
      <c r="EK243" s="19"/>
      <c r="EL243" s="19"/>
      <c r="EM243" s="19"/>
      <c r="EN243" s="19"/>
      <c r="EO243" s="19"/>
      <c r="EP243" s="19"/>
      <c r="EQ243" s="19"/>
      <c r="ER243" s="19"/>
      <c r="ES243" s="19"/>
      <c r="ET243" s="19"/>
      <c r="EU243" s="19"/>
      <c r="EV243" s="19"/>
      <c r="EW243" s="19"/>
      <c r="EX243" s="19"/>
      <c r="EY243" s="19"/>
      <c r="EZ243" s="19"/>
      <c r="FA243" s="19"/>
      <c r="FB243" s="19"/>
      <c r="FC243" s="19"/>
      <c r="FD243" s="19"/>
      <c r="FE243" s="19"/>
      <c r="FF243" s="19"/>
      <c r="FG243" s="19"/>
      <c r="FH243" s="19"/>
      <c r="FI243" s="19"/>
      <c r="FJ243" s="19"/>
      <c r="FK243" s="19"/>
      <c r="FL243" s="19"/>
      <c r="FM243" s="19"/>
      <c r="FN243" s="19"/>
      <c r="FO243" s="19"/>
      <c r="FP243" s="19"/>
      <c r="FQ243" s="19"/>
      <c r="FR243" s="19"/>
      <c r="FS243" s="19"/>
      <c r="FT243" s="19"/>
      <c r="FU243" s="19"/>
      <c r="FV243" s="19"/>
      <c r="FW243" s="19"/>
      <c r="FX243" s="19"/>
      <c r="FY243" s="19"/>
      <c r="FZ243" s="19"/>
      <c r="GA243" s="19"/>
      <c r="GB243" s="19"/>
      <c r="GC243" s="19"/>
      <c r="GD243" s="19"/>
      <c r="GE243" s="19"/>
      <c r="GF243" s="19"/>
      <c r="GG243" s="19"/>
      <c r="GH243" s="19"/>
      <c r="GI243" s="19"/>
      <c r="GJ243" s="19"/>
      <c r="GK243" s="19"/>
      <c r="GL243" s="19"/>
      <c r="GM243" s="19"/>
      <c r="GN243" s="19"/>
      <c r="GO243" s="19"/>
      <c r="GP243" s="19"/>
      <c r="GQ243" s="19"/>
      <c r="GR243" s="19"/>
      <c r="GS243" s="19"/>
      <c r="GT243" s="19"/>
      <c r="GU243" s="19"/>
      <c r="GV243" s="19"/>
      <c r="GW243" s="19"/>
      <c r="GX243" s="19"/>
      <c r="GY243" s="19"/>
      <c r="GZ243" s="19"/>
      <c r="HA243" s="19"/>
      <c r="HB243" s="19"/>
    </row>
    <row r="244" spans="1:210" x14ac:dyDescent="0.25">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c r="BE244" s="19"/>
      <c r="BF244" s="19"/>
      <c r="BG244" s="19"/>
      <c r="BH244" s="19"/>
      <c r="BI244" s="19"/>
      <c r="BJ244" s="19"/>
      <c r="BK244" s="19"/>
      <c r="BL244" s="19"/>
      <c r="BM244" s="19"/>
      <c r="BN244" s="19"/>
      <c r="BO244" s="19"/>
      <c r="BP244" s="19"/>
      <c r="BQ244" s="19"/>
      <c r="BR244" s="19"/>
      <c r="BS244" s="19"/>
      <c r="BT244" s="19"/>
      <c r="BU244" s="19"/>
      <c r="BV244" s="19"/>
      <c r="BW244" s="19"/>
      <c r="BX244" s="19"/>
      <c r="BY244" s="19"/>
      <c r="BZ244" s="19"/>
      <c r="CA244" s="19"/>
      <c r="CB244" s="19"/>
      <c r="CC244" s="19"/>
      <c r="CD244" s="19"/>
      <c r="CE244" s="19"/>
      <c r="CF244" s="19"/>
      <c r="CG244" s="19"/>
      <c r="CH244" s="19"/>
      <c r="CI244" s="19"/>
      <c r="CJ244" s="19"/>
      <c r="CK244" s="19"/>
      <c r="CL244" s="19"/>
      <c r="CM244" s="19"/>
      <c r="CN244" s="19"/>
      <c r="CO244" s="19"/>
      <c r="CP244" s="19"/>
      <c r="CQ244" s="19"/>
      <c r="CR244" s="19"/>
      <c r="CS244" s="19"/>
      <c r="CT244" s="19"/>
      <c r="CU244" s="19"/>
      <c r="CV244" s="19"/>
      <c r="CW244" s="19"/>
      <c r="CX244" s="19"/>
      <c r="CY244" s="19"/>
      <c r="CZ244" s="19"/>
      <c r="DA244" s="19"/>
      <c r="DB244" s="19"/>
      <c r="DC244" s="19"/>
      <c r="DD244" s="19"/>
      <c r="DE244" s="19"/>
      <c r="DF244" s="19"/>
      <c r="DG244" s="19"/>
      <c r="DH244" s="19"/>
      <c r="DI244" s="19"/>
      <c r="DJ244" s="19"/>
      <c r="DK244" s="19"/>
      <c r="DL244" s="19"/>
      <c r="DM244" s="19"/>
      <c r="DN244" s="19"/>
      <c r="DO244" s="19"/>
      <c r="DP244" s="19"/>
      <c r="DQ244" s="19"/>
      <c r="DR244" s="19"/>
      <c r="DS244" s="19"/>
      <c r="DT244" s="19"/>
      <c r="DU244" s="19"/>
      <c r="DV244" s="19"/>
      <c r="DW244" s="19"/>
      <c r="DX244" s="19"/>
      <c r="DY244" s="19"/>
      <c r="DZ244" s="19"/>
      <c r="EA244" s="19"/>
      <c r="EB244" s="19"/>
      <c r="EC244" s="19"/>
      <c r="ED244" s="19"/>
      <c r="EE244" s="19"/>
      <c r="EF244" s="19"/>
      <c r="EG244" s="19"/>
      <c r="EH244" s="19"/>
      <c r="EI244" s="19"/>
      <c r="EJ244" s="19"/>
      <c r="EK244" s="19"/>
      <c r="EL244" s="19"/>
      <c r="EM244" s="19"/>
      <c r="EN244" s="19"/>
      <c r="EO244" s="19"/>
      <c r="EP244" s="19"/>
      <c r="EQ244" s="19"/>
      <c r="ER244" s="19"/>
      <c r="ES244" s="19"/>
      <c r="ET244" s="19"/>
      <c r="EU244" s="19"/>
      <c r="EV244" s="19"/>
      <c r="EW244" s="19"/>
      <c r="EX244" s="19"/>
      <c r="EY244" s="19"/>
      <c r="EZ244" s="19"/>
      <c r="FA244" s="19"/>
      <c r="FB244" s="19"/>
      <c r="FC244" s="19"/>
      <c r="FD244" s="19"/>
      <c r="FE244" s="19"/>
      <c r="FF244" s="19"/>
      <c r="FG244" s="19"/>
      <c r="FH244" s="19"/>
      <c r="FI244" s="19"/>
      <c r="FJ244" s="19"/>
      <c r="FK244" s="19"/>
      <c r="FL244" s="19"/>
      <c r="FM244" s="19"/>
      <c r="FN244" s="19"/>
      <c r="FO244" s="19"/>
      <c r="FP244" s="19"/>
      <c r="FQ244" s="19"/>
      <c r="FR244" s="19"/>
      <c r="FS244" s="19"/>
      <c r="FT244" s="19"/>
      <c r="FU244" s="19"/>
      <c r="FV244" s="19"/>
      <c r="FW244" s="19"/>
      <c r="FX244" s="19"/>
      <c r="FY244" s="19"/>
      <c r="FZ244" s="19"/>
      <c r="GA244" s="19"/>
      <c r="GB244" s="19"/>
      <c r="GC244" s="19"/>
      <c r="GD244" s="19"/>
      <c r="GE244" s="19"/>
      <c r="GF244" s="19"/>
      <c r="GG244" s="19"/>
      <c r="GH244" s="19"/>
      <c r="GI244" s="19"/>
      <c r="GJ244" s="19"/>
      <c r="GK244" s="19"/>
      <c r="GL244" s="19"/>
      <c r="GM244" s="19"/>
      <c r="GN244" s="19"/>
      <c r="GO244" s="19"/>
      <c r="GP244" s="19"/>
      <c r="GQ244" s="19"/>
      <c r="GR244" s="19"/>
      <c r="GS244" s="19"/>
      <c r="GT244" s="19"/>
      <c r="GU244" s="19"/>
      <c r="GV244" s="19"/>
      <c r="GW244" s="19"/>
      <c r="GX244" s="19"/>
      <c r="GY244" s="19"/>
      <c r="GZ244" s="19"/>
      <c r="HA244" s="19"/>
      <c r="HB244" s="19"/>
    </row>
    <row r="245" spans="1:210" x14ac:dyDescent="0.25">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c r="BE245" s="19"/>
      <c r="BF245" s="19"/>
      <c r="BG245" s="19"/>
      <c r="BH245" s="19"/>
      <c r="BI245" s="19"/>
      <c r="BJ245" s="19"/>
      <c r="BK245" s="19"/>
      <c r="BL245" s="19"/>
      <c r="BM245" s="19"/>
      <c r="BN245" s="19"/>
      <c r="BO245" s="19"/>
      <c r="BP245" s="19"/>
      <c r="BQ245" s="19"/>
      <c r="BR245" s="19"/>
      <c r="BS245" s="19"/>
      <c r="BT245" s="19"/>
      <c r="BU245" s="19"/>
      <c r="BV245" s="19"/>
      <c r="BW245" s="19"/>
      <c r="BX245" s="19"/>
      <c r="BY245" s="19"/>
      <c r="BZ245" s="19"/>
      <c r="CA245" s="19"/>
      <c r="CB245" s="19"/>
      <c r="CC245" s="19"/>
      <c r="CD245" s="19"/>
      <c r="CE245" s="19"/>
      <c r="CF245" s="19"/>
      <c r="CG245" s="19"/>
      <c r="CH245" s="19"/>
      <c r="CI245" s="19"/>
      <c r="CJ245" s="19"/>
      <c r="CK245" s="19"/>
      <c r="CL245" s="19"/>
      <c r="CM245" s="19"/>
      <c r="CN245" s="19"/>
      <c r="CO245" s="19"/>
      <c r="CP245" s="19"/>
      <c r="CQ245" s="19"/>
      <c r="CR245" s="19"/>
      <c r="CS245" s="19"/>
      <c r="CT245" s="19"/>
      <c r="CU245" s="19"/>
      <c r="CV245" s="19"/>
      <c r="CW245" s="19"/>
      <c r="CX245" s="19"/>
      <c r="CY245" s="19"/>
      <c r="CZ245" s="19"/>
      <c r="DA245" s="19"/>
      <c r="DB245" s="19"/>
      <c r="DC245" s="19"/>
      <c r="DD245" s="19"/>
      <c r="DE245" s="19"/>
      <c r="DF245" s="19"/>
      <c r="DG245" s="19"/>
      <c r="DH245" s="19"/>
      <c r="DI245" s="19"/>
      <c r="DJ245" s="19"/>
      <c r="DK245" s="19"/>
      <c r="DL245" s="19"/>
      <c r="DM245" s="19"/>
      <c r="DN245" s="19"/>
      <c r="DO245" s="19"/>
      <c r="DP245" s="19"/>
      <c r="DQ245" s="19"/>
      <c r="DR245" s="19"/>
      <c r="DS245" s="19"/>
      <c r="DT245" s="19"/>
      <c r="DU245" s="19"/>
      <c r="DV245" s="19"/>
      <c r="DW245" s="19"/>
      <c r="DX245" s="19"/>
      <c r="DY245" s="19"/>
      <c r="DZ245" s="19"/>
      <c r="EA245" s="19"/>
      <c r="EB245" s="19"/>
      <c r="EC245" s="19"/>
      <c r="ED245" s="19"/>
      <c r="EE245" s="19"/>
      <c r="EF245" s="19"/>
      <c r="EG245" s="19"/>
      <c r="EH245" s="19"/>
      <c r="EI245" s="19"/>
      <c r="EJ245" s="19"/>
      <c r="EK245" s="19"/>
      <c r="EL245" s="19"/>
      <c r="EM245" s="19"/>
      <c r="EN245" s="19"/>
      <c r="EO245" s="19"/>
      <c r="EP245" s="19"/>
      <c r="EQ245" s="19"/>
      <c r="ER245" s="19"/>
      <c r="ES245" s="19"/>
      <c r="ET245" s="19"/>
      <c r="EU245" s="19"/>
      <c r="EV245" s="19"/>
      <c r="EW245" s="19"/>
      <c r="EX245" s="19"/>
      <c r="EY245" s="19"/>
      <c r="EZ245" s="19"/>
      <c r="FA245" s="19"/>
      <c r="FB245" s="19"/>
      <c r="FC245" s="19"/>
      <c r="FD245" s="19"/>
      <c r="FE245" s="19"/>
      <c r="FF245" s="19"/>
      <c r="FG245" s="19"/>
      <c r="FH245" s="19"/>
      <c r="FI245" s="19"/>
      <c r="FJ245" s="19"/>
      <c r="FK245" s="19"/>
      <c r="FL245" s="19"/>
      <c r="FM245" s="19"/>
      <c r="FN245" s="19"/>
      <c r="FO245" s="19"/>
      <c r="FP245" s="19"/>
      <c r="FQ245" s="19"/>
      <c r="FR245" s="19"/>
      <c r="FS245" s="19"/>
      <c r="FT245" s="19"/>
      <c r="FU245" s="19"/>
      <c r="FV245" s="19"/>
      <c r="FW245" s="19"/>
      <c r="FX245" s="19"/>
      <c r="FY245" s="19"/>
      <c r="FZ245" s="19"/>
      <c r="GA245" s="19"/>
      <c r="GB245" s="19"/>
      <c r="GC245" s="19"/>
      <c r="GD245" s="19"/>
      <c r="GE245" s="19"/>
      <c r="GF245" s="19"/>
      <c r="GG245" s="19"/>
      <c r="GH245" s="19"/>
      <c r="GI245" s="19"/>
      <c r="GJ245" s="19"/>
      <c r="GK245" s="19"/>
      <c r="GL245" s="19"/>
      <c r="GM245" s="19"/>
      <c r="GN245" s="19"/>
      <c r="GO245" s="19"/>
      <c r="GP245" s="19"/>
      <c r="GQ245" s="19"/>
      <c r="GR245" s="19"/>
      <c r="GS245" s="19"/>
      <c r="GT245" s="19"/>
      <c r="GU245" s="19"/>
      <c r="GV245" s="19"/>
      <c r="GW245" s="19"/>
      <c r="GX245" s="19"/>
      <c r="GY245" s="19"/>
      <c r="GZ245" s="19"/>
      <c r="HA245" s="19"/>
      <c r="HB245" s="19"/>
    </row>
    <row r="246" spans="1:210" x14ac:dyDescent="0.25">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c r="BE246" s="19"/>
      <c r="BF246" s="19"/>
      <c r="BG246" s="19"/>
      <c r="BH246" s="19"/>
      <c r="BI246" s="19"/>
      <c r="BJ246" s="19"/>
      <c r="BK246" s="19"/>
      <c r="BL246" s="19"/>
      <c r="BM246" s="19"/>
      <c r="BN246" s="19"/>
      <c r="BO246" s="19"/>
      <c r="BP246" s="19"/>
      <c r="BQ246" s="19"/>
      <c r="BR246" s="19"/>
      <c r="BS246" s="19"/>
      <c r="BT246" s="19"/>
      <c r="BU246" s="19"/>
      <c r="BV246" s="19"/>
      <c r="BW246" s="19"/>
      <c r="BX246" s="19"/>
      <c r="BY246" s="19"/>
      <c r="BZ246" s="19"/>
      <c r="CA246" s="19"/>
      <c r="CB246" s="19"/>
      <c r="CC246" s="19"/>
      <c r="CD246" s="19"/>
      <c r="CE246" s="19"/>
      <c r="CF246" s="19"/>
      <c r="CG246" s="19"/>
      <c r="CH246" s="19"/>
      <c r="CI246" s="19"/>
      <c r="CJ246" s="19"/>
      <c r="CK246" s="19"/>
      <c r="CL246" s="19"/>
      <c r="CM246" s="19"/>
      <c r="CN246" s="19"/>
      <c r="CO246" s="19"/>
      <c r="CP246" s="19"/>
      <c r="CQ246" s="19"/>
      <c r="CR246" s="19"/>
      <c r="CS246" s="19"/>
      <c r="CT246" s="19"/>
      <c r="CU246" s="19"/>
      <c r="CV246" s="19"/>
      <c r="CW246" s="19"/>
      <c r="CX246" s="19"/>
      <c r="CY246" s="19"/>
      <c r="CZ246" s="19"/>
      <c r="DA246" s="19"/>
      <c r="DB246" s="19"/>
      <c r="DC246" s="19"/>
      <c r="DD246" s="19"/>
      <c r="DE246" s="19"/>
      <c r="DF246" s="19"/>
      <c r="DG246" s="19"/>
      <c r="DH246" s="19"/>
      <c r="DI246" s="19"/>
      <c r="DJ246" s="19"/>
      <c r="DK246" s="19"/>
      <c r="DL246" s="19"/>
      <c r="DM246" s="19"/>
      <c r="DN246" s="19"/>
      <c r="DO246" s="19"/>
      <c r="DP246" s="19"/>
      <c r="DQ246" s="19"/>
      <c r="DR246" s="19"/>
      <c r="DS246" s="19"/>
      <c r="DT246" s="19"/>
      <c r="DU246" s="19"/>
      <c r="DV246" s="19"/>
      <c r="DW246" s="19"/>
      <c r="DX246" s="19"/>
      <c r="DY246" s="19"/>
      <c r="DZ246" s="19"/>
      <c r="EA246" s="19"/>
      <c r="EB246" s="19"/>
      <c r="EC246" s="19"/>
      <c r="ED246" s="19"/>
      <c r="EE246" s="19"/>
      <c r="EF246" s="19"/>
      <c r="EG246" s="19"/>
      <c r="EH246" s="19"/>
      <c r="EI246" s="19"/>
      <c r="EJ246" s="19"/>
      <c r="EK246" s="19"/>
      <c r="EL246" s="19"/>
      <c r="EM246" s="19"/>
      <c r="EN246" s="19"/>
      <c r="EO246" s="19"/>
      <c r="EP246" s="19"/>
      <c r="EQ246" s="19"/>
      <c r="ER246" s="19"/>
      <c r="ES246" s="19"/>
      <c r="ET246" s="19"/>
      <c r="EU246" s="19"/>
      <c r="EV246" s="19"/>
      <c r="EW246" s="19"/>
      <c r="EX246" s="19"/>
      <c r="EY246" s="19"/>
      <c r="EZ246" s="19"/>
      <c r="FA246" s="19"/>
      <c r="FB246" s="19"/>
      <c r="FC246" s="19"/>
      <c r="FD246" s="19"/>
      <c r="FE246" s="19"/>
      <c r="FF246" s="19"/>
      <c r="FG246" s="19"/>
      <c r="FH246" s="19"/>
      <c r="FI246" s="19"/>
      <c r="FJ246" s="19"/>
      <c r="FK246" s="19"/>
      <c r="FL246" s="19"/>
      <c r="FM246" s="19"/>
      <c r="FN246" s="19"/>
      <c r="FO246" s="19"/>
      <c r="FP246" s="19"/>
      <c r="FQ246" s="19"/>
      <c r="FR246" s="19"/>
      <c r="FS246" s="19"/>
      <c r="FT246" s="19"/>
      <c r="FU246" s="19"/>
      <c r="FV246" s="19"/>
      <c r="FW246" s="19"/>
      <c r="FX246" s="19"/>
      <c r="FY246" s="19"/>
      <c r="FZ246" s="19"/>
      <c r="GA246" s="19"/>
      <c r="GB246" s="19"/>
      <c r="GC246" s="19"/>
      <c r="GD246" s="19"/>
      <c r="GE246" s="19"/>
      <c r="GF246" s="19"/>
      <c r="GG246" s="19"/>
      <c r="GH246" s="19"/>
      <c r="GI246" s="19"/>
      <c r="GJ246" s="19"/>
      <c r="GK246" s="19"/>
      <c r="GL246" s="19"/>
      <c r="GM246" s="19"/>
      <c r="GN246" s="19"/>
      <c r="GO246" s="19"/>
      <c r="GP246" s="19"/>
      <c r="GQ246" s="19"/>
      <c r="GR246" s="19"/>
      <c r="GS246" s="19"/>
      <c r="GT246" s="19"/>
      <c r="GU246" s="19"/>
      <c r="GV246" s="19"/>
      <c r="GW246" s="19"/>
      <c r="GX246" s="19"/>
      <c r="GY246" s="19"/>
      <c r="GZ246" s="19"/>
      <c r="HA246" s="19"/>
      <c r="HB246" s="19"/>
    </row>
    <row r="247" spans="1:210" x14ac:dyDescent="0.25">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c r="BE247" s="19"/>
      <c r="BF247" s="19"/>
      <c r="BG247" s="19"/>
      <c r="BH247" s="19"/>
      <c r="BI247" s="19"/>
      <c r="BJ247" s="19"/>
      <c r="BK247" s="19"/>
      <c r="BL247" s="19"/>
      <c r="BM247" s="19"/>
      <c r="BN247" s="19"/>
      <c r="BO247" s="19"/>
      <c r="BP247" s="19"/>
      <c r="BQ247" s="19"/>
      <c r="BR247" s="19"/>
      <c r="BS247" s="19"/>
      <c r="BT247" s="19"/>
      <c r="BU247" s="19"/>
      <c r="BV247" s="19"/>
      <c r="BW247" s="19"/>
      <c r="BX247" s="19"/>
      <c r="BY247" s="19"/>
      <c r="BZ247" s="19"/>
      <c r="CA247" s="19"/>
      <c r="CB247" s="19"/>
      <c r="CC247" s="19"/>
      <c r="CD247" s="19"/>
      <c r="CE247" s="19"/>
      <c r="CF247" s="19"/>
      <c r="CG247" s="19"/>
      <c r="CH247" s="19"/>
      <c r="CI247" s="19"/>
      <c r="CJ247" s="19"/>
      <c r="CK247" s="19"/>
      <c r="CL247" s="19"/>
      <c r="CM247" s="19"/>
      <c r="CN247" s="19"/>
      <c r="CO247" s="19"/>
      <c r="CP247" s="19"/>
      <c r="CQ247" s="19"/>
      <c r="CR247" s="19"/>
      <c r="CS247" s="19"/>
      <c r="CT247" s="19"/>
      <c r="CU247" s="19"/>
      <c r="CV247" s="19"/>
      <c r="CW247" s="19"/>
      <c r="CX247" s="19"/>
      <c r="CY247" s="19"/>
      <c r="CZ247" s="19"/>
      <c r="DA247" s="19"/>
      <c r="DB247" s="19"/>
      <c r="DC247" s="19"/>
      <c r="DD247" s="19"/>
      <c r="DE247" s="19"/>
      <c r="DF247" s="19"/>
      <c r="DG247" s="19"/>
      <c r="DH247" s="19"/>
      <c r="DI247" s="19"/>
      <c r="DJ247" s="19"/>
      <c r="DK247" s="19"/>
      <c r="DL247" s="19"/>
      <c r="DM247" s="19"/>
      <c r="DN247" s="19"/>
      <c r="DO247" s="19"/>
      <c r="DP247" s="19"/>
      <c r="DQ247" s="19"/>
      <c r="DR247" s="19"/>
      <c r="DS247" s="19"/>
      <c r="DT247" s="19"/>
      <c r="DU247" s="19"/>
      <c r="DV247" s="19"/>
      <c r="DW247" s="19"/>
      <c r="DX247" s="19"/>
      <c r="DY247" s="19"/>
      <c r="DZ247" s="19"/>
      <c r="EA247" s="19"/>
      <c r="EB247" s="19"/>
      <c r="EC247" s="19"/>
      <c r="ED247" s="19"/>
      <c r="EE247" s="19"/>
      <c r="EF247" s="19"/>
      <c r="EG247" s="19"/>
      <c r="EH247" s="19"/>
      <c r="EI247" s="19"/>
      <c r="EJ247" s="19"/>
      <c r="EK247" s="19"/>
      <c r="EL247" s="19"/>
      <c r="EM247" s="19"/>
      <c r="EN247" s="19"/>
      <c r="EO247" s="19"/>
      <c r="EP247" s="19"/>
      <c r="EQ247" s="19"/>
      <c r="ER247" s="19"/>
      <c r="ES247" s="19"/>
      <c r="ET247" s="19"/>
      <c r="EU247" s="19"/>
      <c r="EV247" s="19"/>
      <c r="EW247" s="19"/>
      <c r="EX247" s="19"/>
      <c r="EY247" s="19"/>
      <c r="EZ247" s="19"/>
      <c r="FA247" s="19"/>
      <c r="FB247" s="19"/>
      <c r="FC247" s="19"/>
      <c r="FD247" s="19"/>
      <c r="FE247" s="19"/>
      <c r="FF247" s="19"/>
      <c r="FG247" s="19"/>
      <c r="FH247" s="19"/>
      <c r="FI247" s="19"/>
      <c r="FJ247" s="19"/>
      <c r="FK247" s="19"/>
      <c r="FL247" s="19"/>
      <c r="FM247" s="19"/>
      <c r="FN247" s="19"/>
      <c r="FO247" s="19"/>
      <c r="FP247" s="19"/>
      <c r="FQ247" s="19"/>
      <c r="FR247" s="19"/>
      <c r="FS247" s="19"/>
      <c r="FT247" s="19"/>
      <c r="FU247" s="19"/>
      <c r="FV247" s="19"/>
      <c r="FW247" s="19"/>
      <c r="FX247" s="19"/>
      <c r="FY247" s="19"/>
      <c r="FZ247" s="19"/>
      <c r="GA247" s="19"/>
      <c r="GB247" s="19"/>
      <c r="GC247" s="19"/>
      <c r="GD247" s="19"/>
      <c r="GE247" s="19"/>
      <c r="GF247" s="19"/>
      <c r="GG247" s="19"/>
      <c r="GH247" s="19"/>
      <c r="GI247" s="19"/>
      <c r="GJ247" s="19"/>
      <c r="GK247" s="19"/>
      <c r="GL247" s="19"/>
      <c r="GM247" s="19"/>
      <c r="GN247" s="19"/>
      <c r="GO247" s="19"/>
      <c r="GP247" s="19"/>
      <c r="GQ247" s="19"/>
      <c r="GR247" s="19"/>
      <c r="GS247" s="19"/>
      <c r="GT247" s="19"/>
      <c r="GU247" s="19"/>
      <c r="GV247" s="19"/>
      <c r="GW247" s="19"/>
      <c r="GX247" s="19"/>
      <c r="GY247" s="19"/>
      <c r="GZ247" s="19"/>
      <c r="HA247" s="19"/>
      <c r="HB247" s="19"/>
    </row>
    <row r="248" spans="1:210" x14ac:dyDescent="0.25">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c r="BE248" s="19"/>
      <c r="BF248" s="19"/>
      <c r="BG248" s="19"/>
      <c r="BH248" s="19"/>
      <c r="BI248" s="19"/>
      <c r="BJ248" s="19"/>
      <c r="BK248" s="19"/>
      <c r="BL248" s="19"/>
      <c r="BM248" s="19"/>
      <c r="BN248" s="19"/>
      <c r="BO248" s="19"/>
      <c r="BP248" s="19"/>
      <c r="BQ248" s="19"/>
      <c r="BR248" s="19"/>
      <c r="BS248" s="19"/>
      <c r="BT248" s="19"/>
      <c r="BU248" s="19"/>
      <c r="BV248" s="19"/>
      <c r="BW248" s="19"/>
      <c r="BX248" s="19"/>
      <c r="BY248" s="19"/>
      <c r="BZ248" s="19"/>
      <c r="CA248" s="19"/>
      <c r="CB248" s="19"/>
      <c r="CC248" s="19"/>
      <c r="CD248" s="19"/>
      <c r="CE248" s="19"/>
      <c r="CF248" s="19"/>
      <c r="CG248" s="19"/>
      <c r="CH248" s="19"/>
      <c r="CI248" s="19"/>
      <c r="CJ248" s="19"/>
      <c r="CK248" s="19"/>
      <c r="CL248" s="19"/>
      <c r="CM248" s="19"/>
      <c r="CN248" s="19"/>
      <c r="CO248" s="19"/>
      <c r="CP248" s="19"/>
      <c r="CQ248" s="19"/>
      <c r="CR248" s="19"/>
      <c r="CS248" s="19"/>
      <c r="CT248" s="19"/>
      <c r="CU248" s="19"/>
      <c r="CV248" s="19"/>
      <c r="CW248" s="19"/>
      <c r="CX248" s="19"/>
      <c r="CY248" s="19"/>
      <c r="CZ248" s="19"/>
      <c r="DA248" s="19"/>
      <c r="DB248" s="19"/>
      <c r="DC248" s="19"/>
      <c r="DD248" s="19"/>
      <c r="DE248" s="19"/>
      <c r="DF248" s="19"/>
      <c r="DG248" s="19"/>
      <c r="DH248" s="19"/>
      <c r="DI248" s="19"/>
      <c r="DJ248" s="19"/>
      <c r="DK248" s="19"/>
      <c r="DL248" s="19"/>
      <c r="DM248" s="19"/>
      <c r="DN248" s="19"/>
      <c r="DO248" s="19"/>
      <c r="DP248" s="19"/>
      <c r="DQ248" s="19"/>
      <c r="DR248" s="19"/>
      <c r="DS248" s="19"/>
      <c r="DT248" s="19"/>
      <c r="DU248" s="19"/>
      <c r="DV248" s="19"/>
      <c r="DW248" s="19"/>
      <c r="DX248" s="19"/>
      <c r="DY248" s="19"/>
      <c r="DZ248" s="19"/>
      <c r="EA248" s="19"/>
      <c r="EB248" s="19"/>
      <c r="EC248" s="19"/>
      <c r="ED248" s="19"/>
      <c r="EE248" s="19"/>
      <c r="EF248" s="19"/>
      <c r="EG248" s="19"/>
      <c r="EH248" s="19"/>
      <c r="EI248" s="19"/>
      <c r="EJ248" s="19"/>
      <c r="EK248" s="19"/>
      <c r="EL248" s="19"/>
      <c r="EM248" s="19"/>
      <c r="EN248" s="19"/>
      <c r="EO248" s="19"/>
      <c r="EP248" s="19"/>
      <c r="EQ248" s="19"/>
      <c r="ER248" s="19"/>
      <c r="ES248" s="19"/>
      <c r="ET248" s="19"/>
      <c r="EU248" s="19"/>
      <c r="EV248" s="19"/>
      <c r="EW248" s="19"/>
      <c r="EX248" s="19"/>
      <c r="EY248" s="19"/>
      <c r="EZ248" s="19"/>
      <c r="FA248" s="19"/>
      <c r="FB248" s="19"/>
      <c r="FC248" s="19"/>
      <c r="FD248" s="19"/>
      <c r="FE248" s="19"/>
      <c r="FF248" s="19"/>
      <c r="FG248" s="19"/>
      <c r="FH248" s="19"/>
      <c r="FI248" s="19"/>
      <c r="FJ248" s="19"/>
      <c r="FK248" s="19"/>
      <c r="FL248" s="19"/>
      <c r="FM248" s="19"/>
      <c r="FN248" s="19"/>
      <c r="FO248" s="19"/>
      <c r="FP248" s="19"/>
      <c r="FQ248" s="19"/>
      <c r="FR248" s="19"/>
      <c r="FS248" s="19"/>
      <c r="FT248" s="19"/>
      <c r="FU248" s="19"/>
      <c r="FV248" s="19"/>
      <c r="FW248" s="19"/>
      <c r="FX248" s="19"/>
      <c r="FY248" s="19"/>
      <c r="FZ248" s="19"/>
      <c r="GA248" s="19"/>
      <c r="GB248" s="19"/>
      <c r="GC248" s="19"/>
      <c r="GD248" s="19"/>
      <c r="GE248" s="19"/>
      <c r="GF248" s="19"/>
      <c r="GG248" s="19"/>
      <c r="GH248" s="19"/>
      <c r="GI248" s="19"/>
      <c r="GJ248" s="19"/>
      <c r="GK248" s="19"/>
      <c r="GL248" s="19"/>
      <c r="GM248" s="19"/>
      <c r="GN248" s="19"/>
      <c r="GO248" s="19"/>
      <c r="GP248" s="19"/>
      <c r="GQ248" s="19"/>
      <c r="GR248" s="19"/>
      <c r="GS248" s="19"/>
      <c r="GT248" s="19"/>
      <c r="GU248" s="19"/>
      <c r="GV248" s="19"/>
      <c r="GW248" s="19"/>
      <c r="GX248" s="19"/>
      <c r="GY248" s="19"/>
      <c r="GZ248" s="19"/>
      <c r="HA248" s="19"/>
      <c r="HB248" s="19"/>
    </row>
    <row r="249" spans="1:210" x14ac:dyDescent="0.25">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c r="BE249" s="19"/>
      <c r="BF249" s="19"/>
      <c r="BG249" s="19"/>
      <c r="BH249" s="19"/>
      <c r="BI249" s="19"/>
      <c r="BJ249" s="19"/>
      <c r="BK249" s="19"/>
      <c r="BL249" s="19"/>
      <c r="BM249" s="19"/>
      <c r="BN249" s="19"/>
      <c r="BO249" s="19"/>
      <c r="BP249" s="19"/>
      <c r="BQ249" s="19"/>
      <c r="BR249" s="19"/>
      <c r="BS249" s="19"/>
      <c r="BT249" s="19"/>
      <c r="BU249" s="19"/>
      <c r="BV249" s="19"/>
      <c r="BW249" s="19"/>
      <c r="BX249" s="19"/>
      <c r="BY249" s="19"/>
      <c r="BZ249" s="19"/>
      <c r="CA249" s="19"/>
      <c r="CB249" s="19"/>
      <c r="CC249" s="19"/>
      <c r="CD249" s="19"/>
      <c r="CE249" s="19"/>
      <c r="CF249" s="19"/>
      <c r="CG249" s="19"/>
      <c r="CH249" s="19"/>
      <c r="CI249" s="19"/>
      <c r="CJ249" s="19"/>
      <c r="CK249" s="19"/>
      <c r="CL249" s="19"/>
      <c r="CM249" s="19"/>
      <c r="CN249" s="19"/>
      <c r="CO249" s="19"/>
      <c r="CP249" s="19"/>
      <c r="CQ249" s="19"/>
      <c r="CR249" s="19"/>
      <c r="CS249" s="19"/>
      <c r="CT249" s="19"/>
      <c r="CU249" s="19"/>
      <c r="CV249" s="19"/>
      <c r="CW249" s="19"/>
      <c r="CX249" s="19"/>
      <c r="CY249" s="19"/>
      <c r="CZ249" s="19"/>
      <c r="DA249" s="19"/>
      <c r="DB249" s="19"/>
      <c r="DC249" s="19"/>
      <c r="DD249" s="19"/>
      <c r="DE249" s="19"/>
      <c r="DF249" s="19"/>
      <c r="DG249" s="19"/>
      <c r="DH249" s="19"/>
      <c r="DI249" s="19"/>
      <c r="DJ249" s="19"/>
      <c r="DK249" s="19"/>
      <c r="DL249" s="19"/>
      <c r="DM249" s="19"/>
      <c r="DN249" s="19"/>
      <c r="DO249" s="19"/>
      <c r="DP249" s="19"/>
      <c r="DQ249" s="19"/>
      <c r="DR249" s="19"/>
      <c r="DS249" s="19"/>
      <c r="DT249" s="19"/>
      <c r="DU249" s="19"/>
      <c r="DV249" s="19"/>
      <c r="DW249" s="19"/>
      <c r="DX249" s="19"/>
      <c r="DY249" s="19"/>
      <c r="DZ249" s="19"/>
      <c r="EA249" s="19"/>
      <c r="EB249" s="19"/>
      <c r="EC249" s="19"/>
      <c r="ED249" s="19"/>
      <c r="EE249" s="19"/>
      <c r="EF249" s="19"/>
      <c r="EG249" s="19"/>
      <c r="EH249" s="19"/>
      <c r="EI249" s="19"/>
      <c r="EJ249" s="19"/>
      <c r="EK249" s="19"/>
      <c r="EL249" s="19"/>
      <c r="EM249" s="19"/>
      <c r="EN249" s="19"/>
      <c r="EO249" s="19"/>
      <c r="EP249" s="19"/>
      <c r="EQ249" s="19"/>
      <c r="ER249" s="19"/>
      <c r="ES249" s="19"/>
      <c r="ET249" s="19"/>
      <c r="EU249" s="19"/>
      <c r="EV249" s="19"/>
      <c r="EW249" s="19"/>
      <c r="EX249" s="19"/>
      <c r="EY249" s="19"/>
      <c r="EZ249" s="19"/>
      <c r="FA249" s="19"/>
      <c r="FB249" s="19"/>
      <c r="FC249" s="19"/>
      <c r="FD249" s="19"/>
      <c r="FE249" s="19"/>
      <c r="FF249" s="19"/>
      <c r="FG249" s="19"/>
      <c r="FH249" s="19"/>
      <c r="FI249" s="19"/>
      <c r="FJ249" s="19"/>
      <c r="FK249" s="19"/>
      <c r="FL249" s="19"/>
      <c r="FM249" s="19"/>
      <c r="FN249" s="19"/>
      <c r="FO249" s="19"/>
      <c r="FP249" s="19"/>
      <c r="FQ249" s="19"/>
      <c r="FR249" s="19"/>
      <c r="FS249" s="19"/>
      <c r="FT249" s="19"/>
      <c r="FU249" s="19"/>
      <c r="FV249" s="19"/>
      <c r="FW249" s="19"/>
      <c r="FX249" s="19"/>
      <c r="FY249" s="19"/>
      <c r="FZ249" s="19"/>
      <c r="GA249" s="19"/>
      <c r="GB249" s="19"/>
      <c r="GC249" s="19"/>
      <c r="GD249" s="19"/>
      <c r="GE249" s="19"/>
      <c r="GF249" s="19"/>
      <c r="GG249" s="19"/>
      <c r="GH249" s="19"/>
      <c r="GI249" s="19"/>
      <c r="GJ249" s="19"/>
      <c r="GK249" s="19"/>
      <c r="GL249" s="19"/>
      <c r="GM249" s="19"/>
      <c r="GN249" s="19"/>
      <c r="GO249" s="19"/>
      <c r="GP249" s="19"/>
      <c r="GQ249" s="19"/>
      <c r="GR249" s="19"/>
      <c r="GS249" s="19"/>
      <c r="GT249" s="19"/>
      <c r="GU249" s="19"/>
      <c r="GV249" s="19"/>
      <c r="GW249" s="19"/>
      <c r="GX249" s="19"/>
      <c r="GY249" s="19"/>
      <c r="GZ249" s="19"/>
      <c r="HA249" s="19"/>
      <c r="HB249" s="19"/>
    </row>
    <row r="250" spans="1:210" x14ac:dyDescent="0.25">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c r="BE250" s="19"/>
      <c r="BF250" s="19"/>
      <c r="BG250" s="19"/>
      <c r="BH250" s="19"/>
      <c r="BI250" s="19"/>
      <c r="BJ250" s="19"/>
      <c r="BK250" s="19"/>
      <c r="BL250" s="19"/>
      <c r="BM250" s="19"/>
      <c r="BN250" s="19"/>
      <c r="BO250" s="19"/>
      <c r="BP250" s="19"/>
      <c r="BQ250" s="19"/>
      <c r="BR250" s="19"/>
      <c r="BS250" s="19"/>
      <c r="BT250" s="19"/>
      <c r="BU250" s="19"/>
      <c r="BV250" s="19"/>
      <c r="BW250" s="19"/>
      <c r="BX250" s="19"/>
      <c r="BY250" s="19"/>
      <c r="BZ250" s="19"/>
      <c r="CA250" s="19"/>
      <c r="CB250" s="19"/>
      <c r="CC250" s="19"/>
      <c r="CD250" s="19"/>
      <c r="CE250" s="19"/>
      <c r="CF250" s="19"/>
      <c r="CG250" s="19"/>
      <c r="CH250" s="19"/>
      <c r="CI250" s="19"/>
      <c r="CJ250" s="19"/>
      <c r="CK250" s="19"/>
      <c r="CL250" s="19"/>
      <c r="CM250" s="19"/>
      <c r="CN250" s="19"/>
      <c r="CO250" s="19"/>
      <c r="CP250" s="19"/>
      <c r="CQ250" s="19"/>
      <c r="CR250" s="19"/>
      <c r="CS250" s="19"/>
      <c r="CT250" s="19"/>
      <c r="CU250" s="19"/>
      <c r="CV250" s="19"/>
      <c r="CW250" s="19"/>
      <c r="CX250" s="19"/>
      <c r="CY250" s="19"/>
      <c r="CZ250" s="19"/>
      <c r="DA250" s="19"/>
      <c r="DB250" s="19"/>
      <c r="DC250" s="19"/>
      <c r="DD250" s="19"/>
      <c r="DE250" s="19"/>
      <c r="DF250" s="19"/>
      <c r="DG250" s="19"/>
      <c r="DH250" s="19"/>
      <c r="DI250" s="19"/>
      <c r="DJ250" s="19"/>
      <c r="DK250" s="19"/>
      <c r="DL250" s="19"/>
      <c r="DM250" s="19"/>
      <c r="DN250" s="19"/>
      <c r="DO250" s="19"/>
      <c r="DP250" s="19"/>
      <c r="DQ250" s="19"/>
      <c r="DR250" s="19"/>
      <c r="DS250" s="19"/>
      <c r="DT250" s="19"/>
      <c r="DU250" s="19"/>
      <c r="DV250" s="19"/>
      <c r="DW250" s="19"/>
      <c r="DX250" s="19"/>
      <c r="DY250" s="19"/>
      <c r="DZ250" s="19"/>
      <c r="EA250" s="19"/>
      <c r="EB250" s="19"/>
      <c r="EC250" s="19"/>
      <c r="ED250" s="19"/>
      <c r="EE250" s="19"/>
      <c r="EF250" s="19"/>
      <c r="EG250" s="19"/>
      <c r="EH250" s="19"/>
      <c r="EI250" s="19"/>
      <c r="EJ250" s="19"/>
      <c r="EK250" s="19"/>
      <c r="EL250" s="19"/>
      <c r="EM250" s="19"/>
      <c r="EN250" s="19"/>
      <c r="EO250" s="19"/>
      <c r="EP250" s="19"/>
      <c r="EQ250" s="19"/>
      <c r="ER250" s="19"/>
      <c r="ES250" s="19"/>
      <c r="ET250" s="19"/>
      <c r="EU250" s="19"/>
      <c r="EV250" s="19"/>
      <c r="EW250" s="19"/>
      <c r="EX250" s="19"/>
      <c r="EY250" s="19"/>
      <c r="EZ250" s="19"/>
      <c r="FA250" s="19"/>
      <c r="FB250" s="19"/>
      <c r="FC250" s="19"/>
      <c r="FD250" s="19"/>
      <c r="FE250" s="19"/>
      <c r="FF250" s="19"/>
      <c r="FG250" s="19"/>
      <c r="FH250" s="19"/>
      <c r="FI250" s="19"/>
      <c r="FJ250" s="19"/>
      <c r="FK250" s="19"/>
      <c r="FL250" s="19"/>
      <c r="FM250" s="19"/>
      <c r="FN250" s="19"/>
      <c r="FO250" s="19"/>
      <c r="FP250" s="19"/>
      <c r="FQ250" s="19"/>
      <c r="FR250" s="19"/>
      <c r="FS250" s="19"/>
      <c r="FT250" s="19"/>
      <c r="FU250" s="19"/>
      <c r="FV250" s="19"/>
      <c r="FW250" s="19"/>
      <c r="FX250" s="19"/>
      <c r="FY250" s="19"/>
      <c r="FZ250" s="19"/>
      <c r="GA250" s="19"/>
      <c r="GB250" s="19"/>
      <c r="GC250" s="19"/>
      <c r="GD250" s="19"/>
      <c r="GE250" s="19"/>
      <c r="GF250" s="19"/>
      <c r="GG250" s="19"/>
      <c r="GH250" s="19"/>
      <c r="GI250" s="19"/>
      <c r="GJ250" s="19"/>
      <c r="GK250" s="19"/>
      <c r="GL250" s="19"/>
      <c r="GM250" s="19"/>
      <c r="GN250" s="19"/>
      <c r="GO250" s="19"/>
      <c r="GP250" s="19"/>
      <c r="GQ250" s="19"/>
      <c r="GR250" s="19"/>
      <c r="GS250" s="19"/>
      <c r="GT250" s="19"/>
      <c r="GU250" s="19"/>
      <c r="GV250" s="19"/>
      <c r="GW250" s="19"/>
      <c r="GX250" s="19"/>
      <c r="GY250" s="19"/>
      <c r="GZ250" s="19"/>
      <c r="HA250" s="19"/>
      <c r="HB250" s="19"/>
    </row>
    <row r="251" spans="1:210" x14ac:dyDescent="0.25">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c r="BE251" s="19"/>
      <c r="BF251" s="19"/>
      <c r="BG251" s="19"/>
      <c r="BH251" s="19"/>
      <c r="BI251" s="19"/>
      <c r="BJ251" s="19"/>
      <c r="BK251" s="19"/>
      <c r="BL251" s="19"/>
      <c r="BM251" s="19"/>
      <c r="BN251" s="19"/>
      <c r="BO251" s="19"/>
      <c r="BP251" s="19"/>
      <c r="BQ251" s="19"/>
      <c r="BR251" s="19"/>
      <c r="BS251" s="19"/>
      <c r="BT251" s="19"/>
      <c r="BU251" s="19"/>
      <c r="BV251" s="19"/>
      <c r="BW251" s="19"/>
      <c r="BX251" s="19"/>
      <c r="BY251" s="19"/>
      <c r="BZ251" s="19"/>
      <c r="CA251" s="19"/>
      <c r="CB251" s="19"/>
      <c r="CC251" s="19"/>
      <c r="CD251" s="19"/>
      <c r="CE251" s="19"/>
      <c r="CF251" s="19"/>
      <c r="CG251" s="19"/>
      <c r="CH251" s="19"/>
      <c r="CI251" s="19"/>
      <c r="CJ251" s="19"/>
      <c r="CK251" s="19"/>
      <c r="CL251" s="19"/>
      <c r="CM251" s="19"/>
      <c r="CN251" s="19"/>
      <c r="CO251" s="19"/>
      <c r="CP251" s="19"/>
      <c r="CQ251" s="19"/>
      <c r="CR251" s="19"/>
      <c r="CS251" s="19"/>
      <c r="CT251" s="19"/>
      <c r="CU251" s="19"/>
      <c r="CV251" s="19"/>
      <c r="CW251" s="19"/>
      <c r="CX251" s="19"/>
      <c r="CY251" s="19"/>
      <c r="CZ251" s="19"/>
      <c r="DA251" s="19"/>
      <c r="DB251" s="19"/>
      <c r="DC251" s="19"/>
      <c r="DD251" s="19"/>
      <c r="DE251" s="19"/>
      <c r="DF251" s="19"/>
      <c r="DG251" s="19"/>
      <c r="DH251" s="19"/>
      <c r="DI251" s="19"/>
      <c r="DJ251" s="19"/>
      <c r="DK251" s="19"/>
      <c r="DL251" s="19"/>
      <c r="DM251" s="19"/>
      <c r="DN251" s="19"/>
      <c r="DO251" s="19"/>
      <c r="DP251" s="19"/>
      <c r="DQ251" s="19"/>
      <c r="DR251" s="19"/>
      <c r="DS251" s="19"/>
      <c r="DT251" s="19"/>
      <c r="DU251" s="19"/>
      <c r="DV251" s="19"/>
      <c r="DW251" s="19"/>
      <c r="DX251" s="19"/>
      <c r="DY251" s="19"/>
      <c r="DZ251" s="19"/>
      <c r="EA251" s="19"/>
      <c r="EB251" s="19"/>
      <c r="EC251" s="19"/>
      <c r="ED251" s="19"/>
      <c r="EE251" s="19"/>
      <c r="EF251" s="19"/>
      <c r="EG251" s="19"/>
      <c r="EH251" s="19"/>
      <c r="EI251" s="19"/>
      <c r="EJ251" s="19"/>
      <c r="EK251" s="19"/>
      <c r="EL251" s="19"/>
      <c r="EM251" s="19"/>
      <c r="EN251" s="19"/>
      <c r="EO251" s="19"/>
      <c r="EP251" s="19"/>
      <c r="EQ251" s="19"/>
      <c r="ER251" s="19"/>
      <c r="ES251" s="19"/>
      <c r="ET251" s="19"/>
      <c r="EU251" s="19"/>
      <c r="EV251" s="19"/>
      <c r="EW251" s="19"/>
      <c r="EX251" s="19"/>
      <c r="EY251" s="19"/>
      <c r="EZ251" s="19"/>
      <c r="FA251" s="19"/>
      <c r="FB251" s="19"/>
      <c r="FC251" s="19"/>
      <c r="FD251" s="19"/>
      <c r="FE251" s="19"/>
      <c r="FF251" s="19"/>
      <c r="FG251" s="19"/>
      <c r="FH251" s="19"/>
      <c r="FI251" s="19"/>
      <c r="FJ251" s="19"/>
      <c r="FK251" s="19"/>
      <c r="FL251" s="19"/>
      <c r="FM251" s="19"/>
      <c r="FN251" s="19"/>
      <c r="FO251" s="19"/>
      <c r="FP251" s="19"/>
      <c r="FQ251" s="19"/>
      <c r="FR251" s="19"/>
      <c r="FS251" s="19"/>
      <c r="FT251" s="19"/>
      <c r="FU251" s="19"/>
      <c r="FV251" s="19"/>
      <c r="FW251" s="19"/>
      <c r="FX251" s="19"/>
      <c r="FY251" s="19"/>
      <c r="FZ251" s="19"/>
      <c r="GA251" s="19"/>
      <c r="GB251" s="19"/>
      <c r="GC251" s="19"/>
      <c r="GD251" s="19"/>
      <c r="GE251" s="19"/>
      <c r="GF251" s="19"/>
      <c r="GG251" s="19"/>
      <c r="GH251" s="19"/>
      <c r="GI251" s="19"/>
      <c r="GJ251" s="19"/>
      <c r="GK251" s="19"/>
      <c r="GL251" s="19"/>
      <c r="GM251" s="19"/>
      <c r="GN251" s="19"/>
      <c r="GO251" s="19"/>
      <c r="GP251" s="19"/>
      <c r="GQ251" s="19"/>
      <c r="GR251" s="19"/>
      <c r="GS251" s="19"/>
      <c r="GT251" s="19"/>
      <c r="GU251" s="19"/>
      <c r="GV251" s="19"/>
      <c r="GW251" s="19"/>
      <c r="GX251" s="19"/>
      <c r="GY251" s="19"/>
      <c r="GZ251" s="19"/>
      <c r="HA251" s="19"/>
      <c r="HB251" s="19"/>
    </row>
    <row r="252" spans="1:210" x14ac:dyDescent="0.25">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c r="BE252" s="19"/>
      <c r="BF252" s="19"/>
      <c r="BG252" s="19"/>
      <c r="BH252" s="19"/>
      <c r="BI252" s="19"/>
      <c r="BJ252" s="19"/>
      <c r="BK252" s="19"/>
      <c r="BL252" s="19"/>
      <c r="BM252" s="19"/>
      <c r="BN252" s="19"/>
      <c r="BO252" s="19"/>
      <c r="BP252" s="19"/>
      <c r="BQ252" s="19"/>
      <c r="BR252" s="19"/>
      <c r="BS252" s="19"/>
      <c r="BT252" s="19"/>
      <c r="BU252" s="19"/>
      <c r="BV252" s="19"/>
      <c r="BW252" s="19"/>
      <c r="BX252" s="19"/>
      <c r="BY252" s="19"/>
      <c r="BZ252" s="19"/>
      <c r="CA252" s="19"/>
      <c r="CB252" s="19"/>
      <c r="CC252" s="19"/>
      <c r="CD252" s="19"/>
      <c r="CE252" s="19"/>
      <c r="CF252" s="19"/>
      <c r="CG252" s="19"/>
      <c r="CH252" s="19"/>
      <c r="CI252" s="19"/>
      <c r="CJ252" s="19"/>
      <c r="CK252" s="19"/>
      <c r="CL252" s="19"/>
      <c r="CM252" s="19"/>
      <c r="CN252" s="19"/>
      <c r="CO252" s="19"/>
      <c r="CP252" s="19"/>
      <c r="CQ252" s="19"/>
      <c r="CR252" s="19"/>
      <c r="CS252" s="19"/>
      <c r="CT252" s="19"/>
      <c r="CU252" s="19"/>
      <c r="CV252" s="19"/>
      <c r="CW252" s="19"/>
      <c r="CX252" s="19"/>
      <c r="CY252" s="19"/>
      <c r="CZ252" s="19"/>
      <c r="DA252" s="19"/>
      <c r="DB252" s="19"/>
      <c r="DC252" s="19"/>
      <c r="DD252" s="19"/>
      <c r="DE252" s="19"/>
      <c r="DF252" s="19"/>
      <c r="DG252" s="19"/>
      <c r="DH252" s="19"/>
      <c r="DI252" s="19"/>
      <c r="DJ252" s="19"/>
      <c r="DK252" s="19"/>
      <c r="DL252" s="19"/>
      <c r="DM252" s="19"/>
      <c r="DN252" s="19"/>
      <c r="DO252" s="19"/>
      <c r="DP252" s="19"/>
      <c r="DQ252" s="19"/>
      <c r="DR252" s="19"/>
      <c r="DS252" s="19"/>
      <c r="DT252" s="19"/>
      <c r="DU252" s="19"/>
      <c r="DV252" s="19"/>
      <c r="DW252" s="19"/>
      <c r="DX252" s="19"/>
      <c r="DY252" s="19"/>
      <c r="DZ252" s="19"/>
      <c r="EA252" s="19"/>
      <c r="EB252" s="19"/>
      <c r="EC252" s="19"/>
      <c r="ED252" s="19"/>
      <c r="EE252" s="19"/>
      <c r="EF252" s="19"/>
      <c r="EG252" s="19"/>
      <c r="EH252" s="19"/>
      <c r="EI252" s="19"/>
      <c r="EJ252" s="19"/>
      <c r="EK252" s="19"/>
      <c r="EL252" s="19"/>
      <c r="EM252" s="19"/>
      <c r="EN252" s="19"/>
      <c r="EO252" s="19"/>
      <c r="EP252" s="19"/>
      <c r="EQ252" s="19"/>
      <c r="ER252" s="19"/>
      <c r="ES252" s="19"/>
      <c r="ET252" s="19"/>
      <c r="EU252" s="19"/>
      <c r="EV252" s="19"/>
      <c r="EW252" s="19"/>
      <c r="EX252" s="19"/>
      <c r="EY252" s="19"/>
      <c r="EZ252" s="19"/>
      <c r="FA252" s="19"/>
      <c r="FB252" s="19"/>
      <c r="FC252" s="19"/>
      <c r="FD252" s="19"/>
      <c r="FE252" s="19"/>
      <c r="FF252" s="19"/>
      <c r="FG252" s="19"/>
      <c r="FH252" s="19"/>
      <c r="FI252" s="19"/>
      <c r="FJ252" s="19"/>
      <c r="FK252" s="19"/>
      <c r="FL252" s="19"/>
      <c r="FM252" s="19"/>
      <c r="FN252" s="19"/>
      <c r="FO252" s="19"/>
      <c r="FP252" s="19"/>
      <c r="FQ252" s="19"/>
      <c r="FR252" s="19"/>
      <c r="FS252" s="19"/>
      <c r="FT252" s="19"/>
      <c r="FU252" s="19"/>
      <c r="FV252" s="19"/>
      <c r="FW252" s="19"/>
      <c r="FX252" s="19"/>
      <c r="FY252" s="19"/>
      <c r="FZ252" s="19"/>
      <c r="GA252" s="19"/>
      <c r="GB252" s="19"/>
      <c r="GC252" s="19"/>
      <c r="GD252" s="19"/>
      <c r="GE252" s="19"/>
      <c r="GF252" s="19"/>
      <c r="GG252" s="19"/>
      <c r="GH252" s="19"/>
      <c r="GI252" s="19"/>
      <c r="GJ252" s="19"/>
      <c r="GK252" s="19"/>
      <c r="GL252" s="19"/>
      <c r="GM252" s="19"/>
      <c r="GN252" s="19"/>
      <c r="GO252" s="19"/>
      <c r="GP252" s="19"/>
      <c r="GQ252" s="19"/>
      <c r="GR252" s="19"/>
      <c r="GS252" s="19"/>
      <c r="GT252" s="19"/>
      <c r="GU252" s="19"/>
      <c r="GV252" s="19"/>
      <c r="GW252" s="19"/>
      <c r="GX252" s="19"/>
      <c r="GY252" s="19"/>
      <c r="GZ252" s="19"/>
      <c r="HA252" s="19"/>
      <c r="HB252" s="19"/>
    </row>
    <row r="253" spans="1:210" x14ac:dyDescent="0.25">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c r="BE253" s="19"/>
      <c r="BF253" s="19"/>
      <c r="BG253" s="19"/>
      <c r="BH253" s="19"/>
      <c r="BI253" s="19"/>
      <c r="BJ253" s="19"/>
      <c r="BK253" s="19"/>
      <c r="BL253" s="19"/>
      <c r="BM253" s="19"/>
      <c r="BN253" s="19"/>
      <c r="BO253" s="19"/>
      <c r="BP253" s="19"/>
      <c r="BQ253" s="19"/>
      <c r="BR253" s="19"/>
      <c r="BS253" s="19"/>
      <c r="BT253" s="19"/>
      <c r="BU253" s="19"/>
      <c r="BV253" s="19"/>
      <c r="BW253" s="19"/>
      <c r="BX253" s="19"/>
      <c r="BY253" s="19"/>
      <c r="BZ253" s="19"/>
      <c r="CA253" s="19"/>
      <c r="CB253" s="19"/>
      <c r="CC253" s="19"/>
      <c r="CD253" s="19"/>
      <c r="CE253" s="19"/>
      <c r="CF253" s="19"/>
      <c r="CG253" s="19"/>
      <c r="CH253" s="19"/>
      <c r="CI253" s="19"/>
      <c r="CJ253" s="19"/>
      <c r="CK253" s="19"/>
      <c r="CL253" s="19"/>
      <c r="CM253" s="19"/>
      <c r="CN253" s="19"/>
      <c r="CO253" s="19"/>
      <c r="CP253" s="19"/>
      <c r="CQ253" s="19"/>
      <c r="CR253" s="19"/>
      <c r="CS253" s="19"/>
      <c r="CT253" s="19"/>
      <c r="CU253" s="19"/>
      <c r="CV253" s="19"/>
      <c r="CW253" s="19"/>
      <c r="CX253" s="19"/>
      <c r="CY253" s="19"/>
      <c r="CZ253" s="19"/>
      <c r="DA253" s="19"/>
      <c r="DB253" s="19"/>
      <c r="DC253" s="19"/>
      <c r="DD253" s="19"/>
      <c r="DE253" s="19"/>
      <c r="DF253" s="19"/>
      <c r="DG253" s="19"/>
      <c r="DH253" s="19"/>
      <c r="DI253" s="19"/>
      <c r="DJ253" s="19"/>
      <c r="DK253" s="19"/>
      <c r="DL253" s="19"/>
      <c r="DM253" s="19"/>
      <c r="DN253" s="19"/>
      <c r="DO253" s="19"/>
      <c r="DP253" s="19"/>
      <c r="DQ253" s="19"/>
      <c r="DR253" s="19"/>
      <c r="DS253" s="19"/>
      <c r="DT253" s="19"/>
      <c r="DU253" s="19"/>
      <c r="DV253" s="19"/>
      <c r="DW253" s="19"/>
      <c r="DX253" s="19"/>
      <c r="DY253" s="19"/>
      <c r="DZ253" s="19"/>
      <c r="EA253" s="19"/>
      <c r="EB253" s="19"/>
      <c r="EC253" s="19"/>
      <c r="ED253" s="19"/>
      <c r="EE253" s="19"/>
      <c r="EF253" s="19"/>
      <c r="EG253" s="19"/>
      <c r="EH253" s="19"/>
      <c r="EI253" s="19"/>
      <c r="EJ253" s="19"/>
      <c r="EK253" s="19"/>
      <c r="EL253" s="19"/>
      <c r="EM253" s="19"/>
      <c r="EN253" s="19"/>
      <c r="EO253" s="19"/>
      <c r="EP253" s="19"/>
      <c r="EQ253" s="19"/>
      <c r="ER253" s="19"/>
      <c r="ES253" s="19"/>
      <c r="ET253" s="19"/>
      <c r="EU253" s="19"/>
      <c r="EV253" s="19"/>
      <c r="EW253" s="19"/>
      <c r="EX253" s="19"/>
      <c r="EY253" s="19"/>
      <c r="EZ253" s="19"/>
      <c r="FA253" s="19"/>
      <c r="FB253" s="19"/>
      <c r="FC253" s="19"/>
      <c r="FD253" s="19"/>
      <c r="FE253" s="19"/>
      <c r="FF253" s="19"/>
      <c r="FG253" s="19"/>
      <c r="FH253" s="19"/>
      <c r="FI253" s="19"/>
      <c r="FJ253" s="19"/>
      <c r="FK253" s="19"/>
      <c r="FL253" s="19"/>
      <c r="FM253" s="19"/>
      <c r="FN253" s="19"/>
      <c r="FO253" s="19"/>
      <c r="FP253" s="19"/>
      <c r="FQ253" s="19"/>
      <c r="FR253" s="19"/>
      <c r="FS253" s="19"/>
      <c r="FT253" s="19"/>
      <c r="FU253" s="19"/>
      <c r="FV253" s="19"/>
      <c r="FW253" s="19"/>
      <c r="FX253" s="19"/>
      <c r="FY253" s="19"/>
      <c r="FZ253" s="19"/>
      <c r="GA253" s="19"/>
      <c r="GB253" s="19"/>
      <c r="GC253" s="19"/>
      <c r="GD253" s="19"/>
      <c r="GE253" s="19"/>
      <c r="GF253" s="19"/>
      <c r="GG253" s="19"/>
      <c r="GH253" s="19"/>
      <c r="GI253" s="19"/>
      <c r="GJ253" s="19"/>
      <c r="GK253" s="19"/>
      <c r="GL253" s="19"/>
      <c r="GM253" s="19"/>
      <c r="GN253" s="19"/>
      <c r="GO253" s="19"/>
      <c r="GP253" s="19"/>
      <c r="GQ253" s="19"/>
      <c r="GR253" s="19"/>
      <c r="GS253" s="19"/>
      <c r="GT253" s="19"/>
      <c r="GU253" s="19"/>
      <c r="GV253" s="19"/>
      <c r="GW253" s="19"/>
      <c r="GX253" s="19"/>
      <c r="GY253" s="19"/>
      <c r="GZ253" s="19"/>
      <c r="HA253" s="19"/>
      <c r="HB253" s="19"/>
    </row>
    <row r="254" spans="1:210" x14ac:dyDescent="0.25">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c r="BE254" s="19"/>
      <c r="BF254" s="19"/>
      <c r="BG254" s="19"/>
      <c r="BH254" s="19"/>
      <c r="BI254" s="19"/>
      <c r="BJ254" s="19"/>
      <c r="BK254" s="19"/>
      <c r="BL254" s="19"/>
      <c r="BM254" s="19"/>
      <c r="BN254" s="19"/>
      <c r="BO254" s="19"/>
      <c r="BP254" s="19"/>
      <c r="BQ254" s="19"/>
      <c r="BR254" s="19"/>
      <c r="BS254" s="19"/>
      <c r="BT254" s="19"/>
      <c r="BU254" s="19"/>
      <c r="BV254" s="19"/>
      <c r="BW254" s="19"/>
      <c r="BX254" s="19"/>
      <c r="BY254" s="19"/>
      <c r="BZ254" s="19"/>
      <c r="CA254" s="19"/>
      <c r="CB254" s="19"/>
      <c r="CC254" s="19"/>
      <c r="CD254" s="19"/>
      <c r="CE254" s="19"/>
      <c r="CF254" s="19"/>
      <c r="CG254" s="19"/>
      <c r="CH254" s="19"/>
      <c r="CI254" s="19"/>
      <c r="CJ254" s="19"/>
      <c r="CK254" s="19"/>
      <c r="CL254" s="19"/>
      <c r="CM254" s="19"/>
      <c r="CN254" s="19"/>
      <c r="CO254" s="19"/>
      <c r="CP254" s="19"/>
      <c r="CQ254" s="19"/>
      <c r="CR254" s="19"/>
      <c r="CS254" s="19"/>
      <c r="CT254" s="19"/>
      <c r="CU254" s="19"/>
      <c r="CV254" s="19"/>
      <c r="CW254" s="19"/>
      <c r="CX254" s="19"/>
      <c r="CY254" s="19"/>
      <c r="CZ254" s="19"/>
      <c r="DA254" s="19"/>
      <c r="DB254" s="19"/>
      <c r="DC254" s="19"/>
      <c r="DD254" s="19"/>
      <c r="DE254" s="19"/>
      <c r="DF254" s="19"/>
      <c r="DG254" s="19"/>
      <c r="DH254" s="19"/>
      <c r="DI254" s="19"/>
      <c r="DJ254" s="19"/>
      <c r="DK254" s="19"/>
      <c r="DL254" s="19"/>
      <c r="DM254" s="19"/>
      <c r="DN254" s="19"/>
      <c r="DO254" s="19"/>
      <c r="DP254" s="19"/>
      <c r="DQ254" s="19"/>
      <c r="DR254" s="19"/>
      <c r="DS254" s="19"/>
      <c r="DT254" s="19"/>
      <c r="DU254" s="19"/>
      <c r="DV254" s="19"/>
      <c r="DW254" s="19"/>
      <c r="DX254" s="19"/>
      <c r="DY254" s="19"/>
      <c r="DZ254" s="19"/>
      <c r="EA254" s="19"/>
      <c r="EB254" s="19"/>
      <c r="EC254" s="19"/>
      <c r="ED254" s="19"/>
      <c r="EE254" s="19"/>
      <c r="EF254" s="19"/>
      <c r="EG254" s="19"/>
      <c r="EH254" s="19"/>
      <c r="EI254" s="19"/>
      <c r="EJ254" s="19"/>
      <c r="EK254" s="19"/>
      <c r="EL254" s="19"/>
      <c r="EM254" s="19"/>
      <c r="EN254" s="19"/>
      <c r="EO254" s="19"/>
      <c r="EP254" s="19"/>
      <c r="EQ254" s="19"/>
      <c r="ER254" s="19"/>
      <c r="ES254" s="19"/>
      <c r="ET254" s="19"/>
      <c r="EU254" s="19"/>
      <c r="EV254" s="19"/>
      <c r="EW254" s="19"/>
      <c r="EX254" s="19"/>
      <c r="EY254" s="19"/>
      <c r="EZ254" s="19"/>
      <c r="FA254" s="19"/>
      <c r="FB254" s="19"/>
      <c r="FC254" s="19"/>
      <c r="FD254" s="19"/>
      <c r="FE254" s="19"/>
      <c r="FF254" s="19"/>
      <c r="FG254" s="19"/>
      <c r="FH254" s="19"/>
      <c r="FI254" s="19"/>
      <c r="FJ254" s="19"/>
      <c r="FK254" s="19"/>
      <c r="FL254" s="19"/>
      <c r="FM254" s="19"/>
      <c r="FN254" s="19"/>
      <c r="FO254" s="19"/>
      <c r="FP254" s="19"/>
      <c r="FQ254" s="19"/>
      <c r="FR254" s="19"/>
      <c r="FS254" s="19"/>
      <c r="FT254" s="19"/>
      <c r="FU254" s="19"/>
      <c r="FV254" s="19"/>
      <c r="FW254" s="19"/>
      <c r="FX254" s="19"/>
      <c r="FY254" s="19"/>
      <c r="FZ254" s="19"/>
      <c r="GA254" s="19"/>
      <c r="GB254" s="19"/>
      <c r="GC254" s="19"/>
      <c r="GD254" s="19"/>
      <c r="GE254" s="19"/>
      <c r="GF254" s="19"/>
      <c r="GG254" s="19"/>
      <c r="GH254" s="19"/>
      <c r="GI254" s="19"/>
      <c r="GJ254" s="19"/>
      <c r="GK254" s="19"/>
      <c r="GL254" s="19"/>
      <c r="GM254" s="19"/>
      <c r="GN254" s="19"/>
      <c r="GO254" s="19"/>
      <c r="GP254" s="19"/>
      <c r="GQ254" s="19"/>
      <c r="GR254" s="19"/>
      <c r="GS254" s="19"/>
      <c r="GT254" s="19"/>
      <c r="GU254" s="19"/>
      <c r="GV254" s="19"/>
      <c r="GW254" s="19"/>
      <c r="GX254" s="19"/>
      <c r="GY254" s="19"/>
      <c r="GZ254" s="19"/>
      <c r="HA254" s="19"/>
      <c r="HB254" s="19"/>
    </row>
    <row r="255" spans="1:210" x14ac:dyDescent="0.25">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c r="BE255" s="19"/>
      <c r="BF255" s="19"/>
      <c r="BG255" s="19"/>
      <c r="BH255" s="19"/>
      <c r="BI255" s="19"/>
      <c r="BJ255" s="19"/>
      <c r="BK255" s="19"/>
      <c r="BL255" s="19"/>
      <c r="BM255" s="19"/>
      <c r="BN255" s="19"/>
      <c r="BO255" s="19"/>
      <c r="BP255" s="19"/>
      <c r="BQ255" s="19"/>
      <c r="BR255" s="19"/>
      <c r="BS255" s="19"/>
      <c r="BT255" s="19"/>
      <c r="BU255" s="19"/>
      <c r="BV255" s="19"/>
      <c r="BW255" s="19"/>
      <c r="BX255" s="19"/>
      <c r="BY255" s="19"/>
      <c r="BZ255" s="19"/>
      <c r="CA255" s="19"/>
      <c r="CB255" s="19"/>
      <c r="CC255" s="19"/>
      <c r="CD255" s="19"/>
      <c r="CE255" s="19"/>
      <c r="CF255" s="19"/>
      <c r="CG255" s="19"/>
      <c r="CH255" s="19"/>
      <c r="CI255" s="19"/>
      <c r="CJ255" s="19"/>
      <c r="CK255" s="19"/>
      <c r="CL255" s="19"/>
      <c r="CM255" s="19"/>
      <c r="CN255" s="19"/>
      <c r="CO255" s="19"/>
      <c r="CP255" s="19"/>
      <c r="CQ255" s="19"/>
      <c r="CR255" s="19"/>
      <c r="CS255" s="19"/>
      <c r="CT255" s="19"/>
      <c r="CU255" s="19"/>
      <c r="CV255" s="19"/>
      <c r="CW255" s="19"/>
      <c r="CX255" s="19"/>
      <c r="CY255" s="19"/>
      <c r="CZ255" s="19"/>
      <c r="DA255" s="19"/>
      <c r="DB255" s="19"/>
      <c r="DC255" s="19"/>
      <c r="DD255" s="19"/>
      <c r="DE255" s="19"/>
      <c r="DF255" s="19"/>
      <c r="DG255" s="19"/>
      <c r="DH255" s="19"/>
      <c r="DI255" s="19"/>
      <c r="DJ255" s="19"/>
      <c r="DK255" s="19"/>
      <c r="DL255" s="19"/>
      <c r="DM255" s="19"/>
      <c r="DN255" s="19"/>
      <c r="DO255" s="19"/>
      <c r="DP255" s="19"/>
      <c r="DQ255" s="19"/>
      <c r="DR255" s="19"/>
      <c r="DS255" s="19"/>
      <c r="DT255" s="19"/>
      <c r="DU255" s="19"/>
      <c r="DV255" s="19"/>
      <c r="DW255" s="19"/>
      <c r="DX255" s="19"/>
      <c r="DY255" s="19"/>
      <c r="DZ255" s="19"/>
      <c r="EA255" s="19"/>
      <c r="EB255" s="19"/>
      <c r="EC255" s="19"/>
      <c r="ED255" s="19"/>
      <c r="EE255" s="19"/>
      <c r="EF255" s="19"/>
      <c r="EG255" s="19"/>
      <c r="EH255" s="19"/>
      <c r="EI255" s="19"/>
      <c r="EJ255" s="19"/>
      <c r="EK255" s="19"/>
      <c r="EL255" s="19"/>
      <c r="EM255" s="19"/>
      <c r="EN255" s="19"/>
      <c r="EO255" s="19"/>
      <c r="EP255" s="19"/>
      <c r="EQ255" s="19"/>
      <c r="ER255" s="19"/>
      <c r="ES255" s="19"/>
      <c r="ET255" s="19"/>
      <c r="EU255" s="19"/>
      <c r="EV255" s="19"/>
      <c r="EW255" s="19"/>
      <c r="EX255" s="19"/>
      <c r="EY255" s="19"/>
      <c r="EZ255" s="19"/>
      <c r="FA255" s="19"/>
      <c r="FB255" s="19"/>
      <c r="FC255" s="19"/>
      <c r="FD255" s="19"/>
      <c r="FE255" s="19"/>
      <c r="FF255" s="19"/>
      <c r="FG255" s="19"/>
      <c r="FH255" s="19"/>
      <c r="FI255" s="19"/>
      <c r="FJ255" s="19"/>
      <c r="FK255" s="19"/>
      <c r="FL255" s="19"/>
      <c r="FM255" s="19"/>
      <c r="FN255" s="19"/>
      <c r="FO255" s="19"/>
      <c r="FP255" s="19"/>
      <c r="FQ255" s="19"/>
      <c r="FR255" s="19"/>
      <c r="FS255" s="19"/>
      <c r="FT255" s="19"/>
      <c r="FU255" s="19"/>
      <c r="FV255" s="19"/>
      <c r="FW255" s="19"/>
      <c r="FX255" s="19"/>
      <c r="FY255" s="19"/>
      <c r="FZ255" s="19"/>
      <c r="GA255" s="19"/>
      <c r="GB255" s="19"/>
      <c r="GC255" s="19"/>
      <c r="GD255" s="19"/>
      <c r="GE255" s="19"/>
      <c r="GF255" s="19"/>
      <c r="GG255" s="19"/>
      <c r="GH255" s="19"/>
      <c r="GI255" s="19"/>
      <c r="GJ255" s="19"/>
      <c r="GK255" s="19"/>
      <c r="GL255" s="19"/>
      <c r="GM255" s="19"/>
      <c r="GN255" s="19"/>
      <c r="GO255" s="19"/>
      <c r="GP255" s="19"/>
      <c r="GQ255" s="19"/>
      <c r="GR255" s="19"/>
      <c r="GS255" s="19"/>
      <c r="GT255" s="19"/>
      <c r="GU255" s="19"/>
      <c r="GV255" s="19"/>
      <c r="GW255" s="19"/>
      <c r="GX255" s="19"/>
      <c r="GY255" s="19"/>
      <c r="GZ255" s="19"/>
      <c r="HA255" s="19"/>
      <c r="HB255" s="19"/>
    </row>
    <row r="256" spans="1:210" x14ac:dyDescent="0.25">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c r="BE256" s="19"/>
      <c r="BF256" s="19"/>
      <c r="BG256" s="19"/>
      <c r="BH256" s="19"/>
      <c r="BI256" s="19"/>
      <c r="BJ256" s="19"/>
      <c r="BK256" s="19"/>
      <c r="BL256" s="19"/>
      <c r="BM256" s="19"/>
      <c r="BN256" s="19"/>
      <c r="BO256" s="19"/>
      <c r="BP256" s="19"/>
      <c r="BQ256" s="19"/>
      <c r="BR256" s="19"/>
      <c r="BS256" s="19"/>
      <c r="BT256" s="19"/>
      <c r="BU256" s="19"/>
      <c r="BV256" s="19"/>
      <c r="BW256" s="19"/>
      <c r="BX256" s="19"/>
      <c r="BY256" s="19"/>
      <c r="BZ256" s="19"/>
      <c r="CA256" s="19"/>
      <c r="CB256" s="19"/>
      <c r="CC256" s="19"/>
      <c r="CD256" s="19"/>
      <c r="CE256" s="19"/>
      <c r="CF256" s="19"/>
      <c r="CG256" s="19"/>
      <c r="CH256" s="19"/>
      <c r="CI256" s="19"/>
      <c r="CJ256" s="19"/>
      <c r="CK256" s="19"/>
      <c r="CL256" s="19"/>
      <c r="CM256" s="19"/>
      <c r="CN256" s="19"/>
      <c r="CO256" s="19"/>
      <c r="CP256" s="19"/>
      <c r="CQ256" s="19"/>
      <c r="CR256" s="19"/>
      <c r="CS256" s="19"/>
      <c r="CT256" s="19"/>
      <c r="CU256" s="19"/>
      <c r="CV256" s="19"/>
      <c r="CW256" s="19"/>
      <c r="CX256" s="19"/>
      <c r="CY256" s="19"/>
      <c r="CZ256" s="19"/>
      <c r="DA256" s="19"/>
      <c r="DB256" s="19"/>
      <c r="DC256" s="19"/>
      <c r="DD256" s="19"/>
      <c r="DE256" s="19"/>
      <c r="DF256" s="19"/>
      <c r="DG256" s="19"/>
      <c r="DH256" s="19"/>
      <c r="DI256" s="19"/>
      <c r="DJ256" s="19"/>
      <c r="DK256" s="19"/>
      <c r="DL256" s="19"/>
      <c r="DM256" s="19"/>
      <c r="DN256" s="19"/>
      <c r="DO256" s="19"/>
      <c r="DP256" s="19"/>
      <c r="DQ256" s="19"/>
      <c r="DR256" s="19"/>
      <c r="DS256" s="19"/>
      <c r="DT256" s="19"/>
      <c r="DU256" s="19"/>
      <c r="DV256" s="19"/>
      <c r="DW256" s="19"/>
      <c r="DX256" s="19"/>
      <c r="DY256" s="19"/>
      <c r="DZ256" s="19"/>
      <c r="EA256" s="19"/>
      <c r="EB256" s="19"/>
      <c r="EC256" s="19"/>
      <c r="ED256" s="19"/>
      <c r="EE256" s="19"/>
      <c r="EF256" s="19"/>
      <c r="EG256" s="19"/>
      <c r="EH256" s="19"/>
      <c r="EI256" s="19"/>
      <c r="EJ256" s="19"/>
      <c r="EK256" s="19"/>
      <c r="EL256" s="19"/>
      <c r="EM256" s="19"/>
      <c r="EN256" s="19"/>
      <c r="EO256" s="19"/>
      <c r="EP256" s="19"/>
      <c r="EQ256" s="19"/>
      <c r="ER256" s="19"/>
      <c r="ES256" s="19"/>
      <c r="ET256" s="19"/>
      <c r="EU256" s="19"/>
      <c r="EV256" s="19"/>
      <c r="EW256" s="19"/>
      <c r="EX256" s="19"/>
      <c r="EY256" s="19"/>
      <c r="EZ256" s="19"/>
      <c r="FA256" s="19"/>
      <c r="FB256" s="19"/>
      <c r="FC256" s="19"/>
      <c r="FD256" s="19"/>
      <c r="FE256" s="19"/>
      <c r="FF256" s="19"/>
      <c r="FG256" s="19"/>
      <c r="FH256" s="19"/>
      <c r="FI256" s="19"/>
      <c r="FJ256" s="19"/>
      <c r="FK256" s="19"/>
      <c r="FL256" s="19"/>
      <c r="FM256" s="19"/>
      <c r="FN256" s="19"/>
      <c r="FO256" s="19"/>
      <c r="FP256" s="19"/>
      <c r="FQ256" s="19"/>
      <c r="FR256" s="19"/>
      <c r="FS256" s="19"/>
      <c r="FT256" s="19"/>
      <c r="FU256" s="19"/>
      <c r="FV256" s="19"/>
      <c r="FW256" s="19"/>
      <c r="FX256" s="19"/>
      <c r="FY256" s="19"/>
      <c r="FZ256" s="19"/>
      <c r="GA256" s="19"/>
      <c r="GB256" s="19"/>
      <c r="GC256" s="19"/>
      <c r="GD256" s="19"/>
      <c r="GE256" s="19"/>
      <c r="GF256" s="19"/>
      <c r="GG256" s="19"/>
      <c r="GH256" s="19"/>
      <c r="GI256" s="19"/>
      <c r="GJ256" s="19"/>
      <c r="GK256" s="19"/>
      <c r="GL256" s="19"/>
      <c r="GM256" s="19"/>
      <c r="GN256" s="19"/>
      <c r="GO256" s="19"/>
      <c r="GP256" s="19"/>
      <c r="GQ256" s="19"/>
      <c r="GR256" s="19"/>
      <c r="GS256" s="19"/>
      <c r="GT256" s="19"/>
      <c r="GU256" s="19"/>
      <c r="GV256" s="19"/>
      <c r="GW256" s="19"/>
      <c r="GX256" s="19"/>
      <c r="GY256" s="19"/>
      <c r="GZ256" s="19"/>
      <c r="HA256" s="19"/>
      <c r="HB256" s="19"/>
    </row>
    <row r="257" spans="1:210" x14ac:dyDescent="0.25">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c r="BE257" s="19"/>
      <c r="BF257" s="19"/>
      <c r="BG257" s="19"/>
      <c r="BH257" s="19"/>
      <c r="BI257" s="19"/>
      <c r="BJ257" s="19"/>
      <c r="BK257" s="19"/>
      <c r="BL257" s="19"/>
      <c r="BM257" s="19"/>
      <c r="BN257" s="19"/>
      <c r="BO257" s="19"/>
      <c r="BP257" s="19"/>
      <c r="BQ257" s="19"/>
      <c r="BR257" s="19"/>
      <c r="BS257" s="19"/>
      <c r="BT257" s="19"/>
      <c r="BU257" s="19"/>
      <c r="BV257" s="19"/>
      <c r="BW257" s="19"/>
      <c r="BX257" s="19"/>
      <c r="BY257" s="19"/>
      <c r="BZ257" s="19"/>
      <c r="CA257" s="19"/>
      <c r="CB257" s="19"/>
      <c r="CC257" s="19"/>
      <c r="CD257" s="19"/>
      <c r="CE257" s="19"/>
      <c r="CF257" s="19"/>
      <c r="CG257" s="19"/>
      <c r="CH257" s="19"/>
      <c r="CI257" s="19"/>
      <c r="CJ257" s="19"/>
      <c r="CK257" s="19"/>
      <c r="CL257" s="19"/>
      <c r="CM257" s="19"/>
      <c r="CN257" s="19"/>
      <c r="CO257" s="19"/>
      <c r="CP257" s="19"/>
      <c r="CQ257" s="19"/>
      <c r="CR257" s="19"/>
      <c r="CS257" s="19"/>
      <c r="CT257" s="19"/>
      <c r="CU257" s="19"/>
      <c r="CV257" s="19"/>
      <c r="CW257" s="19"/>
      <c r="CX257" s="19"/>
      <c r="CY257" s="19"/>
      <c r="CZ257" s="19"/>
      <c r="DA257" s="19"/>
      <c r="DB257" s="19"/>
      <c r="DC257" s="19"/>
      <c r="DD257" s="19"/>
      <c r="DE257" s="19"/>
      <c r="DF257" s="19"/>
      <c r="DG257" s="19"/>
      <c r="DH257" s="19"/>
      <c r="DI257" s="19"/>
      <c r="DJ257" s="19"/>
      <c r="DK257" s="19"/>
      <c r="DL257" s="19"/>
      <c r="DM257" s="19"/>
      <c r="DN257" s="19"/>
      <c r="DO257" s="19"/>
      <c r="DP257" s="19"/>
      <c r="DQ257" s="19"/>
      <c r="DR257" s="19"/>
      <c r="DS257" s="19"/>
      <c r="DT257" s="19"/>
      <c r="DU257" s="19"/>
      <c r="DV257" s="19"/>
      <c r="DW257" s="19"/>
      <c r="DX257" s="19"/>
      <c r="DY257" s="19"/>
      <c r="DZ257" s="19"/>
      <c r="EA257" s="19"/>
      <c r="EB257" s="19"/>
      <c r="EC257" s="19"/>
      <c r="ED257" s="19"/>
      <c r="EE257" s="19"/>
      <c r="EF257" s="19"/>
      <c r="EG257" s="19"/>
      <c r="EH257" s="19"/>
      <c r="EI257" s="19"/>
      <c r="EJ257" s="19"/>
      <c r="EK257" s="19"/>
      <c r="EL257" s="19"/>
      <c r="EM257" s="19"/>
      <c r="EN257" s="19"/>
      <c r="EO257" s="19"/>
      <c r="EP257" s="19"/>
      <c r="EQ257" s="19"/>
      <c r="ER257" s="19"/>
      <c r="ES257" s="19"/>
      <c r="ET257" s="19"/>
      <c r="EU257" s="19"/>
      <c r="EV257" s="19"/>
      <c r="EW257" s="19"/>
      <c r="EX257" s="19"/>
      <c r="EY257" s="19"/>
      <c r="EZ257" s="19"/>
      <c r="FA257" s="19"/>
      <c r="FB257" s="19"/>
      <c r="FC257" s="19"/>
      <c r="FD257" s="19"/>
      <c r="FE257" s="19"/>
      <c r="FF257" s="19"/>
      <c r="FG257" s="19"/>
      <c r="FH257" s="19"/>
      <c r="FI257" s="19"/>
      <c r="FJ257" s="19"/>
      <c r="FK257" s="19"/>
      <c r="FL257" s="19"/>
      <c r="FM257" s="19"/>
      <c r="FN257" s="19"/>
      <c r="FO257" s="19"/>
      <c r="FP257" s="19"/>
      <c r="FQ257" s="19"/>
      <c r="FR257" s="19"/>
      <c r="FS257" s="19"/>
      <c r="FT257" s="19"/>
      <c r="FU257" s="19"/>
      <c r="FV257" s="19"/>
      <c r="FW257" s="19"/>
      <c r="FX257" s="19"/>
      <c r="FY257" s="19"/>
      <c r="FZ257" s="19"/>
      <c r="GA257" s="19"/>
      <c r="GB257" s="19"/>
      <c r="GC257" s="19"/>
      <c r="GD257" s="19"/>
      <c r="GE257" s="19"/>
      <c r="GF257" s="19"/>
      <c r="GG257" s="19"/>
      <c r="GH257" s="19"/>
      <c r="GI257" s="19"/>
      <c r="GJ257" s="19"/>
      <c r="GK257" s="19"/>
      <c r="GL257" s="19"/>
      <c r="GM257" s="19"/>
      <c r="GN257" s="19"/>
      <c r="GO257" s="19"/>
      <c r="GP257" s="19"/>
      <c r="GQ257" s="19"/>
      <c r="GR257" s="19"/>
      <c r="GS257" s="19"/>
      <c r="GT257" s="19"/>
      <c r="GU257" s="19"/>
      <c r="GV257" s="19"/>
      <c r="GW257" s="19"/>
      <c r="GX257" s="19"/>
      <c r="GY257" s="19"/>
      <c r="GZ257" s="19"/>
      <c r="HA257" s="19"/>
      <c r="HB257" s="19"/>
    </row>
    <row r="258" spans="1:210" x14ac:dyDescent="0.25">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c r="BE258" s="19"/>
      <c r="BF258" s="19"/>
      <c r="BG258" s="19"/>
      <c r="BH258" s="19"/>
      <c r="BI258" s="19"/>
      <c r="BJ258" s="19"/>
      <c r="BK258" s="19"/>
      <c r="BL258" s="19"/>
      <c r="BM258" s="19"/>
      <c r="BN258" s="19"/>
      <c r="BO258" s="19"/>
      <c r="BP258" s="19"/>
      <c r="BQ258" s="19"/>
      <c r="BR258" s="19"/>
      <c r="BS258" s="19"/>
      <c r="BT258" s="19"/>
      <c r="BU258" s="19"/>
      <c r="BV258" s="19"/>
      <c r="BW258" s="19"/>
      <c r="BX258" s="19"/>
      <c r="BY258" s="19"/>
      <c r="BZ258" s="19"/>
      <c r="CA258" s="19"/>
      <c r="CB258" s="19"/>
      <c r="CC258" s="19"/>
      <c r="CD258" s="19"/>
      <c r="CE258" s="19"/>
      <c r="CF258" s="19"/>
      <c r="CG258" s="19"/>
      <c r="CH258" s="19"/>
      <c r="CI258" s="19"/>
      <c r="CJ258" s="19"/>
      <c r="CK258" s="19"/>
      <c r="CL258" s="19"/>
      <c r="CM258" s="19"/>
      <c r="CN258" s="19"/>
      <c r="CO258" s="19"/>
      <c r="CP258" s="19"/>
      <c r="CQ258" s="19"/>
      <c r="CR258" s="19"/>
      <c r="CS258" s="19"/>
      <c r="CT258" s="19"/>
      <c r="CU258" s="19"/>
      <c r="CV258" s="19"/>
      <c r="CW258" s="19"/>
      <c r="CX258" s="19"/>
      <c r="CY258" s="19"/>
      <c r="CZ258" s="19"/>
      <c r="DA258" s="19"/>
      <c r="DB258" s="19"/>
      <c r="DC258" s="19"/>
      <c r="DD258" s="19"/>
      <c r="DE258" s="19"/>
      <c r="DF258" s="19"/>
      <c r="DG258" s="19"/>
      <c r="DH258" s="19"/>
      <c r="DI258" s="19"/>
      <c r="DJ258" s="19"/>
      <c r="DK258" s="19"/>
      <c r="DL258" s="19"/>
      <c r="DM258" s="19"/>
      <c r="DN258" s="19"/>
      <c r="DO258" s="19"/>
      <c r="DP258" s="19"/>
      <c r="DQ258" s="19"/>
      <c r="DR258" s="19"/>
      <c r="DS258" s="19"/>
      <c r="DT258" s="19"/>
      <c r="DU258" s="19"/>
      <c r="DV258" s="19"/>
      <c r="DW258" s="19"/>
      <c r="DX258" s="19"/>
      <c r="DY258" s="19"/>
      <c r="DZ258" s="19"/>
      <c r="EA258" s="19"/>
      <c r="EB258" s="19"/>
      <c r="EC258" s="19"/>
      <c r="ED258" s="19"/>
      <c r="EE258" s="19"/>
      <c r="EF258" s="19"/>
      <c r="EG258" s="19"/>
      <c r="EH258" s="19"/>
      <c r="EI258" s="19"/>
      <c r="EJ258" s="19"/>
      <c r="EK258" s="19"/>
      <c r="EL258" s="19"/>
      <c r="EM258" s="19"/>
      <c r="EN258" s="19"/>
      <c r="EO258" s="19"/>
      <c r="EP258" s="19"/>
      <c r="EQ258" s="19"/>
      <c r="ER258" s="19"/>
      <c r="ES258" s="19"/>
      <c r="ET258" s="19"/>
      <c r="EU258" s="19"/>
      <c r="EV258" s="19"/>
      <c r="EW258" s="19"/>
      <c r="EX258" s="19"/>
      <c r="EY258" s="19"/>
      <c r="EZ258" s="19"/>
      <c r="FA258" s="19"/>
      <c r="FB258" s="19"/>
      <c r="FC258" s="19"/>
      <c r="FD258" s="19"/>
      <c r="FE258" s="19"/>
      <c r="FF258" s="19"/>
      <c r="FG258" s="19"/>
      <c r="FH258" s="19"/>
      <c r="FI258" s="19"/>
      <c r="FJ258" s="19"/>
      <c r="FK258" s="19"/>
      <c r="FL258" s="19"/>
      <c r="FM258" s="19"/>
      <c r="FN258" s="19"/>
      <c r="FO258" s="19"/>
      <c r="FP258" s="19"/>
      <c r="FQ258" s="19"/>
      <c r="FR258" s="19"/>
      <c r="FS258" s="19"/>
      <c r="FT258" s="19"/>
      <c r="FU258" s="19"/>
      <c r="FV258" s="19"/>
      <c r="FW258" s="19"/>
      <c r="FX258" s="19"/>
      <c r="FY258" s="19"/>
      <c r="FZ258" s="19"/>
      <c r="GA258" s="19"/>
      <c r="GB258" s="19"/>
      <c r="GC258" s="19"/>
      <c r="GD258" s="19"/>
      <c r="GE258" s="19"/>
      <c r="GF258" s="19"/>
      <c r="GG258" s="19"/>
      <c r="GH258" s="19"/>
      <c r="GI258" s="19"/>
      <c r="GJ258" s="19"/>
      <c r="GK258" s="19"/>
      <c r="GL258" s="19"/>
      <c r="GM258" s="19"/>
      <c r="GN258" s="19"/>
      <c r="GO258" s="19"/>
      <c r="GP258" s="19"/>
      <c r="GQ258" s="19"/>
      <c r="GR258" s="19"/>
      <c r="GS258" s="19"/>
      <c r="GT258" s="19"/>
      <c r="GU258" s="19"/>
      <c r="GV258" s="19"/>
      <c r="GW258" s="19"/>
      <c r="GX258" s="19"/>
      <c r="GY258" s="19"/>
      <c r="GZ258" s="19"/>
      <c r="HA258" s="19"/>
      <c r="HB258" s="19"/>
    </row>
    <row r="259" spans="1:210" x14ac:dyDescent="0.25">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c r="BE259" s="19"/>
      <c r="BF259" s="19"/>
      <c r="BG259" s="19"/>
      <c r="BH259" s="19"/>
      <c r="BI259" s="19"/>
      <c r="BJ259" s="19"/>
      <c r="BK259" s="19"/>
      <c r="BL259" s="19"/>
      <c r="BM259" s="19"/>
      <c r="BN259" s="19"/>
      <c r="BO259" s="19"/>
      <c r="BP259" s="19"/>
      <c r="BQ259" s="19"/>
      <c r="BR259" s="19"/>
      <c r="BS259" s="19"/>
      <c r="BT259" s="19"/>
      <c r="BU259" s="19"/>
      <c r="BV259" s="19"/>
      <c r="BW259" s="19"/>
      <c r="BX259" s="19"/>
      <c r="BY259" s="19"/>
      <c r="BZ259" s="19"/>
      <c r="CA259" s="19"/>
      <c r="CB259" s="19"/>
      <c r="CC259" s="19"/>
      <c r="CD259" s="19"/>
      <c r="CE259" s="19"/>
      <c r="CF259" s="19"/>
      <c r="CG259" s="19"/>
      <c r="CH259" s="19"/>
      <c r="CI259" s="19"/>
      <c r="CJ259" s="19"/>
      <c r="CK259" s="19"/>
      <c r="CL259" s="19"/>
      <c r="CM259" s="19"/>
      <c r="CN259" s="19"/>
      <c r="CO259" s="19"/>
      <c r="CP259" s="19"/>
      <c r="CQ259" s="19"/>
      <c r="CR259" s="19"/>
      <c r="CS259" s="19"/>
      <c r="CT259" s="19"/>
      <c r="CU259" s="19"/>
      <c r="CV259" s="19"/>
      <c r="CW259" s="19"/>
      <c r="CX259" s="19"/>
      <c r="CY259" s="19"/>
      <c r="CZ259" s="19"/>
      <c r="DA259" s="19"/>
      <c r="DB259" s="19"/>
      <c r="DC259" s="19"/>
      <c r="DD259" s="19"/>
      <c r="DE259" s="19"/>
      <c r="DF259" s="19"/>
      <c r="DG259" s="19"/>
      <c r="DH259" s="19"/>
      <c r="DI259" s="19"/>
      <c r="DJ259" s="19"/>
      <c r="DK259" s="19"/>
      <c r="DL259" s="19"/>
      <c r="DM259" s="19"/>
      <c r="DN259" s="19"/>
      <c r="DO259" s="19"/>
      <c r="DP259" s="19"/>
      <c r="DQ259" s="19"/>
      <c r="DR259" s="19"/>
      <c r="DS259" s="19"/>
      <c r="DT259" s="19"/>
      <c r="DU259" s="19"/>
      <c r="DV259" s="19"/>
      <c r="DW259" s="19"/>
      <c r="DX259" s="19"/>
      <c r="DY259" s="19"/>
      <c r="DZ259" s="19"/>
      <c r="EA259" s="19"/>
      <c r="EB259" s="19"/>
      <c r="EC259" s="19"/>
      <c r="ED259" s="19"/>
      <c r="EE259" s="19"/>
      <c r="EF259" s="19"/>
      <c r="EG259" s="19"/>
      <c r="EH259" s="19"/>
      <c r="EI259" s="19"/>
      <c r="EJ259" s="19"/>
      <c r="EK259" s="19"/>
      <c r="EL259" s="19"/>
      <c r="EM259" s="19"/>
      <c r="EN259" s="19"/>
      <c r="EO259" s="19"/>
      <c r="EP259" s="19"/>
      <c r="EQ259" s="19"/>
      <c r="ER259" s="19"/>
      <c r="ES259" s="19"/>
      <c r="ET259" s="19"/>
      <c r="EU259" s="19"/>
      <c r="EV259" s="19"/>
      <c r="EW259" s="19"/>
      <c r="EX259" s="19"/>
      <c r="EY259" s="19"/>
      <c r="EZ259" s="19"/>
      <c r="FA259" s="19"/>
      <c r="FB259" s="19"/>
      <c r="FC259" s="19"/>
      <c r="FD259" s="19"/>
      <c r="FE259" s="19"/>
      <c r="FF259" s="19"/>
      <c r="FG259" s="19"/>
      <c r="FH259" s="19"/>
      <c r="FI259" s="19"/>
      <c r="FJ259" s="19"/>
      <c r="FK259" s="19"/>
      <c r="FL259" s="19"/>
      <c r="FM259" s="19"/>
      <c r="FN259" s="19"/>
      <c r="FO259" s="19"/>
      <c r="FP259" s="19"/>
      <c r="FQ259" s="19"/>
      <c r="FR259" s="19"/>
      <c r="FS259" s="19"/>
      <c r="FT259" s="19"/>
      <c r="FU259" s="19"/>
      <c r="FV259" s="19"/>
      <c r="FW259" s="19"/>
      <c r="FX259" s="19"/>
      <c r="FY259" s="19"/>
      <c r="FZ259" s="19"/>
      <c r="GA259" s="19"/>
      <c r="GB259" s="19"/>
      <c r="GC259" s="19"/>
      <c r="GD259" s="19"/>
      <c r="GE259" s="19"/>
      <c r="GF259" s="19"/>
      <c r="GG259" s="19"/>
      <c r="GH259" s="19"/>
      <c r="GI259" s="19"/>
      <c r="GJ259" s="19"/>
      <c r="GK259" s="19"/>
      <c r="GL259" s="19"/>
      <c r="GM259" s="19"/>
      <c r="GN259" s="19"/>
      <c r="GO259" s="19"/>
      <c r="GP259" s="19"/>
      <c r="GQ259" s="19"/>
      <c r="GR259" s="19"/>
      <c r="GS259" s="19"/>
      <c r="GT259" s="19"/>
      <c r="GU259" s="19"/>
      <c r="GV259" s="19"/>
      <c r="GW259" s="19"/>
      <c r="GX259" s="19"/>
      <c r="GY259" s="19"/>
      <c r="GZ259" s="19"/>
      <c r="HA259" s="19"/>
      <c r="HB259" s="19"/>
    </row>
    <row r="260" spans="1:210" x14ac:dyDescent="0.25">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c r="BE260" s="19"/>
      <c r="BF260" s="19"/>
      <c r="BG260" s="19"/>
      <c r="BH260" s="19"/>
      <c r="BI260" s="19"/>
      <c r="BJ260" s="19"/>
      <c r="BK260" s="19"/>
      <c r="BL260" s="19"/>
      <c r="BM260" s="19"/>
      <c r="BN260" s="19"/>
      <c r="BO260" s="19"/>
      <c r="BP260" s="19"/>
      <c r="BQ260" s="19"/>
      <c r="BR260" s="19"/>
      <c r="BS260" s="19"/>
      <c r="BT260" s="19"/>
      <c r="BU260" s="19"/>
      <c r="BV260" s="19"/>
      <c r="BW260" s="19"/>
      <c r="BX260" s="19"/>
      <c r="BY260" s="19"/>
      <c r="BZ260" s="19"/>
      <c r="CA260" s="19"/>
      <c r="CB260" s="19"/>
      <c r="CC260" s="19"/>
      <c r="CD260" s="19"/>
      <c r="CE260" s="19"/>
      <c r="CF260" s="19"/>
      <c r="CG260" s="19"/>
      <c r="CH260" s="19"/>
      <c r="CI260" s="19"/>
      <c r="CJ260" s="19"/>
      <c r="CK260" s="19"/>
      <c r="CL260" s="19"/>
      <c r="CM260" s="19"/>
      <c r="CN260" s="19"/>
      <c r="CO260" s="19"/>
      <c r="CP260" s="19"/>
      <c r="CQ260" s="19"/>
      <c r="CR260" s="19"/>
      <c r="CS260" s="19"/>
      <c r="CT260" s="19"/>
      <c r="CU260" s="19"/>
      <c r="CV260" s="19"/>
      <c r="CW260" s="19"/>
      <c r="CX260" s="19"/>
      <c r="CY260" s="19"/>
      <c r="CZ260" s="19"/>
      <c r="DA260" s="19"/>
      <c r="DB260" s="19"/>
      <c r="DC260" s="19"/>
      <c r="DD260" s="19"/>
      <c r="DE260" s="19"/>
      <c r="DF260" s="19"/>
      <c r="DG260" s="19"/>
      <c r="DH260" s="19"/>
      <c r="DI260" s="19"/>
      <c r="DJ260" s="19"/>
      <c r="DK260" s="19"/>
      <c r="DL260" s="19"/>
      <c r="DM260" s="19"/>
      <c r="DN260" s="19"/>
      <c r="DO260" s="19"/>
      <c r="DP260" s="19"/>
      <c r="DQ260" s="19"/>
      <c r="DR260" s="19"/>
      <c r="DS260" s="19"/>
      <c r="DT260" s="19"/>
      <c r="DU260" s="19"/>
      <c r="DV260" s="19"/>
      <c r="DW260" s="19"/>
      <c r="DX260" s="19"/>
      <c r="DY260" s="19"/>
      <c r="DZ260" s="19"/>
      <c r="EA260" s="19"/>
      <c r="EB260" s="19"/>
      <c r="EC260" s="19"/>
      <c r="ED260" s="19"/>
      <c r="EE260" s="19"/>
      <c r="EF260" s="19"/>
      <c r="EG260" s="19"/>
      <c r="EH260" s="19"/>
      <c r="EI260" s="19"/>
      <c r="EJ260" s="19"/>
      <c r="EK260" s="19"/>
      <c r="EL260" s="19"/>
      <c r="EM260" s="19"/>
      <c r="EN260" s="19"/>
      <c r="EO260" s="19"/>
      <c r="EP260" s="19"/>
      <c r="EQ260" s="19"/>
      <c r="ER260" s="19"/>
      <c r="ES260" s="19"/>
      <c r="ET260" s="19"/>
      <c r="EU260" s="19"/>
      <c r="EV260" s="19"/>
      <c r="EW260" s="19"/>
      <c r="EX260" s="19"/>
      <c r="EY260" s="19"/>
      <c r="EZ260" s="19"/>
      <c r="FA260" s="19"/>
      <c r="FB260" s="19"/>
      <c r="FC260" s="19"/>
      <c r="FD260" s="19"/>
      <c r="FE260" s="19"/>
      <c r="FF260" s="19"/>
      <c r="FG260" s="19"/>
      <c r="FH260" s="19"/>
      <c r="FI260" s="19"/>
      <c r="FJ260" s="19"/>
      <c r="FK260" s="19"/>
      <c r="FL260" s="19"/>
      <c r="FM260" s="19"/>
      <c r="FN260" s="19"/>
      <c r="FO260" s="19"/>
      <c r="FP260" s="19"/>
      <c r="FQ260" s="19"/>
      <c r="FR260" s="19"/>
      <c r="FS260" s="19"/>
      <c r="FT260" s="19"/>
      <c r="FU260" s="19"/>
      <c r="FV260" s="19"/>
      <c r="FW260" s="19"/>
      <c r="FX260" s="19"/>
      <c r="FY260" s="19"/>
      <c r="FZ260" s="19"/>
      <c r="GA260" s="19"/>
      <c r="GB260" s="19"/>
      <c r="GC260" s="19"/>
      <c r="GD260" s="19"/>
      <c r="GE260" s="19"/>
      <c r="GF260" s="19"/>
      <c r="GG260" s="19"/>
      <c r="GH260" s="19"/>
      <c r="GI260" s="19"/>
      <c r="GJ260" s="19"/>
      <c r="GK260" s="19"/>
      <c r="GL260" s="19"/>
      <c r="GM260" s="19"/>
      <c r="GN260" s="19"/>
      <c r="GO260" s="19"/>
      <c r="GP260" s="19"/>
      <c r="GQ260" s="19"/>
      <c r="GR260" s="19"/>
      <c r="GS260" s="19"/>
      <c r="GT260" s="19"/>
      <c r="GU260" s="19"/>
      <c r="GV260" s="19"/>
      <c r="GW260" s="19"/>
      <c r="GX260" s="19"/>
      <c r="GY260" s="19"/>
      <c r="GZ260" s="19"/>
      <c r="HA260" s="19"/>
      <c r="HB260" s="19"/>
    </row>
    <row r="261" spans="1:210" x14ac:dyDescent="0.25">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c r="BE261" s="19"/>
      <c r="BF261" s="19"/>
      <c r="BG261" s="19"/>
      <c r="BH261" s="19"/>
      <c r="BI261" s="19"/>
      <c r="BJ261" s="19"/>
      <c r="BK261" s="19"/>
      <c r="BL261" s="19"/>
      <c r="BM261" s="19"/>
      <c r="BN261" s="19"/>
      <c r="BO261" s="19"/>
      <c r="BP261" s="19"/>
      <c r="BQ261" s="19"/>
      <c r="BR261" s="19"/>
      <c r="BS261" s="19"/>
      <c r="BT261" s="19"/>
      <c r="BU261" s="19"/>
      <c r="BV261" s="19"/>
      <c r="BW261" s="19"/>
      <c r="BX261" s="19"/>
      <c r="BY261" s="19"/>
      <c r="BZ261" s="19"/>
      <c r="CA261" s="19"/>
      <c r="CB261" s="19"/>
      <c r="CC261" s="19"/>
      <c r="CD261" s="19"/>
      <c r="CE261" s="19"/>
      <c r="CF261" s="19"/>
      <c r="CG261" s="19"/>
      <c r="CH261" s="19"/>
      <c r="CI261" s="19"/>
      <c r="CJ261" s="19"/>
      <c r="CK261" s="19"/>
      <c r="CL261" s="19"/>
      <c r="CM261" s="19"/>
      <c r="CN261" s="19"/>
      <c r="CO261" s="19"/>
      <c r="CP261" s="19"/>
      <c r="CQ261" s="19"/>
      <c r="CR261" s="19"/>
      <c r="CS261" s="19"/>
      <c r="CT261" s="19"/>
      <c r="CU261" s="19"/>
      <c r="CV261" s="19"/>
      <c r="CW261" s="19"/>
      <c r="CX261" s="19"/>
      <c r="CY261" s="19"/>
      <c r="CZ261" s="19"/>
      <c r="DA261" s="19"/>
      <c r="DB261" s="19"/>
      <c r="DC261" s="19"/>
      <c r="DD261" s="19"/>
      <c r="DE261" s="19"/>
      <c r="DF261" s="19"/>
      <c r="DG261" s="19"/>
      <c r="DH261" s="19"/>
      <c r="DI261" s="19"/>
      <c r="DJ261" s="19"/>
      <c r="DK261" s="19"/>
      <c r="DL261" s="19"/>
      <c r="DM261" s="19"/>
      <c r="DN261" s="19"/>
      <c r="DO261" s="19"/>
      <c r="DP261" s="19"/>
      <c r="DQ261" s="19"/>
      <c r="DR261" s="19"/>
      <c r="DS261" s="19"/>
      <c r="DT261" s="19"/>
      <c r="DU261" s="19"/>
      <c r="DV261" s="19"/>
      <c r="DW261" s="19"/>
      <c r="DX261" s="19"/>
      <c r="DY261" s="19"/>
      <c r="DZ261" s="19"/>
      <c r="EA261" s="19"/>
      <c r="EB261" s="19"/>
      <c r="EC261" s="19"/>
      <c r="ED261" s="19"/>
      <c r="EE261" s="19"/>
      <c r="EF261" s="19"/>
      <c r="EG261" s="19"/>
      <c r="EH261" s="19"/>
      <c r="EI261" s="19"/>
      <c r="EJ261" s="19"/>
      <c r="EK261" s="19"/>
      <c r="EL261" s="19"/>
      <c r="EM261" s="19"/>
      <c r="EN261" s="19"/>
      <c r="EO261" s="19"/>
      <c r="EP261" s="19"/>
      <c r="EQ261" s="19"/>
      <c r="ER261" s="19"/>
      <c r="ES261" s="19"/>
      <c r="ET261" s="19"/>
      <c r="EU261" s="19"/>
      <c r="EV261" s="19"/>
      <c r="EW261" s="19"/>
      <c r="EX261" s="19"/>
      <c r="EY261" s="19"/>
      <c r="EZ261" s="19"/>
      <c r="FA261" s="19"/>
      <c r="FB261" s="19"/>
      <c r="FC261" s="19"/>
      <c r="FD261" s="19"/>
      <c r="FE261" s="19"/>
      <c r="FF261" s="19"/>
      <c r="FG261" s="19"/>
      <c r="FH261" s="19"/>
      <c r="FI261" s="19"/>
      <c r="FJ261" s="19"/>
      <c r="FK261" s="19"/>
      <c r="FL261" s="19"/>
      <c r="FM261" s="19"/>
      <c r="FN261" s="19"/>
      <c r="FO261" s="19"/>
      <c r="FP261" s="19"/>
      <c r="FQ261" s="19"/>
      <c r="FR261" s="19"/>
      <c r="FS261" s="19"/>
      <c r="FT261" s="19"/>
      <c r="FU261" s="19"/>
      <c r="FV261" s="19"/>
      <c r="FW261" s="19"/>
      <c r="FX261" s="19"/>
      <c r="FY261" s="19"/>
      <c r="FZ261" s="19"/>
      <c r="GA261" s="19"/>
      <c r="GB261" s="19"/>
      <c r="GC261" s="19"/>
      <c r="GD261" s="19"/>
      <c r="GE261" s="19"/>
      <c r="GF261" s="19"/>
      <c r="GG261" s="19"/>
      <c r="GH261" s="19"/>
      <c r="GI261" s="19"/>
      <c r="GJ261" s="19"/>
      <c r="GK261" s="19"/>
      <c r="GL261" s="19"/>
      <c r="GM261" s="19"/>
      <c r="GN261" s="19"/>
      <c r="GO261" s="19"/>
      <c r="GP261" s="19"/>
      <c r="GQ261" s="19"/>
      <c r="GR261" s="19"/>
      <c r="GS261" s="19"/>
      <c r="GT261" s="19"/>
      <c r="GU261" s="19"/>
      <c r="GV261" s="19"/>
      <c r="GW261" s="19"/>
      <c r="GX261" s="19"/>
      <c r="GY261" s="19"/>
      <c r="GZ261" s="19"/>
      <c r="HA261" s="19"/>
      <c r="HB261" s="19"/>
    </row>
    <row r="262" spans="1:210" x14ac:dyDescent="0.25">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c r="BE262" s="19"/>
      <c r="BF262" s="19"/>
      <c r="BG262" s="19"/>
      <c r="BH262" s="19"/>
      <c r="BI262" s="19"/>
      <c r="BJ262" s="19"/>
      <c r="BK262" s="19"/>
      <c r="BL262" s="19"/>
      <c r="BM262" s="19"/>
      <c r="BN262" s="19"/>
      <c r="BO262" s="19"/>
      <c r="BP262" s="19"/>
      <c r="BQ262" s="19"/>
      <c r="BR262" s="19"/>
      <c r="BS262" s="19"/>
      <c r="BT262" s="19"/>
      <c r="BU262" s="19"/>
      <c r="BV262" s="19"/>
      <c r="BW262" s="19"/>
      <c r="BX262" s="19"/>
      <c r="BY262" s="19"/>
      <c r="BZ262" s="19"/>
      <c r="CA262" s="19"/>
      <c r="CB262" s="19"/>
      <c r="CC262" s="19"/>
      <c r="CD262" s="19"/>
      <c r="CE262" s="19"/>
      <c r="CF262" s="19"/>
      <c r="CG262" s="19"/>
      <c r="CH262" s="19"/>
      <c r="CI262" s="19"/>
      <c r="CJ262" s="19"/>
      <c r="CK262" s="19"/>
      <c r="CL262" s="19"/>
      <c r="CM262" s="19"/>
      <c r="CN262" s="19"/>
      <c r="CO262" s="19"/>
      <c r="CP262" s="19"/>
      <c r="CQ262" s="19"/>
      <c r="CR262" s="19"/>
      <c r="CS262" s="19"/>
      <c r="CT262" s="19"/>
      <c r="CU262" s="19"/>
      <c r="CV262" s="19"/>
      <c r="CW262" s="19"/>
      <c r="CX262" s="19"/>
      <c r="CY262" s="19"/>
      <c r="CZ262" s="19"/>
      <c r="DA262" s="19"/>
      <c r="DB262" s="19"/>
      <c r="DC262" s="19"/>
      <c r="DD262" s="19"/>
      <c r="DE262" s="19"/>
      <c r="DF262" s="19"/>
      <c r="DG262" s="19"/>
      <c r="DH262" s="19"/>
      <c r="DI262" s="19"/>
      <c r="DJ262" s="19"/>
      <c r="DK262" s="19"/>
      <c r="DL262" s="19"/>
      <c r="DM262" s="19"/>
      <c r="DN262" s="19"/>
      <c r="DO262" s="19"/>
      <c r="DP262" s="19"/>
      <c r="DQ262" s="19"/>
      <c r="DR262" s="19"/>
      <c r="DS262" s="19"/>
      <c r="DT262" s="19"/>
      <c r="DU262" s="19"/>
      <c r="DV262" s="19"/>
      <c r="DW262" s="19"/>
      <c r="DX262" s="19"/>
      <c r="DY262" s="19"/>
      <c r="DZ262" s="19"/>
      <c r="EA262" s="19"/>
      <c r="EB262" s="19"/>
      <c r="EC262" s="19"/>
      <c r="ED262" s="19"/>
      <c r="EE262" s="19"/>
      <c r="EF262" s="19"/>
      <c r="EG262" s="19"/>
      <c r="EH262" s="19"/>
      <c r="EI262" s="19"/>
      <c r="EJ262" s="19"/>
      <c r="EK262" s="19"/>
      <c r="EL262" s="19"/>
      <c r="EM262" s="19"/>
      <c r="EN262" s="19"/>
      <c r="EO262" s="19"/>
      <c r="EP262" s="19"/>
      <c r="EQ262" s="19"/>
      <c r="ER262" s="19"/>
      <c r="ES262" s="19"/>
      <c r="ET262" s="19"/>
      <c r="EU262" s="19"/>
      <c r="EV262" s="19"/>
      <c r="EW262" s="19"/>
      <c r="EX262" s="19"/>
      <c r="EY262" s="19"/>
      <c r="EZ262" s="19"/>
      <c r="FA262" s="19"/>
      <c r="FB262" s="19"/>
      <c r="FC262" s="19"/>
      <c r="FD262" s="19"/>
      <c r="FE262" s="19"/>
      <c r="FF262" s="19"/>
      <c r="FG262" s="19"/>
      <c r="FH262" s="19"/>
      <c r="FI262" s="19"/>
      <c r="FJ262" s="19"/>
      <c r="FK262" s="19"/>
      <c r="FL262" s="19"/>
      <c r="FM262" s="19"/>
      <c r="FN262" s="19"/>
      <c r="FO262" s="19"/>
      <c r="FP262" s="19"/>
      <c r="FQ262" s="19"/>
      <c r="FR262" s="19"/>
      <c r="FS262" s="19"/>
      <c r="FT262" s="19"/>
      <c r="FU262" s="19"/>
      <c r="FV262" s="19"/>
      <c r="FW262" s="19"/>
      <c r="FX262" s="19"/>
      <c r="FY262" s="19"/>
      <c r="FZ262" s="19"/>
      <c r="GA262" s="19"/>
      <c r="GB262" s="19"/>
      <c r="GC262" s="19"/>
      <c r="GD262" s="19"/>
      <c r="GE262" s="19"/>
      <c r="GF262" s="19"/>
      <c r="GG262" s="19"/>
      <c r="GH262" s="19"/>
      <c r="GI262" s="19"/>
      <c r="GJ262" s="19"/>
      <c r="GK262" s="19"/>
      <c r="GL262" s="19"/>
      <c r="GM262" s="19"/>
      <c r="GN262" s="19"/>
      <c r="GO262" s="19"/>
      <c r="GP262" s="19"/>
      <c r="GQ262" s="19"/>
      <c r="GR262" s="19"/>
      <c r="GS262" s="19"/>
      <c r="GT262" s="19"/>
      <c r="GU262" s="19"/>
      <c r="GV262" s="19"/>
      <c r="GW262" s="19"/>
      <c r="GX262" s="19"/>
      <c r="GY262" s="19"/>
      <c r="GZ262" s="19"/>
      <c r="HA262" s="19"/>
      <c r="HB262" s="19"/>
    </row>
    <row r="263" spans="1:210" x14ac:dyDescent="0.25">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c r="BE263" s="19"/>
      <c r="BF263" s="19"/>
      <c r="BG263" s="19"/>
      <c r="BH263" s="19"/>
      <c r="BI263" s="19"/>
      <c r="BJ263" s="19"/>
      <c r="BK263" s="19"/>
      <c r="BL263" s="19"/>
      <c r="BM263" s="19"/>
      <c r="BN263" s="19"/>
      <c r="BO263" s="19"/>
      <c r="BP263" s="19"/>
      <c r="BQ263" s="19"/>
      <c r="BR263" s="19"/>
      <c r="BS263" s="19"/>
      <c r="BT263" s="19"/>
      <c r="BU263" s="19"/>
      <c r="BV263" s="19"/>
      <c r="BW263" s="19"/>
      <c r="BX263" s="19"/>
      <c r="BY263" s="19"/>
      <c r="BZ263" s="19"/>
      <c r="CA263" s="19"/>
      <c r="CB263" s="19"/>
      <c r="CC263" s="19"/>
      <c r="CD263" s="19"/>
      <c r="CE263" s="19"/>
      <c r="CF263" s="19"/>
      <c r="CG263" s="19"/>
      <c r="CH263" s="19"/>
      <c r="CI263" s="19"/>
      <c r="CJ263" s="19"/>
      <c r="CK263" s="19"/>
      <c r="CL263" s="19"/>
      <c r="CM263" s="19"/>
      <c r="CN263" s="19"/>
      <c r="CO263" s="19"/>
      <c r="CP263" s="19"/>
      <c r="CQ263" s="19"/>
      <c r="CR263" s="19"/>
      <c r="CS263" s="19"/>
      <c r="CT263" s="19"/>
      <c r="CU263" s="19"/>
      <c r="CV263" s="19"/>
      <c r="CW263" s="19"/>
      <c r="CX263" s="19"/>
      <c r="CY263" s="19"/>
      <c r="CZ263" s="19"/>
      <c r="DA263" s="19"/>
      <c r="DB263" s="19"/>
      <c r="DC263" s="19"/>
      <c r="DD263" s="19"/>
      <c r="DE263" s="19"/>
      <c r="DF263" s="19"/>
      <c r="DG263" s="19"/>
      <c r="DH263" s="19"/>
      <c r="DI263" s="19"/>
      <c r="DJ263" s="19"/>
      <c r="DK263" s="19"/>
      <c r="DL263" s="19"/>
      <c r="DM263" s="19"/>
      <c r="DN263" s="19"/>
      <c r="DO263" s="19"/>
      <c r="DP263" s="19"/>
      <c r="DQ263" s="19"/>
      <c r="DR263" s="19"/>
      <c r="DS263" s="19"/>
      <c r="DT263" s="19"/>
      <c r="DU263" s="19"/>
      <c r="DV263" s="19"/>
      <c r="DW263" s="19"/>
      <c r="DX263" s="19"/>
      <c r="DY263" s="19"/>
      <c r="DZ263" s="19"/>
      <c r="EA263" s="19"/>
      <c r="EB263" s="19"/>
      <c r="EC263" s="19"/>
      <c r="ED263" s="19"/>
      <c r="EE263" s="19"/>
      <c r="EF263" s="19"/>
      <c r="EG263" s="19"/>
      <c r="EH263" s="19"/>
      <c r="EI263" s="19"/>
      <c r="EJ263" s="19"/>
      <c r="EK263" s="19"/>
      <c r="EL263" s="19"/>
      <c r="EM263" s="19"/>
      <c r="EN263" s="19"/>
      <c r="EO263" s="19"/>
      <c r="EP263" s="19"/>
      <c r="EQ263" s="19"/>
      <c r="ER263" s="19"/>
      <c r="ES263" s="19"/>
      <c r="ET263" s="19"/>
      <c r="EU263" s="19"/>
      <c r="EV263" s="19"/>
      <c r="EW263" s="19"/>
      <c r="EX263" s="19"/>
      <c r="EY263" s="19"/>
      <c r="EZ263" s="19"/>
      <c r="FA263" s="19"/>
      <c r="FB263" s="19"/>
      <c r="FC263" s="19"/>
      <c r="FD263" s="19"/>
      <c r="FE263" s="19"/>
      <c r="FF263" s="19"/>
      <c r="FG263" s="19"/>
      <c r="FH263" s="19"/>
      <c r="FI263" s="19"/>
      <c r="FJ263" s="19"/>
      <c r="FK263" s="19"/>
      <c r="FL263" s="19"/>
      <c r="FM263" s="19"/>
      <c r="FN263" s="19"/>
      <c r="FO263" s="19"/>
      <c r="FP263" s="19"/>
      <c r="FQ263" s="19"/>
      <c r="FR263" s="19"/>
      <c r="FS263" s="19"/>
      <c r="FT263" s="19"/>
      <c r="FU263" s="19"/>
      <c r="FV263" s="19"/>
      <c r="FW263" s="19"/>
      <c r="FX263" s="19"/>
      <c r="FY263" s="19"/>
      <c r="FZ263" s="19"/>
      <c r="GA263" s="19"/>
      <c r="GB263" s="19"/>
      <c r="GC263" s="19"/>
      <c r="GD263" s="19"/>
      <c r="GE263" s="19"/>
      <c r="GF263" s="19"/>
      <c r="GG263" s="19"/>
      <c r="GH263" s="19"/>
      <c r="GI263" s="19"/>
      <c r="GJ263" s="19"/>
      <c r="GK263" s="19"/>
      <c r="GL263" s="19"/>
      <c r="GM263" s="19"/>
      <c r="GN263" s="19"/>
      <c r="GO263" s="19"/>
      <c r="GP263" s="19"/>
      <c r="GQ263" s="19"/>
      <c r="GR263" s="19"/>
      <c r="GS263" s="19"/>
      <c r="GT263" s="19"/>
      <c r="GU263" s="19"/>
      <c r="GV263" s="19"/>
      <c r="GW263" s="19"/>
      <c r="GX263" s="19"/>
      <c r="GY263" s="19"/>
      <c r="GZ263" s="19"/>
      <c r="HA263" s="19"/>
      <c r="HB263" s="19"/>
    </row>
    <row r="264" spans="1:210" x14ac:dyDescent="0.25">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c r="BE264" s="19"/>
      <c r="BF264" s="19"/>
      <c r="BG264" s="19"/>
      <c r="BH264" s="19"/>
      <c r="BI264" s="19"/>
      <c r="BJ264" s="19"/>
      <c r="BK264" s="19"/>
      <c r="BL264" s="19"/>
      <c r="BM264" s="19"/>
      <c r="BN264" s="19"/>
      <c r="BO264" s="19"/>
      <c r="BP264" s="19"/>
      <c r="BQ264" s="19"/>
      <c r="BR264" s="19"/>
      <c r="BS264" s="19"/>
      <c r="BT264" s="19"/>
      <c r="BU264" s="19"/>
      <c r="BV264" s="19"/>
      <c r="BW264" s="19"/>
      <c r="BX264" s="19"/>
      <c r="BY264" s="19"/>
      <c r="BZ264" s="19"/>
      <c r="CA264" s="19"/>
      <c r="CB264" s="19"/>
      <c r="CC264" s="19"/>
      <c r="CD264" s="19"/>
      <c r="CE264" s="19"/>
      <c r="CF264" s="19"/>
      <c r="CG264" s="19"/>
      <c r="CH264" s="19"/>
      <c r="CI264" s="19"/>
      <c r="CJ264" s="19"/>
      <c r="CK264" s="19"/>
      <c r="CL264" s="19"/>
      <c r="CM264" s="19"/>
      <c r="CN264" s="19"/>
      <c r="CO264" s="19"/>
      <c r="CP264" s="19"/>
      <c r="CQ264" s="19"/>
      <c r="CR264" s="19"/>
      <c r="CS264" s="19"/>
      <c r="CT264" s="19"/>
      <c r="CU264" s="19"/>
      <c r="CV264" s="19"/>
      <c r="CW264" s="19"/>
      <c r="CX264" s="19"/>
      <c r="CY264" s="19"/>
      <c r="CZ264" s="19"/>
      <c r="DA264" s="19"/>
      <c r="DB264" s="19"/>
      <c r="DC264" s="19"/>
      <c r="DD264" s="19"/>
      <c r="DE264" s="19"/>
      <c r="DF264" s="19"/>
      <c r="DG264" s="19"/>
      <c r="DH264" s="19"/>
      <c r="DI264" s="19"/>
      <c r="DJ264" s="19"/>
      <c r="DK264" s="19"/>
      <c r="DL264" s="19"/>
      <c r="DM264" s="19"/>
      <c r="DN264" s="19"/>
      <c r="DO264" s="19"/>
      <c r="DP264" s="19"/>
      <c r="DQ264" s="19"/>
      <c r="DR264" s="19"/>
      <c r="DS264" s="19"/>
      <c r="DT264" s="19"/>
      <c r="DU264" s="19"/>
      <c r="DV264" s="19"/>
      <c r="DW264" s="19"/>
      <c r="DX264" s="19"/>
      <c r="DY264" s="19"/>
      <c r="DZ264" s="19"/>
      <c r="EA264" s="19"/>
      <c r="EB264" s="19"/>
      <c r="EC264" s="19"/>
      <c r="ED264" s="19"/>
      <c r="EE264" s="19"/>
      <c r="EF264" s="19"/>
      <c r="EG264" s="19"/>
      <c r="EH264" s="19"/>
      <c r="EI264" s="19"/>
      <c r="EJ264" s="19"/>
      <c r="EK264" s="19"/>
      <c r="EL264" s="19"/>
      <c r="EM264" s="19"/>
      <c r="EN264" s="19"/>
      <c r="EO264" s="19"/>
      <c r="EP264" s="19"/>
      <c r="EQ264" s="19"/>
      <c r="ER264" s="19"/>
      <c r="ES264" s="19"/>
      <c r="ET264" s="19"/>
      <c r="EU264" s="19"/>
      <c r="EV264" s="19"/>
      <c r="EW264" s="19"/>
      <c r="EX264" s="19"/>
      <c r="EY264" s="19"/>
      <c r="EZ264" s="19"/>
      <c r="FA264" s="19"/>
      <c r="FB264" s="19"/>
      <c r="FC264" s="19"/>
      <c r="FD264" s="19"/>
      <c r="FE264" s="19"/>
      <c r="FF264" s="19"/>
      <c r="FG264" s="19"/>
      <c r="FH264" s="19"/>
      <c r="FI264" s="19"/>
      <c r="FJ264" s="19"/>
      <c r="FK264" s="19"/>
      <c r="FL264" s="19"/>
      <c r="FM264" s="19"/>
      <c r="FN264" s="19"/>
      <c r="FO264" s="19"/>
      <c r="FP264" s="19"/>
      <c r="FQ264" s="19"/>
      <c r="FR264" s="19"/>
      <c r="FS264" s="19"/>
      <c r="FT264" s="19"/>
      <c r="FU264" s="19"/>
      <c r="FV264" s="19"/>
      <c r="FW264" s="19"/>
      <c r="FX264" s="19"/>
      <c r="FY264" s="19"/>
      <c r="FZ264" s="19"/>
      <c r="GA264" s="19"/>
      <c r="GB264" s="19"/>
      <c r="GC264" s="19"/>
      <c r="GD264" s="19"/>
      <c r="GE264" s="19"/>
      <c r="GF264" s="19"/>
      <c r="GG264" s="19"/>
      <c r="GH264" s="19"/>
      <c r="GI264" s="19"/>
      <c r="GJ264" s="19"/>
      <c r="GK264" s="19"/>
      <c r="GL264" s="19"/>
      <c r="GM264" s="19"/>
      <c r="GN264" s="19"/>
      <c r="GO264" s="19"/>
      <c r="GP264" s="19"/>
      <c r="GQ264" s="19"/>
      <c r="GR264" s="19"/>
      <c r="GS264" s="19"/>
      <c r="GT264" s="19"/>
      <c r="GU264" s="19"/>
      <c r="GV264" s="19"/>
      <c r="GW264" s="19"/>
      <c r="GX264" s="19"/>
      <c r="GY264" s="19"/>
      <c r="GZ264" s="19"/>
      <c r="HA264" s="19"/>
      <c r="HB264" s="19"/>
    </row>
    <row r="265" spans="1:210" x14ac:dyDescent="0.25">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c r="BE265" s="19"/>
      <c r="BF265" s="19"/>
      <c r="BG265" s="19"/>
      <c r="BH265" s="19"/>
      <c r="BI265" s="19"/>
      <c r="BJ265" s="19"/>
      <c r="BK265" s="19"/>
      <c r="BL265" s="19"/>
      <c r="BM265" s="19"/>
      <c r="BN265" s="19"/>
      <c r="BO265" s="19"/>
      <c r="BP265" s="19"/>
      <c r="BQ265" s="19"/>
      <c r="BR265" s="19"/>
      <c r="BS265" s="19"/>
      <c r="BT265" s="19"/>
      <c r="BU265" s="19"/>
      <c r="BV265" s="19"/>
      <c r="BW265" s="19"/>
      <c r="BX265" s="19"/>
      <c r="BY265" s="19"/>
      <c r="BZ265" s="19"/>
      <c r="CA265" s="19"/>
      <c r="CB265" s="19"/>
      <c r="CC265" s="19"/>
      <c r="CD265" s="19"/>
      <c r="CE265" s="19"/>
      <c r="CF265" s="19"/>
      <c r="CG265" s="19"/>
      <c r="CH265" s="19"/>
      <c r="CI265" s="19"/>
      <c r="CJ265" s="19"/>
      <c r="CK265" s="19"/>
      <c r="CL265" s="19"/>
      <c r="CM265" s="19"/>
      <c r="CN265" s="19"/>
      <c r="CO265" s="19"/>
      <c r="CP265" s="19"/>
      <c r="CQ265" s="19"/>
      <c r="CR265" s="19"/>
      <c r="CS265" s="19"/>
      <c r="CT265" s="19"/>
      <c r="CU265" s="19"/>
      <c r="CV265" s="19"/>
      <c r="CW265" s="19"/>
      <c r="CX265" s="19"/>
      <c r="CY265" s="19"/>
      <c r="CZ265" s="19"/>
      <c r="DA265" s="19"/>
      <c r="DB265" s="19"/>
      <c r="DC265" s="19"/>
      <c r="DD265" s="19"/>
      <c r="DE265" s="19"/>
      <c r="DF265" s="19"/>
      <c r="DG265" s="19"/>
      <c r="DH265" s="19"/>
      <c r="DI265" s="19"/>
      <c r="DJ265" s="19"/>
      <c r="DK265" s="19"/>
      <c r="DL265" s="19"/>
      <c r="DM265" s="19"/>
      <c r="DN265" s="19"/>
      <c r="DO265" s="19"/>
      <c r="DP265" s="19"/>
      <c r="DQ265" s="19"/>
      <c r="DR265" s="19"/>
      <c r="DS265" s="19"/>
      <c r="DT265" s="19"/>
      <c r="DU265" s="19"/>
      <c r="DV265" s="19"/>
      <c r="DW265" s="19"/>
      <c r="DX265" s="19"/>
      <c r="DY265" s="19"/>
      <c r="DZ265" s="19"/>
      <c r="EA265" s="19"/>
      <c r="EB265" s="19"/>
      <c r="EC265" s="19"/>
      <c r="ED265" s="19"/>
      <c r="EE265" s="19"/>
      <c r="EF265" s="19"/>
      <c r="EG265" s="19"/>
      <c r="EH265" s="19"/>
      <c r="EI265" s="19"/>
      <c r="EJ265" s="19"/>
      <c r="EK265" s="19"/>
      <c r="EL265" s="19"/>
      <c r="EM265" s="19"/>
      <c r="EN265" s="19"/>
      <c r="EO265" s="19"/>
      <c r="EP265" s="19"/>
      <c r="EQ265" s="19"/>
      <c r="ER265" s="19"/>
      <c r="ES265" s="19"/>
      <c r="ET265" s="19"/>
      <c r="EU265" s="19"/>
      <c r="EV265" s="19"/>
      <c r="EW265" s="19"/>
      <c r="EX265" s="19"/>
      <c r="EY265" s="19"/>
      <c r="EZ265" s="19"/>
      <c r="FA265" s="19"/>
      <c r="FB265" s="19"/>
      <c r="FC265" s="19"/>
      <c r="FD265" s="19"/>
      <c r="FE265" s="19"/>
      <c r="FF265" s="19"/>
      <c r="FG265" s="19"/>
      <c r="FH265" s="19"/>
      <c r="FI265" s="19"/>
      <c r="FJ265" s="19"/>
      <c r="FK265" s="19"/>
      <c r="FL265" s="19"/>
      <c r="FM265" s="19"/>
      <c r="FN265" s="19"/>
      <c r="FO265" s="19"/>
      <c r="FP265" s="19"/>
      <c r="FQ265" s="19"/>
      <c r="FR265" s="19"/>
      <c r="FS265" s="19"/>
      <c r="FT265" s="19"/>
      <c r="FU265" s="19"/>
      <c r="FV265" s="19"/>
      <c r="FW265" s="19"/>
      <c r="FX265" s="19"/>
      <c r="FY265" s="19"/>
      <c r="FZ265" s="19"/>
      <c r="GA265" s="19"/>
      <c r="GB265" s="19"/>
      <c r="GC265" s="19"/>
      <c r="GD265" s="19"/>
      <c r="GE265" s="19"/>
      <c r="GF265" s="19"/>
      <c r="GG265" s="19"/>
      <c r="GH265" s="19"/>
      <c r="GI265" s="19"/>
      <c r="GJ265" s="19"/>
      <c r="GK265" s="19"/>
      <c r="GL265" s="19"/>
      <c r="GM265" s="19"/>
      <c r="GN265" s="19"/>
      <c r="GO265" s="19"/>
      <c r="GP265" s="19"/>
      <c r="GQ265" s="19"/>
      <c r="GR265" s="19"/>
      <c r="GS265" s="19"/>
      <c r="GT265" s="19"/>
      <c r="GU265" s="19"/>
      <c r="GV265" s="19"/>
      <c r="GW265" s="19"/>
      <c r="GX265" s="19"/>
      <c r="GY265" s="19"/>
      <c r="GZ265" s="19"/>
      <c r="HA265" s="19"/>
      <c r="HB265" s="19"/>
    </row>
    <row r="266" spans="1:210" x14ac:dyDescent="0.25">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c r="BE266" s="19"/>
      <c r="BF266" s="19"/>
      <c r="BG266" s="19"/>
      <c r="BH266" s="19"/>
      <c r="BI266" s="19"/>
      <c r="BJ266" s="19"/>
      <c r="BK266" s="19"/>
      <c r="BL266" s="19"/>
      <c r="BM266" s="19"/>
      <c r="BN266" s="19"/>
      <c r="BO266" s="19"/>
      <c r="BP266" s="19"/>
      <c r="BQ266" s="19"/>
      <c r="BR266" s="19"/>
      <c r="BS266" s="19"/>
      <c r="BT266" s="19"/>
      <c r="BU266" s="19"/>
      <c r="BV266" s="19"/>
      <c r="BW266" s="19"/>
      <c r="BX266" s="19"/>
      <c r="BY266" s="19"/>
      <c r="BZ266" s="19"/>
      <c r="CA266" s="19"/>
      <c r="CB266" s="19"/>
      <c r="CC266" s="19"/>
      <c r="CD266" s="19"/>
      <c r="CE266" s="19"/>
      <c r="CF266" s="19"/>
      <c r="CG266" s="19"/>
      <c r="CH266" s="19"/>
      <c r="CI266" s="19"/>
      <c r="CJ266" s="19"/>
      <c r="CK266" s="19"/>
      <c r="CL266" s="19"/>
      <c r="CM266" s="19"/>
      <c r="CN266" s="19"/>
      <c r="CO266" s="19"/>
      <c r="CP266" s="19"/>
      <c r="CQ266" s="19"/>
      <c r="CR266" s="19"/>
      <c r="CS266" s="19"/>
      <c r="CT266" s="19"/>
      <c r="CU266" s="19"/>
      <c r="CV266" s="19"/>
      <c r="CW266" s="19"/>
      <c r="CX266" s="19"/>
      <c r="CY266" s="19"/>
      <c r="CZ266" s="19"/>
      <c r="DA266" s="19"/>
      <c r="DB266" s="19"/>
      <c r="DC266" s="19"/>
      <c r="DD266" s="19"/>
      <c r="DE266" s="19"/>
      <c r="DF266" s="19"/>
      <c r="DG266" s="19"/>
      <c r="DH266" s="19"/>
      <c r="DI266" s="19"/>
      <c r="DJ266" s="19"/>
      <c r="DK266" s="19"/>
      <c r="DL266" s="19"/>
      <c r="DM266" s="19"/>
      <c r="DN266" s="19"/>
      <c r="DO266" s="19"/>
      <c r="DP266" s="19"/>
      <c r="DQ266" s="19"/>
      <c r="DR266" s="19"/>
      <c r="DS266" s="19"/>
      <c r="DT266" s="19"/>
      <c r="DU266" s="19"/>
      <c r="DV266" s="19"/>
      <c r="DW266" s="19"/>
      <c r="DX266" s="19"/>
      <c r="DY266" s="19"/>
      <c r="DZ266" s="19"/>
      <c r="EA266" s="19"/>
      <c r="EB266" s="19"/>
      <c r="EC266" s="19"/>
      <c r="ED266" s="19"/>
      <c r="EE266" s="19"/>
      <c r="EF266" s="19"/>
      <c r="EG266" s="19"/>
      <c r="EH266" s="19"/>
      <c r="EI266" s="19"/>
      <c r="EJ266" s="19"/>
      <c r="EK266" s="19"/>
      <c r="EL266" s="19"/>
      <c r="EM266" s="19"/>
      <c r="EN266" s="19"/>
      <c r="EO266" s="19"/>
      <c r="EP266" s="19"/>
      <c r="EQ266" s="19"/>
      <c r="ER266" s="19"/>
      <c r="ES266" s="19"/>
      <c r="ET266" s="19"/>
      <c r="EU266" s="19"/>
      <c r="EV266" s="19"/>
      <c r="EW266" s="19"/>
      <c r="EX266" s="19"/>
      <c r="EY266" s="19"/>
      <c r="EZ266" s="19"/>
      <c r="FA266" s="19"/>
      <c r="FB266" s="19"/>
      <c r="FC266" s="19"/>
      <c r="FD266" s="19"/>
      <c r="FE266" s="19"/>
      <c r="FF266" s="19"/>
      <c r="FG266" s="19"/>
      <c r="FH266" s="19"/>
      <c r="FI266" s="19"/>
      <c r="FJ266" s="19"/>
      <c r="FK266" s="19"/>
      <c r="FL266" s="19"/>
      <c r="FM266" s="19"/>
      <c r="FN266" s="19"/>
      <c r="FO266" s="19"/>
      <c r="FP266" s="19"/>
      <c r="FQ266" s="19"/>
      <c r="FR266" s="19"/>
      <c r="FS266" s="19"/>
      <c r="FT266" s="19"/>
      <c r="FU266" s="19"/>
      <c r="FV266" s="19"/>
      <c r="FW266" s="19"/>
      <c r="FX266" s="19"/>
      <c r="FY266" s="19"/>
      <c r="FZ266" s="19"/>
      <c r="GA266" s="19"/>
      <c r="GB266" s="19"/>
      <c r="GC266" s="19"/>
      <c r="GD266" s="19"/>
      <c r="GE266" s="19"/>
      <c r="GF266" s="19"/>
      <c r="GG266" s="19"/>
      <c r="GH266" s="19"/>
      <c r="GI266" s="19"/>
      <c r="GJ266" s="19"/>
      <c r="GK266" s="19"/>
      <c r="GL266" s="19"/>
      <c r="GM266" s="19"/>
      <c r="GN266" s="19"/>
      <c r="GO266" s="19"/>
      <c r="GP266" s="19"/>
      <c r="GQ266" s="19"/>
      <c r="GR266" s="19"/>
      <c r="GS266" s="19"/>
      <c r="GT266" s="19"/>
      <c r="GU266" s="19"/>
      <c r="GV266" s="19"/>
      <c r="GW266" s="19"/>
      <c r="GX266" s="19"/>
      <c r="GY266" s="19"/>
      <c r="GZ266" s="19"/>
      <c r="HA266" s="19"/>
      <c r="HB266" s="19"/>
    </row>
    <row r="267" spans="1:210" x14ac:dyDescent="0.25">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c r="BE267" s="19"/>
      <c r="BF267" s="19"/>
      <c r="BG267" s="19"/>
      <c r="BH267" s="19"/>
      <c r="BI267" s="19"/>
      <c r="BJ267" s="19"/>
      <c r="BK267" s="19"/>
      <c r="BL267" s="19"/>
      <c r="BM267" s="19"/>
      <c r="BN267" s="19"/>
      <c r="BO267" s="19"/>
      <c r="BP267" s="19"/>
      <c r="BQ267" s="19"/>
      <c r="BR267" s="19"/>
      <c r="BS267" s="19"/>
      <c r="BT267" s="19"/>
      <c r="BU267" s="19"/>
      <c r="BV267" s="19"/>
      <c r="BW267" s="19"/>
      <c r="BX267" s="19"/>
      <c r="BY267" s="19"/>
      <c r="BZ267" s="19"/>
      <c r="CA267" s="19"/>
      <c r="CB267" s="19"/>
      <c r="CC267" s="19"/>
      <c r="CD267" s="19"/>
      <c r="CE267" s="19"/>
      <c r="CF267" s="19"/>
      <c r="CG267" s="19"/>
      <c r="CH267" s="19"/>
      <c r="CI267" s="19"/>
      <c r="CJ267" s="19"/>
      <c r="CK267" s="19"/>
      <c r="CL267" s="19"/>
      <c r="CM267" s="19"/>
      <c r="CN267" s="19"/>
      <c r="CO267" s="19"/>
      <c r="CP267" s="19"/>
      <c r="CQ267" s="19"/>
      <c r="CR267" s="19"/>
      <c r="CS267" s="19"/>
      <c r="CT267" s="19"/>
      <c r="CU267" s="19"/>
      <c r="CV267" s="19"/>
      <c r="CW267" s="19"/>
      <c r="CX267" s="19"/>
      <c r="CY267" s="19"/>
      <c r="CZ267" s="19"/>
      <c r="DA267" s="19"/>
      <c r="DB267" s="19"/>
      <c r="DC267" s="19"/>
      <c r="DD267" s="19"/>
      <c r="DE267" s="19"/>
      <c r="DF267" s="19"/>
      <c r="DG267" s="19"/>
      <c r="DH267" s="19"/>
      <c r="DI267" s="19"/>
      <c r="DJ267" s="19"/>
      <c r="DK267" s="19"/>
      <c r="DL267" s="19"/>
      <c r="DM267" s="19"/>
      <c r="DN267" s="19"/>
      <c r="DO267" s="19"/>
      <c r="DP267" s="19"/>
      <c r="DQ267" s="19"/>
      <c r="DR267" s="19"/>
      <c r="DS267" s="19"/>
      <c r="DT267" s="19"/>
      <c r="DU267" s="19"/>
      <c r="DV267" s="19"/>
      <c r="DW267" s="19"/>
      <c r="DX267" s="19"/>
      <c r="DY267" s="19"/>
      <c r="DZ267" s="19"/>
      <c r="EA267" s="19"/>
      <c r="EB267" s="19"/>
      <c r="EC267" s="19"/>
      <c r="ED267" s="19"/>
      <c r="EE267" s="19"/>
      <c r="EF267" s="19"/>
      <c r="EG267" s="19"/>
      <c r="EH267" s="19"/>
      <c r="EI267" s="19"/>
      <c r="EJ267" s="19"/>
      <c r="EK267" s="19"/>
      <c r="EL267" s="19"/>
      <c r="EM267" s="19"/>
      <c r="EN267" s="19"/>
      <c r="EO267" s="19"/>
      <c r="EP267" s="19"/>
      <c r="EQ267" s="19"/>
      <c r="ER267" s="19"/>
      <c r="ES267" s="19"/>
      <c r="ET267" s="19"/>
      <c r="EU267" s="19"/>
      <c r="EV267" s="19"/>
      <c r="EW267" s="19"/>
      <c r="EX267" s="19"/>
      <c r="EY267" s="19"/>
      <c r="EZ267" s="19"/>
      <c r="FA267" s="19"/>
      <c r="FB267" s="19"/>
      <c r="FC267" s="19"/>
      <c r="FD267" s="19"/>
      <c r="FE267" s="19"/>
      <c r="FF267" s="19"/>
      <c r="FG267" s="19"/>
      <c r="FH267" s="19"/>
      <c r="FI267" s="19"/>
      <c r="FJ267" s="19"/>
      <c r="FK267" s="19"/>
      <c r="FL267" s="19"/>
      <c r="FM267" s="19"/>
      <c r="FN267" s="19"/>
      <c r="FO267" s="19"/>
      <c r="FP267" s="19"/>
      <c r="FQ267" s="19"/>
      <c r="FR267" s="19"/>
      <c r="FS267" s="19"/>
      <c r="FT267" s="19"/>
      <c r="FU267" s="19"/>
      <c r="FV267" s="19"/>
      <c r="FW267" s="19"/>
      <c r="FX267" s="19"/>
      <c r="FY267" s="19"/>
      <c r="FZ267" s="19"/>
      <c r="GA267" s="19"/>
      <c r="GB267" s="19"/>
      <c r="GC267" s="19"/>
      <c r="GD267" s="19"/>
      <c r="GE267" s="19"/>
      <c r="GF267" s="19"/>
      <c r="GG267" s="19"/>
      <c r="GH267" s="19"/>
      <c r="GI267" s="19"/>
      <c r="GJ267" s="19"/>
      <c r="GK267" s="19"/>
      <c r="GL267" s="19"/>
      <c r="GM267" s="19"/>
      <c r="GN267" s="19"/>
      <c r="GO267" s="19"/>
      <c r="GP267" s="19"/>
      <c r="GQ267" s="19"/>
      <c r="GR267" s="19"/>
      <c r="GS267" s="19"/>
      <c r="GT267" s="19"/>
      <c r="GU267" s="19"/>
      <c r="GV267" s="19"/>
      <c r="GW267" s="19"/>
      <c r="GX267" s="19"/>
      <c r="GY267" s="19"/>
      <c r="GZ267" s="19"/>
      <c r="HA267" s="19"/>
      <c r="HB267" s="19"/>
    </row>
    <row r="268" spans="1:210" x14ac:dyDescent="0.25">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c r="BE268" s="19"/>
      <c r="BF268" s="19"/>
      <c r="BG268" s="19"/>
      <c r="BH268" s="19"/>
      <c r="BI268" s="19"/>
      <c r="BJ268" s="19"/>
      <c r="BK268" s="19"/>
      <c r="BL268" s="19"/>
      <c r="BM268" s="19"/>
      <c r="BN268" s="19"/>
      <c r="BO268" s="19"/>
      <c r="BP268" s="19"/>
      <c r="BQ268" s="19"/>
      <c r="BR268" s="19"/>
      <c r="BS268" s="19"/>
      <c r="BT268" s="19"/>
      <c r="BU268" s="19"/>
      <c r="BV268" s="19"/>
      <c r="BW268" s="19"/>
      <c r="BX268" s="19"/>
      <c r="BY268" s="19"/>
      <c r="BZ268" s="19"/>
      <c r="CA268" s="19"/>
      <c r="CB268" s="19"/>
      <c r="CC268" s="19"/>
      <c r="CD268" s="19"/>
      <c r="CE268" s="19"/>
      <c r="CF268" s="19"/>
      <c r="CG268" s="19"/>
      <c r="CH268" s="19"/>
      <c r="CI268" s="19"/>
      <c r="CJ268" s="19"/>
      <c r="CK268" s="19"/>
      <c r="CL268" s="19"/>
      <c r="CM268" s="19"/>
      <c r="CN268" s="19"/>
      <c r="CO268" s="19"/>
      <c r="CP268" s="19"/>
      <c r="CQ268" s="19"/>
      <c r="CR268" s="19"/>
      <c r="CS268" s="19"/>
      <c r="CT268" s="19"/>
      <c r="CU268" s="19"/>
      <c r="CV268" s="19"/>
      <c r="CW268" s="19"/>
      <c r="CX268" s="19"/>
      <c r="CY268" s="19"/>
      <c r="CZ268" s="19"/>
      <c r="DA268" s="19"/>
      <c r="DB268" s="19"/>
      <c r="DC268" s="19"/>
      <c r="DD268" s="19"/>
      <c r="DE268" s="19"/>
      <c r="DF268" s="19"/>
      <c r="DG268" s="19"/>
      <c r="DH268" s="19"/>
      <c r="DI268" s="19"/>
      <c r="DJ268" s="19"/>
      <c r="DK268" s="19"/>
      <c r="DL268" s="19"/>
      <c r="DM268" s="19"/>
      <c r="DN268" s="19"/>
      <c r="DO268" s="19"/>
      <c r="DP268" s="19"/>
      <c r="DQ268" s="19"/>
      <c r="DR268" s="19"/>
      <c r="DS268" s="19"/>
      <c r="DT268" s="19"/>
      <c r="DU268" s="19"/>
      <c r="DV268" s="19"/>
      <c r="DW268" s="19"/>
      <c r="DX268" s="19"/>
      <c r="DY268" s="19"/>
      <c r="DZ268" s="19"/>
      <c r="EA268" s="19"/>
      <c r="EB268" s="19"/>
      <c r="EC268" s="19"/>
      <c r="ED268" s="19"/>
      <c r="EE268" s="19"/>
      <c r="EF268" s="19"/>
      <c r="EG268" s="19"/>
      <c r="EH268" s="19"/>
      <c r="EI268" s="19"/>
      <c r="EJ268" s="19"/>
      <c r="EK268" s="19"/>
      <c r="EL268" s="19"/>
      <c r="EM268" s="19"/>
      <c r="EN268" s="19"/>
      <c r="EO268" s="19"/>
      <c r="EP268" s="19"/>
      <c r="EQ268" s="19"/>
      <c r="ER268" s="19"/>
      <c r="ES268" s="19"/>
      <c r="ET268" s="19"/>
      <c r="EU268" s="19"/>
      <c r="EV268" s="19"/>
      <c r="EW268" s="19"/>
      <c r="EX268" s="19"/>
      <c r="EY268" s="19"/>
      <c r="EZ268" s="19"/>
      <c r="FA268" s="19"/>
      <c r="FB268" s="19"/>
      <c r="FC268" s="19"/>
      <c r="FD268" s="19"/>
      <c r="FE268" s="19"/>
      <c r="FF268" s="19"/>
      <c r="FG268" s="19"/>
      <c r="FH268" s="19"/>
      <c r="FI268" s="19"/>
      <c r="FJ268" s="19"/>
      <c r="FK268" s="19"/>
      <c r="FL268" s="19"/>
      <c r="FM268" s="19"/>
      <c r="FN268" s="19"/>
      <c r="FO268" s="19"/>
      <c r="FP268" s="19"/>
      <c r="FQ268" s="19"/>
      <c r="FR268" s="19"/>
      <c r="FS268" s="19"/>
      <c r="FT268" s="19"/>
      <c r="FU268" s="19"/>
      <c r="FV268" s="19"/>
      <c r="FW268" s="19"/>
      <c r="FX268" s="19"/>
      <c r="FY268" s="19"/>
      <c r="FZ268" s="19"/>
      <c r="GA268" s="19"/>
      <c r="GB268" s="19"/>
      <c r="GC268" s="19"/>
      <c r="GD268" s="19"/>
      <c r="GE268" s="19"/>
      <c r="GF268" s="19"/>
      <c r="GG268" s="19"/>
      <c r="GH268" s="19"/>
      <c r="GI268" s="19"/>
      <c r="GJ268" s="19"/>
      <c r="GK268" s="19"/>
      <c r="GL268" s="19"/>
      <c r="GM268" s="19"/>
      <c r="GN268" s="19"/>
      <c r="GO268" s="19"/>
      <c r="GP268" s="19"/>
      <c r="GQ268" s="19"/>
      <c r="GR268" s="19"/>
      <c r="GS268" s="19"/>
      <c r="GT268" s="19"/>
      <c r="GU268" s="19"/>
      <c r="GV268" s="19"/>
      <c r="GW268" s="19"/>
      <c r="GX268" s="19"/>
      <c r="GY268" s="19"/>
      <c r="GZ268" s="19"/>
      <c r="HA268" s="19"/>
      <c r="HB268" s="19"/>
    </row>
    <row r="269" spans="1:210" x14ac:dyDescent="0.25">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c r="BE269" s="19"/>
      <c r="BF269" s="19"/>
      <c r="BG269" s="19"/>
      <c r="BH269" s="19"/>
      <c r="BI269" s="19"/>
      <c r="BJ269" s="19"/>
      <c r="BK269" s="19"/>
      <c r="BL269" s="19"/>
      <c r="BM269" s="19"/>
      <c r="BN269" s="19"/>
      <c r="BO269" s="19"/>
      <c r="BP269" s="19"/>
      <c r="BQ269" s="19"/>
      <c r="BR269" s="19"/>
      <c r="BS269" s="19"/>
      <c r="BT269" s="19"/>
      <c r="BU269" s="19"/>
      <c r="BV269" s="19"/>
      <c r="BW269" s="19"/>
      <c r="BX269" s="19"/>
      <c r="BY269" s="19"/>
      <c r="BZ269" s="19"/>
      <c r="CA269" s="19"/>
      <c r="CB269" s="19"/>
      <c r="CC269" s="19"/>
      <c r="CD269" s="19"/>
      <c r="CE269" s="19"/>
      <c r="CF269" s="19"/>
      <c r="CG269" s="19"/>
      <c r="CH269" s="19"/>
      <c r="CI269" s="19"/>
      <c r="CJ269" s="19"/>
      <c r="CK269" s="19"/>
      <c r="CL269" s="19"/>
      <c r="CM269" s="19"/>
      <c r="CN269" s="19"/>
      <c r="CO269" s="19"/>
      <c r="CP269" s="19"/>
      <c r="CQ269" s="19"/>
      <c r="CR269" s="19"/>
      <c r="CS269" s="19"/>
      <c r="CT269" s="19"/>
      <c r="CU269" s="19"/>
      <c r="CV269" s="19"/>
      <c r="CW269" s="19"/>
      <c r="CX269" s="19"/>
      <c r="CY269" s="19"/>
      <c r="CZ269" s="19"/>
      <c r="DA269" s="19"/>
      <c r="DB269" s="19"/>
      <c r="DC269" s="19"/>
      <c r="DD269" s="19"/>
      <c r="DE269" s="19"/>
      <c r="DF269" s="19"/>
      <c r="DG269" s="19"/>
      <c r="DH269" s="19"/>
      <c r="DI269" s="19"/>
      <c r="DJ269" s="19"/>
      <c r="DK269" s="19"/>
      <c r="DL269" s="19"/>
      <c r="DM269" s="19"/>
      <c r="DN269" s="19"/>
      <c r="DO269" s="19"/>
      <c r="DP269" s="19"/>
      <c r="DQ269" s="19"/>
      <c r="DR269" s="19"/>
      <c r="DS269" s="19"/>
      <c r="DT269" s="19"/>
      <c r="DU269" s="19"/>
      <c r="DV269" s="19"/>
      <c r="DW269" s="19"/>
      <c r="DX269" s="19"/>
      <c r="DY269" s="19"/>
      <c r="DZ269" s="19"/>
      <c r="EA269" s="19"/>
      <c r="EB269" s="19"/>
      <c r="EC269" s="19"/>
      <c r="ED269" s="19"/>
      <c r="EE269" s="19"/>
      <c r="EF269" s="19"/>
      <c r="EG269" s="19"/>
      <c r="EH269" s="19"/>
      <c r="EI269" s="19"/>
      <c r="EJ269" s="19"/>
      <c r="EK269" s="19"/>
      <c r="EL269" s="19"/>
      <c r="EM269" s="19"/>
      <c r="EN269" s="19"/>
      <c r="EO269" s="19"/>
      <c r="EP269" s="19"/>
      <c r="EQ269" s="19"/>
      <c r="ER269" s="19"/>
      <c r="ES269" s="19"/>
      <c r="ET269" s="19"/>
      <c r="EU269" s="19"/>
      <c r="EV269" s="19"/>
      <c r="EW269" s="19"/>
      <c r="EX269" s="19"/>
      <c r="EY269" s="19"/>
      <c r="EZ269" s="19"/>
      <c r="FA269" s="19"/>
      <c r="FB269" s="19"/>
      <c r="FC269" s="19"/>
      <c r="FD269" s="19"/>
      <c r="FE269" s="19"/>
      <c r="FF269" s="19"/>
      <c r="FG269" s="19"/>
      <c r="FH269" s="19"/>
      <c r="FI269" s="19"/>
      <c r="FJ269" s="19"/>
      <c r="FK269" s="19"/>
      <c r="FL269" s="19"/>
      <c r="FM269" s="19"/>
      <c r="FN269" s="19"/>
      <c r="FO269" s="19"/>
      <c r="FP269" s="19"/>
      <c r="FQ269" s="19"/>
      <c r="FR269" s="19"/>
      <c r="FS269" s="19"/>
      <c r="FT269" s="19"/>
      <c r="FU269" s="19"/>
      <c r="FV269" s="19"/>
      <c r="FW269" s="19"/>
      <c r="FX269" s="19"/>
      <c r="FY269" s="19"/>
      <c r="FZ269" s="19"/>
      <c r="GA269" s="19"/>
      <c r="GB269" s="19"/>
      <c r="GC269" s="19"/>
      <c r="GD269" s="19"/>
      <c r="GE269" s="19"/>
      <c r="GF269" s="19"/>
      <c r="GG269" s="19"/>
      <c r="GH269" s="19"/>
      <c r="GI269" s="19"/>
      <c r="GJ269" s="19"/>
      <c r="GK269" s="19"/>
      <c r="GL269" s="19"/>
      <c r="GM269" s="19"/>
      <c r="GN269" s="19"/>
      <c r="GO269" s="19"/>
      <c r="GP269" s="19"/>
      <c r="GQ269" s="19"/>
      <c r="GR269" s="19"/>
      <c r="GS269" s="19"/>
      <c r="GT269" s="19"/>
      <c r="GU269" s="19"/>
      <c r="GV269" s="19"/>
      <c r="GW269" s="19"/>
      <c r="GX269" s="19"/>
      <c r="GY269" s="19"/>
      <c r="GZ269" s="19"/>
      <c r="HA269" s="19"/>
      <c r="HB269" s="19"/>
    </row>
    <row r="270" spans="1:210" x14ac:dyDescent="0.25">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c r="BE270" s="19"/>
      <c r="BF270" s="19"/>
      <c r="BG270" s="19"/>
      <c r="BH270" s="19"/>
      <c r="BI270" s="19"/>
      <c r="BJ270" s="19"/>
      <c r="BK270" s="19"/>
      <c r="BL270" s="19"/>
      <c r="BM270" s="19"/>
      <c r="BN270" s="19"/>
      <c r="BO270" s="19"/>
      <c r="BP270" s="19"/>
      <c r="BQ270" s="19"/>
      <c r="BR270" s="19"/>
      <c r="BS270" s="19"/>
      <c r="BT270" s="19"/>
      <c r="BU270" s="19"/>
      <c r="BV270" s="19"/>
      <c r="BW270" s="19"/>
      <c r="BX270" s="19"/>
      <c r="BY270" s="19"/>
      <c r="BZ270" s="19"/>
      <c r="CA270" s="19"/>
      <c r="CB270" s="19"/>
      <c r="CC270" s="19"/>
      <c r="CD270" s="19"/>
      <c r="CE270" s="19"/>
      <c r="CF270" s="19"/>
      <c r="CG270" s="19"/>
      <c r="CH270" s="19"/>
      <c r="CI270" s="19"/>
      <c r="CJ270" s="19"/>
      <c r="CK270" s="19"/>
      <c r="CL270" s="19"/>
      <c r="CM270" s="19"/>
      <c r="CN270" s="19"/>
      <c r="CO270" s="19"/>
      <c r="CP270" s="19"/>
      <c r="CQ270" s="19"/>
      <c r="CR270" s="19"/>
      <c r="CS270" s="19"/>
      <c r="CT270" s="19"/>
      <c r="CU270" s="19"/>
      <c r="CV270" s="19"/>
      <c r="CW270" s="19"/>
      <c r="CX270" s="19"/>
      <c r="CY270" s="19"/>
      <c r="CZ270" s="19"/>
      <c r="DA270" s="19"/>
      <c r="DB270" s="19"/>
      <c r="DC270" s="19"/>
      <c r="DD270" s="19"/>
      <c r="DE270" s="19"/>
      <c r="DF270" s="19"/>
      <c r="DG270" s="19"/>
      <c r="DH270" s="19"/>
      <c r="DI270" s="19"/>
      <c r="DJ270" s="19"/>
      <c r="DK270" s="19"/>
      <c r="DL270" s="19"/>
      <c r="DM270" s="19"/>
      <c r="DN270" s="19"/>
      <c r="DO270" s="19"/>
      <c r="DP270" s="19"/>
      <c r="DQ270" s="19"/>
      <c r="DR270" s="19"/>
      <c r="DS270" s="19"/>
      <c r="DT270" s="19"/>
      <c r="DU270" s="19"/>
      <c r="DV270" s="19"/>
      <c r="DW270" s="19"/>
      <c r="DX270" s="19"/>
      <c r="DY270" s="19"/>
      <c r="DZ270" s="19"/>
      <c r="EA270" s="19"/>
      <c r="EB270" s="19"/>
      <c r="EC270" s="19"/>
      <c r="ED270" s="19"/>
      <c r="EE270" s="19"/>
      <c r="EF270" s="19"/>
      <c r="EG270" s="19"/>
      <c r="EH270" s="19"/>
      <c r="EI270" s="19"/>
      <c r="EJ270" s="19"/>
      <c r="EK270" s="19"/>
      <c r="EL270" s="19"/>
      <c r="EM270" s="19"/>
      <c r="EN270" s="19"/>
      <c r="EO270" s="19"/>
      <c r="EP270" s="19"/>
      <c r="EQ270" s="19"/>
      <c r="ER270" s="19"/>
      <c r="ES270" s="19"/>
      <c r="ET270" s="19"/>
      <c r="EU270" s="19"/>
      <c r="EV270" s="19"/>
      <c r="EW270" s="19"/>
      <c r="EX270" s="19"/>
      <c r="EY270" s="19"/>
      <c r="EZ270" s="19"/>
      <c r="FA270" s="19"/>
      <c r="FB270" s="19"/>
      <c r="FC270" s="19"/>
      <c r="FD270" s="19"/>
      <c r="FE270" s="19"/>
      <c r="FF270" s="19"/>
      <c r="FG270" s="19"/>
      <c r="FH270" s="19"/>
      <c r="FI270" s="19"/>
      <c r="FJ270" s="19"/>
      <c r="FK270" s="19"/>
      <c r="FL270" s="19"/>
      <c r="FM270" s="19"/>
      <c r="FN270" s="19"/>
      <c r="FO270" s="19"/>
      <c r="FP270" s="19"/>
      <c r="FQ270" s="19"/>
      <c r="FR270" s="19"/>
      <c r="FS270" s="19"/>
      <c r="FT270" s="19"/>
      <c r="FU270" s="19"/>
      <c r="FV270" s="19"/>
      <c r="FW270" s="19"/>
      <c r="FX270" s="19"/>
      <c r="FY270" s="19"/>
      <c r="FZ270" s="19"/>
      <c r="GA270" s="19"/>
      <c r="GB270" s="19"/>
      <c r="GC270" s="19"/>
      <c r="GD270" s="19"/>
      <c r="GE270" s="19"/>
      <c r="GF270" s="19"/>
      <c r="GG270" s="19"/>
      <c r="GH270" s="19"/>
      <c r="GI270" s="19"/>
      <c r="GJ270" s="19"/>
      <c r="GK270" s="19"/>
      <c r="GL270" s="19"/>
      <c r="GM270" s="19"/>
      <c r="GN270" s="19"/>
      <c r="GO270" s="19"/>
      <c r="GP270" s="19"/>
      <c r="GQ270" s="19"/>
      <c r="GR270" s="19"/>
      <c r="GS270" s="19"/>
      <c r="GT270" s="19"/>
      <c r="GU270" s="19"/>
      <c r="GV270" s="19"/>
      <c r="GW270" s="19"/>
      <c r="GX270" s="19"/>
      <c r="GY270" s="19"/>
      <c r="GZ270" s="19"/>
      <c r="HA270" s="19"/>
      <c r="HB270" s="19"/>
    </row>
    <row r="271" spans="1:210" x14ac:dyDescent="0.25">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c r="BE271" s="19"/>
      <c r="BF271" s="19"/>
      <c r="BG271" s="19"/>
      <c r="BH271" s="19"/>
      <c r="BI271" s="19"/>
      <c r="BJ271" s="19"/>
      <c r="BK271" s="19"/>
      <c r="BL271" s="19"/>
      <c r="BM271" s="19"/>
      <c r="BN271" s="19"/>
      <c r="BO271" s="19"/>
      <c r="BP271" s="19"/>
      <c r="BQ271" s="19"/>
      <c r="BR271" s="19"/>
      <c r="BS271" s="19"/>
      <c r="BT271" s="19"/>
      <c r="BU271" s="19"/>
      <c r="BV271" s="19"/>
      <c r="BW271" s="19"/>
      <c r="BX271" s="19"/>
      <c r="BY271" s="19"/>
      <c r="BZ271" s="19"/>
      <c r="CA271" s="19"/>
      <c r="CB271" s="19"/>
      <c r="CC271" s="19"/>
      <c r="CD271" s="19"/>
      <c r="CE271" s="19"/>
      <c r="CF271" s="19"/>
      <c r="CG271" s="19"/>
      <c r="CH271" s="19"/>
      <c r="CI271" s="19"/>
      <c r="CJ271" s="19"/>
      <c r="CK271" s="19"/>
      <c r="CL271" s="19"/>
      <c r="CM271" s="19"/>
      <c r="CN271" s="19"/>
      <c r="CO271" s="19"/>
      <c r="CP271" s="19"/>
      <c r="CQ271" s="19"/>
      <c r="CR271" s="19"/>
      <c r="CS271" s="19"/>
      <c r="CT271" s="19"/>
      <c r="CU271" s="19"/>
      <c r="CV271" s="19"/>
      <c r="CW271" s="19"/>
      <c r="CX271" s="19"/>
      <c r="CY271" s="19"/>
      <c r="CZ271" s="19"/>
      <c r="DA271" s="19"/>
      <c r="DB271" s="19"/>
      <c r="DC271" s="19"/>
      <c r="DD271" s="19"/>
      <c r="DE271" s="19"/>
      <c r="DF271" s="19"/>
      <c r="DG271" s="19"/>
      <c r="DH271" s="19"/>
      <c r="DI271" s="19"/>
      <c r="DJ271" s="19"/>
      <c r="DK271" s="19"/>
      <c r="DL271" s="19"/>
      <c r="DM271" s="19"/>
      <c r="DN271" s="19"/>
      <c r="DO271" s="19"/>
      <c r="DP271" s="19"/>
      <c r="DQ271" s="19"/>
      <c r="DR271" s="19"/>
      <c r="DS271" s="19"/>
      <c r="DT271" s="19"/>
      <c r="DU271" s="19"/>
      <c r="DV271" s="19"/>
      <c r="DW271" s="19"/>
      <c r="DX271" s="19"/>
      <c r="DY271" s="19"/>
      <c r="DZ271" s="19"/>
      <c r="EA271" s="19"/>
      <c r="EB271" s="19"/>
      <c r="EC271" s="19"/>
      <c r="ED271" s="19"/>
      <c r="EE271" s="19"/>
      <c r="EF271" s="19"/>
      <c r="EG271" s="19"/>
      <c r="EH271" s="19"/>
      <c r="EI271" s="19"/>
      <c r="EJ271" s="19"/>
      <c r="EK271" s="19"/>
      <c r="EL271" s="19"/>
      <c r="EM271" s="19"/>
      <c r="EN271" s="19"/>
      <c r="EO271" s="19"/>
      <c r="EP271" s="19"/>
      <c r="EQ271" s="19"/>
      <c r="ER271" s="19"/>
      <c r="ES271" s="19"/>
      <c r="ET271" s="19"/>
      <c r="EU271" s="19"/>
      <c r="EV271" s="19"/>
      <c r="EW271" s="19"/>
      <c r="EX271" s="19"/>
      <c r="EY271" s="19"/>
      <c r="EZ271" s="19"/>
      <c r="FA271" s="19"/>
      <c r="FB271" s="19"/>
      <c r="FC271" s="19"/>
      <c r="FD271" s="19"/>
      <c r="FE271" s="19"/>
      <c r="FF271" s="19"/>
      <c r="FG271" s="19"/>
      <c r="FH271" s="19"/>
      <c r="FI271" s="19"/>
      <c r="FJ271" s="19"/>
      <c r="FK271" s="19"/>
      <c r="FL271" s="19"/>
      <c r="FM271" s="19"/>
      <c r="FN271" s="19"/>
      <c r="FO271" s="19"/>
      <c r="FP271" s="19"/>
      <c r="FQ271" s="19"/>
      <c r="FR271" s="19"/>
      <c r="FS271" s="19"/>
      <c r="FT271" s="19"/>
      <c r="FU271" s="19"/>
      <c r="FV271" s="19"/>
      <c r="FW271" s="19"/>
      <c r="FX271" s="19"/>
      <c r="FY271" s="19"/>
      <c r="FZ271" s="19"/>
      <c r="GA271" s="19"/>
      <c r="GB271" s="19"/>
      <c r="GC271" s="19"/>
      <c r="GD271" s="19"/>
      <c r="GE271" s="19"/>
      <c r="GF271" s="19"/>
      <c r="GG271" s="19"/>
      <c r="GH271" s="19"/>
      <c r="GI271" s="19"/>
      <c r="GJ271" s="19"/>
      <c r="GK271" s="19"/>
      <c r="GL271" s="19"/>
      <c r="GM271" s="19"/>
      <c r="GN271" s="19"/>
      <c r="GO271" s="19"/>
      <c r="GP271" s="19"/>
      <c r="GQ271" s="19"/>
      <c r="GR271" s="19"/>
      <c r="GS271" s="19"/>
      <c r="GT271" s="19"/>
      <c r="GU271" s="19"/>
      <c r="GV271" s="19"/>
      <c r="GW271" s="19"/>
      <c r="GX271" s="19"/>
      <c r="GY271" s="19"/>
      <c r="GZ271" s="19"/>
      <c r="HA271" s="19"/>
      <c r="HB271" s="19"/>
    </row>
    <row r="272" spans="1:210" x14ac:dyDescent="0.25">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c r="BE272" s="19"/>
      <c r="BF272" s="19"/>
      <c r="BG272" s="19"/>
      <c r="BH272" s="19"/>
      <c r="BI272" s="19"/>
      <c r="BJ272" s="19"/>
      <c r="BK272" s="19"/>
      <c r="BL272" s="19"/>
      <c r="BM272" s="19"/>
      <c r="BN272" s="19"/>
      <c r="BO272" s="19"/>
      <c r="BP272" s="19"/>
      <c r="BQ272" s="19"/>
      <c r="BR272" s="19"/>
      <c r="BS272" s="19"/>
      <c r="BT272" s="19"/>
      <c r="BU272" s="19"/>
      <c r="BV272" s="19"/>
      <c r="BW272" s="19"/>
      <c r="BX272" s="19"/>
      <c r="BY272" s="19"/>
      <c r="BZ272" s="19"/>
      <c r="CA272" s="19"/>
      <c r="CB272" s="19"/>
      <c r="CC272" s="19"/>
      <c r="CD272" s="19"/>
      <c r="CE272" s="19"/>
      <c r="CF272" s="19"/>
      <c r="CG272" s="19"/>
      <c r="CH272" s="19"/>
      <c r="CI272" s="19"/>
      <c r="CJ272" s="19"/>
      <c r="CK272" s="19"/>
      <c r="CL272" s="19"/>
      <c r="CM272" s="19"/>
      <c r="CN272" s="19"/>
      <c r="CO272" s="19"/>
      <c r="CP272" s="19"/>
      <c r="CQ272" s="19"/>
      <c r="CR272" s="19"/>
      <c r="CS272" s="19"/>
      <c r="CT272" s="19"/>
      <c r="CU272" s="19"/>
      <c r="CV272" s="19"/>
      <c r="CW272" s="19"/>
      <c r="CX272" s="19"/>
      <c r="CY272" s="19"/>
      <c r="CZ272" s="19"/>
      <c r="DA272" s="19"/>
      <c r="DB272" s="19"/>
      <c r="DC272" s="19"/>
      <c r="DD272" s="19"/>
      <c r="DE272" s="19"/>
      <c r="DF272" s="19"/>
      <c r="DG272" s="19"/>
      <c r="DH272" s="19"/>
      <c r="DI272" s="19"/>
      <c r="DJ272" s="19"/>
      <c r="DK272" s="19"/>
      <c r="DL272" s="19"/>
      <c r="DM272" s="19"/>
      <c r="DN272" s="19"/>
      <c r="DO272" s="19"/>
      <c r="DP272" s="19"/>
      <c r="DQ272" s="19"/>
      <c r="DR272" s="19"/>
      <c r="DS272" s="19"/>
      <c r="DT272" s="19"/>
      <c r="DU272" s="19"/>
      <c r="DV272" s="19"/>
      <c r="DW272" s="19"/>
      <c r="DX272" s="19"/>
      <c r="DY272" s="19"/>
      <c r="DZ272" s="19"/>
      <c r="EA272" s="19"/>
      <c r="EB272" s="19"/>
      <c r="EC272" s="19"/>
      <c r="ED272" s="19"/>
      <c r="EE272" s="19"/>
      <c r="EF272" s="19"/>
      <c r="EG272" s="19"/>
      <c r="EH272" s="19"/>
      <c r="EI272" s="19"/>
      <c r="EJ272" s="19"/>
      <c r="EK272" s="19"/>
      <c r="EL272" s="19"/>
      <c r="EM272" s="19"/>
      <c r="EN272" s="19"/>
      <c r="EO272" s="19"/>
      <c r="EP272" s="19"/>
      <c r="EQ272" s="19"/>
      <c r="ER272" s="19"/>
      <c r="ES272" s="19"/>
      <c r="ET272" s="19"/>
      <c r="EU272" s="19"/>
      <c r="EV272" s="19"/>
      <c r="EW272" s="19"/>
      <c r="EX272" s="19"/>
      <c r="EY272" s="19"/>
      <c r="EZ272" s="19"/>
      <c r="FA272" s="19"/>
      <c r="FB272" s="19"/>
      <c r="FC272" s="19"/>
      <c r="FD272" s="19"/>
      <c r="FE272" s="19"/>
      <c r="FF272" s="19"/>
      <c r="FG272" s="19"/>
      <c r="FH272" s="19"/>
      <c r="FI272" s="19"/>
      <c r="FJ272" s="19"/>
      <c r="FK272" s="19"/>
      <c r="FL272" s="19"/>
      <c r="FM272" s="19"/>
      <c r="FN272" s="19"/>
      <c r="FO272" s="19"/>
      <c r="FP272" s="19"/>
      <c r="FQ272" s="19"/>
      <c r="FR272" s="19"/>
      <c r="FS272" s="19"/>
      <c r="FT272" s="19"/>
      <c r="FU272" s="19"/>
      <c r="FV272" s="19"/>
      <c r="FW272" s="19"/>
      <c r="FX272" s="19"/>
      <c r="FY272" s="19"/>
      <c r="FZ272" s="19"/>
      <c r="GA272" s="19"/>
      <c r="GB272" s="19"/>
      <c r="GC272" s="19"/>
      <c r="GD272" s="19"/>
      <c r="GE272" s="19"/>
      <c r="GF272" s="19"/>
      <c r="GG272" s="19"/>
      <c r="GH272" s="19"/>
      <c r="GI272" s="19"/>
      <c r="GJ272" s="19"/>
      <c r="GK272" s="19"/>
      <c r="GL272" s="19"/>
      <c r="GM272" s="19"/>
      <c r="GN272" s="19"/>
      <c r="GO272" s="19"/>
      <c r="GP272" s="19"/>
      <c r="GQ272" s="19"/>
      <c r="GR272" s="19"/>
      <c r="GS272" s="19"/>
      <c r="GT272" s="19"/>
      <c r="GU272" s="19"/>
      <c r="GV272" s="19"/>
      <c r="GW272" s="19"/>
      <c r="GX272" s="19"/>
      <c r="GY272" s="19"/>
      <c r="GZ272" s="19"/>
      <c r="HA272" s="19"/>
      <c r="HB272" s="19"/>
    </row>
    <row r="273" spans="1:210" x14ac:dyDescent="0.25">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c r="BE273" s="19"/>
      <c r="BF273" s="19"/>
      <c r="BG273" s="19"/>
      <c r="BH273" s="19"/>
      <c r="BI273" s="19"/>
      <c r="BJ273" s="19"/>
      <c r="BK273" s="19"/>
      <c r="BL273" s="19"/>
      <c r="BM273" s="19"/>
      <c r="BN273" s="19"/>
      <c r="BO273" s="19"/>
      <c r="BP273" s="19"/>
      <c r="BQ273" s="19"/>
      <c r="BR273" s="19"/>
      <c r="BS273" s="19"/>
      <c r="BT273" s="19"/>
      <c r="BU273" s="19"/>
      <c r="BV273" s="19"/>
      <c r="BW273" s="19"/>
      <c r="BX273" s="19"/>
      <c r="BY273" s="19"/>
      <c r="BZ273" s="19"/>
      <c r="CA273" s="19"/>
      <c r="CB273" s="19"/>
      <c r="CC273" s="19"/>
      <c r="CD273" s="19"/>
      <c r="CE273" s="19"/>
      <c r="CF273" s="19"/>
      <c r="CG273" s="19"/>
      <c r="CH273" s="19"/>
      <c r="CI273" s="19"/>
      <c r="CJ273" s="19"/>
      <c r="CK273" s="19"/>
      <c r="CL273" s="19"/>
      <c r="CM273" s="19"/>
      <c r="CN273" s="19"/>
      <c r="CO273" s="19"/>
      <c r="CP273" s="19"/>
      <c r="CQ273" s="19"/>
      <c r="CR273" s="19"/>
      <c r="CS273" s="19"/>
      <c r="CT273" s="19"/>
      <c r="CU273" s="19"/>
      <c r="CV273" s="19"/>
      <c r="CW273" s="19"/>
      <c r="CX273" s="19"/>
      <c r="CY273" s="19"/>
      <c r="CZ273" s="19"/>
      <c r="DA273" s="19"/>
      <c r="DB273" s="19"/>
      <c r="DC273" s="19"/>
      <c r="DD273" s="19"/>
      <c r="DE273" s="19"/>
      <c r="DF273" s="19"/>
      <c r="DG273" s="19"/>
      <c r="DH273" s="19"/>
      <c r="DI273" s="19"/>
      <c r="DJ273" s="19"/>
      <c r="DK273" s="19"/>
      <c r="DL273" s="19"/>
      <c r="DM273" s="19"/>
      <c r="DN273" s="19"/>
      <c r="DO273" s="19"/>
      <c r="DP273" s="19"/>
      <c r="DQ273" s="19"/>
      <c r="DR273" s="19"/>
      <c r="DS273" s="19"/>
      <c r="DT273" s="19"/>
      <c r="DU273" s="19"/>
      <c r="DV273" s="19"/>
      <c r="DW273" s="19"/>
      <c r="DX273" s="19"/>
      <c r="DY273" s="19"/>
      <c r="DZ273" s="19"/>
      <c r="EA273" s="19"/>
      <c r="EB273" s="19"/>
      <c r="EC273" s="19"/>
      <c r="ED273" s="19"/>
      <c r="EE273" s="19"/>
      <c r="EF273" s="19"/>
      <c r="EG273" s="19"/>
      <c r="EH273" s="19"/>
      <c r="EI273" s="19"/>
      <c r="EJ273" s="19"/>
      <c r="EK273" s="19"/>
      <c r="EL273" s="19"/>
      <c r="EM273" s="19"/>
      <c r="EN273" s="19"/>
      <c r="EO273" s="19"/>
      <c r="EP273" s="19"/>
      <c r="EQ273" s="19"/>
      <c r="ER273" s="19"/>
      <c r="ES273" s="19"/>
      <c r="ET273" s="19"/>
      <c r="EU273" s="19"/>
      <c r="EV273" s="19"/>
      <c r="EW273" s="19"/>
      <c r="EX273" s="19"/>
      <c r="EY273" s="19"/>
      <c r="EZ273" s="19"/>
      <c r="FA273" s="19"/>
      <c r="FB273" s="19"/>
      <c r="FC273" s="19"/>
      <c r="FD273" s="19"/>
      <c r="FE273" s="19"/>
      <c r="FF273" s="19"/>
      <c r="FG273" s="19"/>
      <c r="FH273" s="19"/>
      <c r="FI273" s="19"/>
      <c r="FJ273" s="19"/>
      <c r="FK273" s="19"/>
      <c r="FL273" s="19"/>
      <c r="FM273" s="19"/>
      <c r="FN273" s="19"/>
      <c r="FO273" s="19"/>
      <c r="FP273" s="19"/>
      <c r="FQ273" s="19"/>
      <c r="FR273" s="19"/>
      <c r="FS273" s="19"/>
      <c r="FT273" s="19"/>
      <c r="FU273" s="19"/>
      <c r="FV273" s="19"/>
      <c r="FW273" s="19"/>
      <c r="FX273" s="19"/>
      <c r="FY273" s="19"/>
      <c r="FZ273" s="19"/>
      <c r="GA273" s="19"/>
      <c r="GB273" s="19"/>
      <c r="GC273" s="19"/>
      <c r="GD273" s="19"/>
      <c r="GE273" s="19"/>
      <c r="GF273" s="19"/>
      <c r="GG273" s="19"/>
      <c r="GH273" s="19"/>
      <c r="GI273" s="19"/>
      <c r="GJ273" s="19"/>
      <c r="GK273" s="19"/>
      <c r="GL273" s="19"/>
      <c r="GM273" s="19"/>
      <c r="GN273" s="19"/>
      <c r="GO273" s="19"/>
      <c r="GP273" s="19"/>
      <c r="GQ273" s="19"/>
      <c r="GR273" s="19"/>
      <c r="GS273" s="19"/>
      <c r="GT273" s="19"/>
      <c r="GU273" s="19"/>
      <c r="GV273" s="19"/>
      <c r="GW273" s="19"/>
      <c r="GX273" s="19"/>
      <c r="GY273" s="19"/>
      <c r="GZ273" s="19"/>
      <c r="HA273" s="19"/>
      <c r="HB273" s="19"/>
    </row>
    <row r="274" spans="1:210" x14ac:dyDescent="0.25">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c r="BE274" s="19"/>
      <c r="BF274" s="19"/>
      <c r="BG274" s="19"/>
      <c r="BH274" s="19"/>
      <c r="BI274" s="19"/>
      <c r="BJ274" s="19"/>
      <c r="BK274" s="19"/>
      <c r="BL274" s="19"/>
      <c r="BM274" s="19"/>
      <c r="BN274" s="19"/>
      <c r="BO274" s="19"/>
      <c r="BP274" s="19"/>
      <c r="BQ274" s="19"/>
      <c r="BR274" s="19"/>
      <c r="BS274" s="19"/>
      <c r="BT274" s="19"/>
      <c r="BU274" s="19"/>
      <c r="BV274" s="19"/>
      <c r="BW274" s="19"/>
      <c r="BX274" s="19"/>
      <c r="BY274" s="19"/>
      <c r="BZ274" s="19"/>
      <c r="CA274" s="19"/>
      <c r="CB274" s="19"/>
      <c r="CC274" s="19"/>
      <c r="CD274" s="19"/>
      <c r="CE274" s="19"/>
      <c r="CF274" s="19"/>
      <c r="CG274" s="19"/>
      <c r="CH274" s="19"/>
      <c r="CI274" s="19"/>
      <c r="CJ274" s="19"/>
      <c r="CK274" s="19"/>
      <c r="CL274" s="19"/>
      <c r="CM274" s="19"/>
      <c r="CN274" s="19"/>
      <c r="CO274" s="19"/>
      <c r="CP274" s="19"/>
      <c r="CQ274" s="19"/>
      <c r="CR274" s="19"/>
      <c r="CS274" s="19"/>
      <c r="CT274" s="19"/>
      <c r="CU274" s="19"/>
      <c r="CV274" s="19"/>
      <c r="CW274" s="19"/>
      <c r="CX274" s="19"/>
      <c r="CY274" s="19"/>
      <c r="CZ274" s="19"/>
      <c r="DA274" s="19"/>
      <c r="DB274" s="19"/>
      <c r="DC274" s="19"/>
      <c r="DD274" s="19"/>
      <c r="DE274" s="19"/>
      <c r="DF274" s="19"/>
      <c r="DG274" s="19"/>
      <c r="DH274" s="19"/>
      <c r="DI274" s="19"/>
      <c r="DJ274" s="19"/>
      <c r="DK274" s="19"/>
      <c r="DL274" s="19"/>
      <c r="DM274" s="19"/>
      <c r="DN274" s="19"/>
      <c r="DO274" s="19"/>
      <c r="DP274" s="19"/>
      <c r="DQ274" s="19"/>
      <c r="DR274" s="19"/>
      <c r="DS274" s="19"/>
      <c r="DT274" s="19"/>
      <c r="DU274" s="19"/>
      <c r="DV274" s="19"/>
      <c r="DW274" s="19"/>
      <c r="DX274" s="19"/>
      <c r="DY274" s="19"/>
      <c r="DZ274" s="19"/>
      <c r="EA274" s="19"/>
      <c r="EB274" s="19"/>
      <c r="EC274" s="19"/>
      <c r="ED274" s="19"/>
      <c r="EE274" s="19"/>
      <c r="EF274" s="19"/>
      <c r="EG274" s="19"/>
      <c r="EH274" s="19"/>
      <c r="EI274" s="19"/>
      <c r="EJ274" s="19"/>
      <c r="EK274" s="19"/>
      <c r="EL274" s="19"/>
      <c r="EM274" s="19"/>
      <c r="EN274" s="19"/>
      <c r="EO274" s="19"/>
      <c r="EP274" s="19"/>
      <c r="EQ274" s="19"/>
      <c r="ER274" s="19"/>
      <c r="ES274" s="19"/>
      <c r="ET274" s="19"/>
      <c r="EU274" s="19"/>
      <c r="EV274" s="19"/>
      <c r="EW274" s="19"/>
      <c r="EX274" s="19"/>
      <c r="EY274" s="19"/>
      <c r="EZ274" s="19"/>
      <c r="FA274" s="19"/>
      <c r="FB274" s="19"/>
      <c r="FC274" s="19"/>
      <c r="FD274" s="19"/>
      <c r="FE274" s="19"/>
      <c r="FF274" s="19"/>
      <c r="FG274" s="19"/>
      <c r="FH274" s="19"/>
      <c r="FI274" s="19"/>
      <c r="FJ274" s="19"/>
      <c r="FK274" s="19"/>
      <c r="FL274" s="19"/>
      <c r="FM274" s="19"/>
      <c r="FN274" s="19"/>
      <c r="FO274" s="19"/>
      <c r="FP274" s="19"/>
      <c r="FQ274" s="19"/>
      <c r="FR274" s="19"/>
      <c r="FS274" s="19"/>
      <c r="FT274" s="19"/>
      <c r="FU274" s="19"/>
      <c r="FV274" s="19"/>
      <c r="FW274" s="19"/>
      <c r="FX274" s="19"/>
      <c r="FY274" s="19"/>
      <c r="FZ274" s="19"/>
      <c r="GA274" s="19"/>
      <c r="GB274" s="19"/>
      <c r="GC274" s="19"/>
      <c r="GD274" s="19"/>
      <c r="GE274" s="19"/>
      <c r="GF274" s="19"/>
      <c r="GG274" s="19"/>
      <c r="GH274" s="19"/>
      <c r="GI274" s="19"/>
      <c r="GJ274" s="19"/>
      <c r="GK274" s="19"/>
      <c r="GL274" s="19"/>
      <c r="GM274" s="19"/>
      <c r="GN274" s="19"/>
      <c r="GO274" s="19"/>
      <c r="GP274" s="19"/>
      <c r="GQ274" s="19"/>
      <c r="GR274" s="19"/>
      <c r="GS274" s="19"/>
      <c r="GT274" s="19"/>
      <c r="GU274" s="19"/>
      <c r="GV274" s="19"/>
      <c r="GW274" s="19"/>
      <c r="GX274" s="19"/>
      <c r="GY274" s="19"/>
      <c r="GZ274" s="19"/>
      <c r="HA274" s="19"/>
      <c r="HB274" s="19"/>
    </row>
    <row r="275" spans="1:210" x14ac:dyDescent="0.25">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c r="BE275" s="19"/>
      <c r="BF275" s="19"/>
      <c r="BG275" s="19"/>
      <c r="BH275" s="19"/>
      <c r="BI275" s="19"/>
      <c r="BJ275" s="19"/>
      <c r="BK275" s="19"/>
      <c r="BL275" s="19"/>
      <c r="BM275" s="19"/>
      <c r="BN275" s="19"/>
      <c r="BO275" s="19"/>
      <c r="BP275" s="19"/>
      <c r="BQ275" s="19"/>
      <c r="BR275" s="19"/>
      <c r="BS275" s="19"/>
      <c r="BT275" s="19"/>
      <c r="BU275" s="19"/>
      <c r="BV275" s="19"/>
      <c r="BW275" s="19"/>
      <c r="BX275" s="19"/>
      <c r="BY275" s="19"/>
      <c r="BZ275" s="19"/>
      <c r="CA275" s="19"/>
      <c r="CB275" s="19"/>
      <c r="CC275" s="19"/>
      <c r="CD275" s="19"/>
      <c r="CE275" s="19"/>
      <c r="CF275" s="19"/>
      <c r="CG275" s="19"/>
      <c r="CH275" s="19"/>
      <c r="CI275" s="19"/>
      <c r="CJ275" s="19"/>
      <c r="CK275" s="19"/>
      <c r="CL275" s="19"/>
      <c r="CM275" s="19"/>
      <c r="CN275" s="19"/>
      <c r="CO275" s="19"/>
      <c r="CP275" s="19"/>
      <c r="CQ275" s="19"/>
      <c r="CR275" s="19"/>
      <c r="CS275" s="19"/>
      <c r="CT275" s="19"/>
      <c r="CU275" s="19"/>
      <c r="CV275" s="19"/>
      <c r="CW275" s="19"/>
      <c r="CX275" s="19"/>
      <c r="CY275" s="19"/>
      <c r="CZ275" s="19"/>
      <c r="DA275" s="19"/>
      <c r="DB275" s="19"/>
      <c r="DC275" s="19"/>
      <c r="DD275" s="19"/>
      <c r="DE275" s="19"/>
      <c r="DF275" s="19"/>
      <c r="DG275" s="19"/>
      <c r="DH275" s="19"/>
      <c r="DI275" s="19"/>
      <c r="DJ275" s="19"/>
      <c r="DK275" s="19"/>
      <c r="DL275" s="19"/>
      <c r="DM275" s="19"/>
      <c r="DN275" s="19"/>
      <c r="DO275" s="19"/>
      <c r="DP275" s="19"/>
      <c r="DQ275" s="19"/>
      <c r="DR275" s="19"/>
      <c r="DS275" s="19"/>
      <c r="DT275" s="19"/>
      <c r="DU275" s="19"/>
      <c r="DV275" s="19"/>
      <c r="DW275" s="19"/>
      <c r="DX275" s="19"/>
      <c r="DY275" s="19"/>
      <c r="DZ275" s="19"/>
      <c r="EA275" s="19"/>
      <c r="EB275" s="19"/>
      <c r="EC275" s="19"/>
      <c r="ED275" s="19"/>
      <c r="EE275" s="19"/>
      <c r="EF275" s="19"/>
      <c r="EG275" s="19"/>
      <c r="EH275" s="19"/>
      <c r="EI275" s="19"/>
      <c r="EJ275" s="19"/>
      <c r="EK275" s="19"/>
      <c r="EL275" s="19"/>
      <c r="EM275" s="19"/>
      <c r="EN275" s="19"/>
      <c r="EO275" s="19"/>
      <c r="EP275" s="19"/>
      <c r="EQ275" s="19"/>
      <c r="ER275" s="19"/>
      <c r="ES275" s="19"/>
      <c r="ET275" s="19"/>
      <c r="EU275" s="19"/>
      <c r="EV275" s="19"/>
      <c r="EW275" s="19"/>
      <c r="EX275" s="19"/>
      <c r="EY275" s="19"/>
      <c r="EZ275" s="19"/>
      <c r="FA275" s="19"/>
      <c r="FB275" s="19"/>
      <c r="FC275" s="19"/>
      <c r="FD275" s="19"/>
      <c r="FE275" s="19"/>
      <c r="FF275" s="19"/>
      <c r="FG275" s="19"/>
      <c r="FH275" s="19"/>
      <c r="FI275" s="19"/>
      <c r="FJ275" s="19"/>
      <c r="FK275" s="19"/>
      <c r="FL275" s="19"/>
      <c r="FM275" s="19"/>
      <c r="FN275" s="19"/>
      <c r="FO275" s="19"/>
      <c r="FP275" s="19"/>
      <c r="FQ275" s="19"/>
      <c r="FR275" s="19"/>
      <c r="FS275" s="19"/>
      <c r="FT275" s="19"/>
      <c r="FU275" s="19"/>
      <c r="FV275" s="19"/>
      <c r="FW275" s="19"/>
      <c r="FX275" s="19"/>
      <c r="FY275" s="19"/>
      <c r="FZ275" s="19"/>
      <c r="GA275" s="19"/>
      <c r="GB275" s="19"/>
      <c r="GC275" s="19"/>
      <c r="GD275" s="19"/>
      <c r="GE275" s="19"/>
      <c r="GF275" s="19"/>
      <c r="GG275" s="19"/>
      <c r="GH275" s="19"/>
      <c r="GI275" s="19"/>
      <c r="GJ275" s="19"/>
      <c r="GK275" s="19"/>
      <c r="GL275" s="19"/>
      <c r="GM275" s="19"/>
      <c r="GN275" s="19"/>
      <c r="GO275" s="19"/>
      <c r="GP275" s="19"/>
      <c r="GQ275" s="19"/>
      <c r="GR275" s="19"/>
      <c r="GS275" s="19"/>
      <c r="GT275" s="19"/>
      <c r="GU275" s="19"/>
      <c r="GV275" s="19"/>
      <c r="GW275" s="19"/>
      <c r="GX275" s="19"/>
      <c r="GY275" s="19"/>
      <c r="GZ275" s="19"/>
      <c r="HA275" s="19"/>
      <c r="HB275" s="19"/>
    </row>
    <row r="276" spans="1:210" x14ac:dyDescent="0.25">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c r="BE276" s="19"/>
      <c r="BF276" s="19"/>
      <c r="BG276" s="19"/>
      <c r="BH276" s="19"/>
      <c r="BI276" s="19"/>
      <c r="BJ276" s="19"/>
      <c r="BK276" s="19"/>
      <c r="BL276" s="19"/>
      <c r="BM276" s="19"/>
      <c r="BN276" s="19"/>
      <c r="BO276" s="19"/>
      <c r="BP276" s="19"/>
      <c r="BQ276" s="19"/>
      <c r="BR276" s="19"/>
      <c r="BS276" s="19"/>
      <c r="BT276" s="19"/>
      <c r="BU276" s="19"/>
      <c r="BV276" s="19"/>
      <c r="BW276" s="19"/>
      <c r="BX276" s="19"/>
      <c r="BY276" s="19"/>
      <c r="BZ276" s="19"/>
      <c r="CA276" s="19"/>
      <c r="CB276" s="19"/>
      <c r="CC276" s="19"/>
      <c r="CD276" s="19"/>
      <c r="CE276" s="19"/>
      <c r="CF276" s="19"/>
      <c r="CG276" s="19"/>
      <c r="CH276" s="19"/>
      <c r="CI276" s="19"/>
      <c r="CJ276" s="19"/>
      <c r="CK276" s="19"/>
      <c r="CL276" s="19"/>
      <c r="CM276" s="19"/>
      <c r="CN276" s="19"/>
      <c r="CO276" s="19"/>
      <c r="CP276" s="19"/>
      <c r="CQ276" s="19"/>
      <c r="CR276" s="19"/>
      <c r="CS276" s="19"/>
      <c r="CT276" s="19"/>
      <c r="CU276" s="19"/>
      <c r="CV276" s="19"/>
      <c r="CW276" s="19"/>
      <c r="CX276" s="19"/>
      <c r="CY276" s="19"/>
      <c r="CZ276" s="19"/>
      <c r="DA276" s="19"/>
      <c r="DB276" s="19"/>
      <c r="DC276" s="19"/>
      <c r="DD276" s="19"/>
      <c r="DE276" s="19"/>
      <c r="DF276" s="19"/>
      <c r="DG276" s="19"/>
      <c r="DH276" s="19"/>
      <c r="DI276" s="19"/>
      <c r="DJ276" s="19"/>
      <c r="DK276" s="19"/>
      <c r="DL276" s="19"/>
      <c r="DM276" s="19"/>
      <c r="DN276" s="19"/>
      <c r="DO276" s="19"/>
      <c r="DP276" s="19"/>
      <c r="DQ276" s="19"/>
      <c r="DR276" s="19"/>
      <c r="DS276" s="19"/>
      <c r="DT276" s="19"/>
      <c r="DU276" s="19"/>
      <c r="DV276" s="19"/>
      <c r="DW276" s="19"/>
      <c r="DX276" s="19"/>
      <c r="DY276" s="19"/>
      <c r="DZ276" s="19"/>
      <c r="EA276" s="19"/>
      <c r="EB276" s="19"/>
      <c r="EC276" s="19"/>
      <c r="ED276" s="19"/>
      <c r="EE276" s="19"/>
      <c r="EF276" s="19"/>
      <c r="EG276" s="19"/>
      <c r="EH276" s="19"/>
      <c r="EI276" s="19"/>
      <c r="EJ276" s="19"/>
      <c r="EK276" s="19"/>
      <c r="EL276" s="19"/>
      <c r="EM276" s="19"/>
      <c r="EN276" s="19"/>
      <c r="EO276" s="19"/>
      <c r="EP276" s="19"/>
      <c r="EQ276" s="19"/>
      <c r="ER276" s="19"/>
      <c r="ES276" s="19"/>
      <c r="ET276" s="19"/>
      <c r="EU276" s="19"/>
      <c r="EV276" s="19"/>
      <c r="EW276" s="19"/>
      <c r="EX276" s="19"/>
      <c r="EY276" s="19"/>
      <c r="EZ276" s="19"/>
      <c r="FA276" s="19"/>
      <c r="FB276" s="19"/>
      <c r="FC276" s="19"/>
      <c r="FD276" s="19"/>
      <c r="FE276" s="19"/>
      <c r="FF276" s="19"/>
      <c r="FG276" s="19"/>
      <c r="FH276" s="19"/>
      <c r="FI276" s="19"/>
      <c r="FJ276" s="19"/>
      <c r="FK276" s="19"/>
      <c r="FL276" s="19"/>
      <c r="FM276" s="19"/>
      <c r="FN276" s="19"/>
      <c r="FO276" s="19"/>
      <c r="FP276" s="19"/>
      <c r="FQ276" s="19"/>
      <c r="FR276" s="19"/>
      <c r="FS276" s="19"/>
      <c r="FT276" s="19"/>
      <c r="FU276" s="19"/>
      <c r="FV276" s="19"/>
      <c r="FW276" s="19"/>
      <c r="FX276" s="19"/>
      <c r="FY276" s="19"/>
      <c r="FZ276" s="19"/>
      <c r="GA276" s="19"/>
      <c r="GB276" s="19"/>
      <c r="GC276" s="19"/>
      <c r="GD276" s="19"/>
      <c r="GE276" s="19"/>
      <c r="GF276" s="19"/>
      <c r="GG276" s="19"/>
      <c r="GH276" s="19"/>
      <c r="GI276" s="19"/>
      <c r="GJ276" s="19"/>
      <c r="GK276" s="19"/>
      <c r="GL276" s="19"/>
      <c r="GM276" s="19"/>
      <c r="GN276" s="19"/>
      <c r="GO276" s="19"/>
      <c r="GP276" s="19"/>
      <c r="GQ276" s="19"/>
      <c r="GR276" s="19"/>
      <c r="GS276" s="19"/>
      <c r="GT276" s="19"/>
      <c r="GU276" s="19"/>
      <c r="GV276" s="19"/>
      <c r="GW276" s="19"/>
      <c r="GX276" s="19"/>
      <c r="GY276" s="19"/>
      <c r="GZ276" s="19"/>
      <c r="HA276" s="19"/>
      <c r="HB276" s="19"/>
    </row>
    <row r="277" spans="1:210" x14ac:dyDescent="0.25">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c r="BE277" s="19"/>
      <c r="BF277" s="19"/>
      <c r="BG277" s="19"/>
      <c r="BH277" s="19"/>
      <c r="BI277" s="19"/>
      <c r="BJ277" s="19"/>
      <c r="BK277" s="19"/>
      <c r="BL277" s="19"/>
      <c r="BM277" s="19"/>
      <c r="BN277" s="19"/>
      <c r="BO277" s="19"/>
      <c r="BP277" s="19"/>
      <c r="BQ277" s="19"/>
      <c r="BR277" s="19"/>
      <c r="BS277" s="19"/>
      <c r="BT277" s="19"/>
      <c r="BU277" s="19"/>
      <c r="BV277" s="19"/>
      <c r="BW277" s="19"/>
      <c r="BX277" s="19"/>
      <c r="BY277" s="19"/>
      <c r="BZ277" s="19"/>
      <c r="CA277" s="19"/>
      <c r="CB277" s="19"/>
      <c r="CC277" s="19"/>
      <c r="CD277" s="19"/>
      <c r="CE277" s="19"/>
      <c r="CF277" s="19"/>
      <c r="CG277" s="19"/>
      <c r="CH277" s="19"/>
      <c r="CI277" s="19"/>
      <c r="CJ277" s="19"/>
      <c r="CK277" s="19"/>
      <c r="CL277" s="19"/>
      <c r="CM277" s="19"/>
      <c r="CN277" s="19"/>
      <c r="CO277" s="19"/>
      <c r="CP277" s="19"/>
      <c r="CQ277" s="19"/>
      <c r="CR277" s="19"/>
      <c r="CS277" s="19"/>
      <c r="CT277" s="19"/>
      <c r="CU277" s="19"/>
      <c r="CV277" s="19"/>
      <c r="CW277" s="19"/>
      <c r="CX277" s="19"/>
      <c r="CY277" s="19"/>
      <c r="CZ277" s="19"/>
      <c r="DA277" s="19"/>
      <c r="DB277" s="19"/>
      <c r="DC277" s="19"/>
      <c r="DD277" s="19"/>
      <c r="DE277" s="19"/>
      <c r="DF277" s="19"/>
      <c r="DG277" s="19"/>
      <c r="DH277" s="19"/>
      <c r="DI277" s="19"/>
      <c r="DJ277" s="19"/>
      <c r="DK277" s="19"/>
      <c r="DL277" s="19"/>
      <c r="DM277" s="19"/>
      <c r="DN277" s="19"/>
      <c r="DO277" s="19"/>
      <c r="DP277" s="19"/>
      <c r="DQ277" s="19"/>
      <c r="DR277" s="19"/>
      <c r="DS277" s="19"/>
      <c r="DT277" s="19"/>
      <c r="DU277" s="19"/>
      <c r="DV277" s="19"/>
      <c r="DW277" s="19"/>
      <c r="DX277" s="19"/>
      <c r="DY277" s="19"/>
      <c r="DZ277" s="19"/>
      <c r="EA277" s="19"/>
      <c r="EB277" s="19"/>
      <c r="EC277" s="19"/>
      <c r="ED277" s="19"/>
      <c r="EE277" s="19"/>
      <c r="EF277" s="19"/>
      <c r="EG277" s="19"/>
      <c r="EH277" s="19"/>
      <c r="EI277" s="19"/>
      <c r="EJ277" s="19"/>
      <c r="EK277" s="19"/>
      <c r="EL277" s="19"/>
      <c r="EM277" s="19"/>
      <c r="EN277" s="19"/>
      <c r="EO277" s="19"/>
      <c r="EP277" s="19"/>
      <c r="EQ277" s="19"/>
      <c r="ER277" s="19"/>
      <c r="ES277" s="19"/>
      <c r="ET277" s="19"/>
      <c r="EU277" s="19"/>
      <c r="EV277" s="19"/>
      <c r="EW277" s="19"/>
      <c r="EX277" s="19"/>
      <c r="EY277" s="19"/>
      <c r="EZ277" s="19"/>
      <c r="FA277" s="19"/>
      <c r="FB277" s="19"/>
      <c r="FC277" s="19"/>
      <c r="FD277" s="19"/>
      <c r="FE277" s="19"/>
      <c r="FF277" s="19"/>
      <c r="FG277" s="19"/>
      <c r="FH277" s="19"/>
      <c r="FI277" s="19"/>
      <c r="FJ277" s="19"/>
      <c r="FK277" s="19"/>
      <c r="FL277" s="19"/>
      <c r="FM277" s="19"/>
      <c r="FN277" s="19"/>
      <c r="FO277" s="19"/>
      <c r="FP277" s="19"/>
      <c r="FQ277" s="19"/>
      <c r="FR277" s="19"/>
      <c r="FS277" s="19"/>
      <c r="FT277" s="19"/>
      <c r="FU277" s="19"/>
      <c r="FV277" s="19"/>
      <c r="FW277" s="19"/>
      <c r="FX277" s="19"/>
      <c r="FY277" s="19"/>
      <c r="FZ277" s="19"/>
      <c r="GA277" s="19"/>
      <c r="GB277" s="19"/>
      <c r="GC277" s="19"/>
      <c r="GD277" s="19"/>
      <c r="GE277" s="19"/>
      <c r="GF277" s="19"/>
      <c r="GG277" s="19"/>
      <c r="GH277" s="19"/>
      <c r="GI277" s="19"/>
      <c r="GJ277" s="19"/>
      <c r="GK277" s="19"/>
      <c r="GL277" s="19"/>
      <c r="GM277" s="19"/>
      <c r="GN277" s="19"/>
      <c r="GO277" s="19"/>
      <c r="GP277" s="19"/>
      <c r="GQ277" s="19"/>
      <c r="GR277" s="19"/>
      <c r="GS277" s="19"/>
      <c r="GT277" s="19"/>
      <c r="GU277" s="19"/>
      <c r="GV277" s="19"/>
      <c r="GW277" s="19"/>
      <c r="GX277" s="19"/>
      <c r="GY277" s="19"/>
      <c r="GZ277" s="19"/>
      <c r="HA277" s="19"/>
      <c r="HB277" s="19"/>
    </row>
    <row r="278" spans="1:210" x14ac:dyDescent="0.25">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c r="BE278" s="19"/>
      <c r="BF278" s="19"/>
      <c r="BG278" s="19"/>
      <c r="BH278" s="19"/>
      <c r="BI278" s="19"/>
      <c r="BJ278" s="19"/>
      <c r="BK278" s="19"/>
      <c r="BL278" s="19"/>
      <c r="BM278" s="19"/>
      <c r="BN278" s="19"/>
      <c r="BO278" s="19"/>
      <c r="BP278" s="19"/>
      <c r="BQ278" s="19"/>
      <c r="BR278" s="19"/>
      <c r="BS278" s="19"/>
      <c r="BT278" s="19"/>
      <c r="BU278" s="19"/>
      <c r="BV278" s="19"/>
      <c r="BW278" s="19"/>
      <c r="BX278" s="19"/>
      <c r="BY278" s="19"/>
      <c r="BZ278" s="19"/>
      <c r="CA278" s="19"/>
      <c r="CB278" s="19"/>
      <c r="CC278" s="19"/>
      <c r="CD278" s="19"/>
      <c r="CE278" s="19"/>
      <c r="CF278" s="19"/>
      <c r="CG278" s="19"/>
      <c r="CH278" s="19"/>
      <c r="CI278" s="19"/>
      <c r="CJ278" s="19"/>
      <c r="CK278" s="19"/>
      <c r="CL278" s="19"/>
      <c r="CM278" s="19"/>
      <c r="CN278" s="19"/>
      <c r="CO278" s="19"/>
      <c r="CP278" s="19"/>
      <c r="CQ278" s="19"/>
      <c r="CR278" s="19"/>
      <c r="CS278" s="19"/>
      <c r="CT278" s="19"/>
      <c r="CU278" s="19"/>
      <c r="CV278" s="19"/>
      <c r="CW278" s="19"/>
      <c r="CX278" s="19"/>
      <c r="CY278" s="19"/>
      <c r="CZ278" s="19"/>
      <c r="DA278" s="19"/>
      <c r="DB278" s="19"/>
      <c r="DC278" s="19"/>
      <c r="DD278" s="19"/>
      <c r="DE278" s="19"/>
      <c r="DF278" s="19"/>
      <c r="DG278" s="19"/>
      <c r="DH278" s="19"/>
      <c r="DI278" s="19"/>
      <c r="DJ278" s="19"/>
      <c r="DK278" s="19"/>
      <c r="DL278" s="19"/>
      <c r="DM278" s="19"/>
      <c r="DN278" s="19"/>
      <c r="DO278" s="19"/>
      <c r="DP278" s="19"/>
      <c r="DQ278" s="19"/>
      <c r="DR278" s="19"/>
      <c r="DS278" s="19"/>
      <c r="DT278" s="19"/>
      <c r="DU278" s="19"/>
      <c r="DV278" s="19"/>
      <c r="DW278" s="19"/>
      <c r="DX278" s="19"/>
      <c r="DY278" s="19"/>
      <c r="DZ278" s="19"/>
      <c r="EA278" s="19"/>
      <c r="EB278" s="19"/>
      <c r="EC278" s="19"/>
      <c r="ED278" s="19"/>
      <c r="EE278" s="19"/>
      <c r="EF278" s="19"/>
      <c r="EG278" s="19"/>
      <c r="EH278" s="19"/>
      <c r="EI278" s="19"/>
      <c r="EJ278" s="19"/>
      <c r="EK278" s="19"/>
      <c r="EL278" s="19"/>
      <c r="EM278" s="19"/>
      <c r="EN278" s="19"/>
      <c r="EO278" s="19"/>
      <c r="EP278" s="19"/>
      <c r="EQ278" s="19"/>
      <c r="ER278" s="19"/>
      <c r="ES278" s="19"/>
      <c r="ET278" s="19"/>
      <c r="EU278" s="19"/>
      <c r="EV278" s="19"/>
      <c r="EW278" s="19"/>
      <c r="EX278" s="19"/>
      <c r="EY278" s="19"/>
      <c r="EZ278" s="19"/>
      <c r="FA278" s="19"/>
      <c r="FB278" s="19"/>
      <c r="FC278" s="19"/>
      <c r="FD278" s="19"/>
      <c r="FE278" s="19"/>
      <c r="FF278" s="19"/>
      <c r="FG278" s="19"/>
      <c r="FH278" s="19"/>
      <c r="FI278" s="19"/>
      <c r="FJ278" s="19"/>
      <c r="FK278" s="19"/>
      <c r="FL278" s="19"/>
      <c r="FM278" s="19"/>
      <c r="FN278" s="19"/>
      <c r="FO278" s="19"/>
      <c r="FP278" s="19"/>
      <c r="FQ278" s="19"/>
      <c r="FR278" s="19"/>
      <c r="FS278" s="19"/>
      <c r="FT278" s="19"/>
      <c r="FU278" s="19"/>
      <c r="FV278" s="19"/>
      <c r="FW278" s="19"/>
      <c r="FX278" s="19"/>
      <c r="FY278" s="19"/>
      <c r="FZ278" s="19"/>
      <c r="GA278" s="19"/>
      <c r="GB278" s="19"/>
      <c r="GC278" s="19"/>
      <c r="GD278" s="19"/>
      <c r="GE278" s="19"/>
      <c r="GF278" s="19"/>
      <c r="GG278" s="19"/>
      <c r="GH278" s="19"/>
      <c r="GI278" s="19"/>
      <c r="GJ278" s="19"/>
      <c r="GK278" s="19"/>
      <c r="GL278" s="19"/>
      <c r="GM278" s="19"/>
      <c r="GN278" s="19"/>
      <c r="GO278" s="19"/>
      <c r="GP278" s="19"/>
      <c r="GQ278" s="19"/>
      <c r="GR278" s="19"/>
      <c r="GS278" s="19"/>
      <c r="GT278" s="19"/>
      <c r="GU278" s="19"/>
      <c r="GV278" s="19"/>
      <c r="GW278" s="19"/>
      <c r="GX278" s="19"/>
      <c r="GY278" s="19"/>
      <c r="GZ278" s="19"/>
      <c r="HA278" s="19"/>
      <c r="HB278" s="19"/>
    </row>
    <row r="279" spans="1:210" x14ac:dyDescent="0.25">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c r="BE279" s="19"/>
      <c r="BF279" s="19"/>
      <c r="BG279" s="19"/>
      <c r="BH279" s="19"/>
      <c r="BI279" s="19"/>
      <c r="BJ279" s="19"/>
      <c r="BK279" s="19"/>
      <c r="BL279" s="19"/>
      <c r="BM279" s="19"/>
      <c r="BN279" s="19"/>
      <c r="BO279" s="19"/>
      <c r="BP279" s="19"/>
      <c r="BQ279" s="19"/>
      <c r="BR279" s="19"/>
      <c r="BS279" s="19"/>
      <c r="BT279" s="19"/>
      <c r="BU279" s="19"/>
      <c r="BV279" s="19"/>
      <c r="BW279" s="19"/>
      <c r="BX279" s="19"/>
      <c r="BY279" s="19"/>
      <c r="BZ279" s="19"/>
      <c r="CA279" s="19"/>
      <c r="CB279" s="19"/>
      <c r="CC279" s="19"/>
      <c r="CD279" s="19"/>
      <c r="CE279" s="19"/>
      <c r="CF279" s="19"/>
      <c r="CG279" s="19"/>
      <c r="CH279" s="19"/>
      <c r="CI279" s="19"/>
      <c r="CJ279" s="19"/>
      <c r="CK279" s="19"/>
      <c r="CL279" s="19"/>
      <c r="CM279" s="19"/>
      <c r="CN279" s="19"/>
      <c r="CO279" s="19"/>
      <c r="CP279" s="19"/>
      <c r="CQ279" s="19"/>
      <c r="CR279" s="19"/>
      <c r="CS279" s="19"/>
      <c r="CT279" s="19"/>
      <c r="CU279" s="19"/>
      <c r="CV279" s="19"/>
      <c r="CW279" s="19"/>
      <c r="CX279" s="19"/>
      <c r="CY279" s="19"/>
      <c r="CZ279" s="19"/>
      <c r="DA279" s="19"/>
      <c r="DB279" s="19"/>
      <c r="DC279" s="19"/>
      <c r="DD279" s="19"/>
      <c r="DE279" s="19"/>
      <c r="DF279" s="19"/>
      <c r="DG279" s="19"/>
      <c r="DH279" s="19"/>
      <c r="DI279" s="19"/>
      <c r="DJ279" s="19"/>
      <c r="DK279" s="19"/>
      <c r="DL279" s="19"/>
      <c r="DM279" s="19"/>
      <c r="DN279" s="19"/>
      <c r="DO279" s="19"/>
      <c r="DP279" s="19"/>
      <c r="DQ279" s="19"/>
      <c r="DR279" s="19"/>
      <c r="DS279" s="19"/>
      <c r="DT279" s="19"/>
      <c r="DU279" s="19"/>
      <c r="DV279" s="19"/>
      <c r="DW279" s="19"/>
      <c r="DX279" s="19"/>
      <c r="DY279" s="19"/>
      <c r="DZ279" s="19"/>
      <c r="EA279" s="19"/>
      <c r="EB279" s="19"/>
      <c r="EC279" s="19"/>
      <c r="ED279" s="19"/>
      <c r="EE279" s="19"/>
      <c r="EF279" s="19"/>
      <c r="EG279" s="19"/>
      <c r="EH279" s="19"/>
      <c r="EI279" s="19"/>
      <c r="EJ279" s="19"/>
      <c r="EK279" s="19"/>
      <c r="EL279" s="19"/>
      <c r="EM279" s="19"/>
      <c r="EN279" s="19"/>
      <c r="EO279" s="19"/>
      <c r="EP279" s="19"/>
      <c r="EQ279" s="19"/>
      <c r="ER279" s="19"/>
      <c r="ES279" s="19"/>
      <c r="ET279" s="19"/>
      <c r="EU279" s="19"/>
      <c r="EV279" s="19"/>
      <c r="EW279" s="19"/>
      <c r="EX279" s="19"/>
      <c r="EY279" s="19"/>
      <c r="EZ279" s="19"/>
      <c r="FA279" s="19"/>
      <c r="FB279" s="19"/>
      <c r="FC279" s="19"/>
      <c r="FD279" s="19"/>
      <c r="FE279" s="19"/>
      <c r="FF279" s="19"/>
      <c r="FG279" s="19"/>
      <c r="FH279" s="19"/>
      <c r="FI279" s="19"/>
      <c r="FJ279" s="19"/>
      <c r="FK279" s="19"/>
      <c r="FL279" s="19"/>
      <c r="FM279" s="19"/>
      <c r="FN279" s="19"/>
      <c r="FO279" s="19"/>
      <c r="FP279" s="19"/>
      <c r="FQ279" s="19"/>
      <c r="FR279" s="19"/>
      <c r="FS279" s="19"/>
      <c r="FT279" s="19"/>
      <c r="FU279" s="19"/>
      <c r="FV279" s="19"/>
      <c r="FW279" s="19"/>
      <c r="FX279" s="19"/>
      <c r="FY279" s="19"/>
      <c r="FZ279" s="19"/>
      <c r="GA279" s="19"/>
      <c r="GB279" s="19"/>
      <c r="GC279" s="19"/>
      <c r="GD279" s="19"/>
      <c r="GE279" s="19"/>
      <c r="GF279" s="19"/>
      <c r="GG279" s="19"/>
      <c r="GH279" s="19"/>
      <c r="GI279" s="19"/>
      <c r="GJ279" s="19"/>
      <c r="GK279" s="19"/>
      <c r="GL279" s="19"/>
      <c r="GM279" s="19"/>
      <c r="GN279" s="19"/>
      <c r="GO279" s="19"/>
      <c r="GP279" s="19"/>
      <c r="GQ279" s="19"/>
      <c r="GR279" s="19"/>
      <c r="GS279" s="19"/>
      <c r="GT279" s="19"/>
      <c r="GU279" s="19"/>
      <c r="GV279" s="19"/>
      <c r="GW279" s="19"/>
      <c r="GX279" s="19"/>
      <c r="GY279" s="19"/>
      <c r="GZ279" s="19"/>
      <c r="HA279" s="19"/>
      <c r="HB279" s="19"/>
    </row>
    <row r="280" spans="1:210" x14ac:dyDescent="0.25">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c r="BE280" s="19"/>
      <c r="BF280" s="19"/>
      <c r="BG280" s="19"/>
      <c r="BH280" s="19"/>
      <c r="BI280" s="19"/>
      <c r="BJ280" s="19"/>
      <c r="BK280" s="19"/>
      <c r="BL280" s="19"/>
      <c r="BM280" s="19"/>
      <c r="BN280" s="19"/>
      <c r="BO280" s="19"/>
      <c r="BP280" s="19"/>
      <c r="BQ280" s="19"/>
      <c r="BR280" s="19"/>
      <c r="BS280" s="19"/>
      <c r="BT280" s="19"/>
      <c r="BU280" s="19"/>
      <c r="BV280" s="19"/>
      <c r="BW280" s="19"/>
      <c r="BX280" s="19"/>
      <c r="BY280" s="19"/>
      <c r="BZ280" s="19"/>
      <c r="CA280" s="19"/>
      <c r="CB280" s="19"/>
      <c r="CC280" s="19"/>
      <c r="CD280" s="19"/>
      <c r="CE280" s="19"/>
      <c r="CF280" s="19"/>
      <c r="CG280" s="19"/>
      <c r="CH280" s="19"/>
      <c r="CI280" s="19"/>
      <c r="CJ280" s="19"/>
      <c r="CK280" s="19"/>
      <c r="CL280" s="19"/>
      <c r="CM280" s="19"/>
      <c r="CN280" s="19"/>
      <c r="CO280" s="19"/>
      <c r="CP280" s="19"/>
      <c r="CQ280" s="19"/>
      <c r="CR280" s="19"/>
      <c r="CS280" s="19"/>
      <c r="CT280" s="19"/>
      <c r="CU280" s="19"/>
      <c r="CV280" s="19"/>
      <c r="CW280" s="19"/>
      <c r="CX280" s="19"/>
      <c r="CY280" s="19"/>
      <c r="CZ280" s="19"/>
      <c r="DA280" s="19"/>
      <c r="DB280" s="19"/>
      <c r="DC280" s="19"/>
      <c r="DD280" s="19"/>
      <c r="DE280" s="19"/>
      <c r="DF280" s="19"/>
      <c r="DG280" s="19"/>
      <c r="DH280" s="19"/>
      <c r="DI280" s="19"/>
      <c r="DJ280" s="19"/>
      <c r="DK280" s="19"/>
      <c r="DL280" s="19"/>
      <c r="DM280" s="19"/>
      <c r="DN280" s="19"/>
      <c r="DO280" s="19"/>
      <c r="DP280" s="19"/>
      <c r="DQ280" s="19"/>
      <c r="DR280" s="19"/>
      <c r="DS280" s="19"/>
      <c r="DT280" s="19"/>
      <c r="DU280" s="19"/>
      <c r="DV280" s="19"/>
      <c r="DW280" s="19"/>
      <c r="DX280" s="19"/>
      <c r="DY280" s="19"/>
      <c r="DZ280" s="19"/>
      <c r="EA280" s="19"/>
      <c r="EB280" s="19"/>
      <c r="EC280" s="19"/>
      <c r="ED280" s="19"/>
      <c r="EE280" s="19"/>
      <c r="EF280" s="19"/>
      <c r="EG280" s="19"/>
      <c r="EH280" s="19"/>
      <c r="EI280" s="19"/>
      <c r="EJ280" s="19"/>
      <c r="EK280" s="19"/>
      <c r="EL280" s="19"/>
      <c r="EM280" s="19"/>
      <c r="EN280" s="19"/>
      <c r="EO280" s="19"/>
      <c r="EP280" s="19"/>
      <c r="EQ280" s="19"/>
      <c r="ER280" s="19"/>
      <c r="ES280" s="19"/>
      <c r="ET280" s="19"/>
      <c r="EU280" s="19"/>
      <c r="EV280" s="19"/>
      <c r="EW280" s="19"/>
      <c r="EX280" s="19"/>
      <c r="EY280" s="19"/>
      <c r="EZ280" s="19"/>
      <c r="FA280" s="19"/>
      <c r="FB280" s="19"/>
      <c r="FC280" s="19"/>
      <c r="FD280" s="19"/>
      <c r="FE280" s="19"/>
      <c r="FF280" s="19"/>
      <c r="FG280" s="19"/>
      <c r="FH280" s="19"/>
      <c r="FI280" s="19"/>
      <c r="FJ280" s="19"/>
      <c r="FK280" s="19"/>
      <c r="FL280" s="19"/>
      <c r="FM280" s="19"/>
      <c r="FN280" s="19"/>
      <c r="FO280" s="19"/>
      <c r="FP280" s="19"/>
      <c r="FQ280" s="19"/>
      <c r="FR280" s="19"/>
      <c r="FS280" s="19"/>
      <c r="FT280" s="19"/>
      <c r="FU280" s="19"/>
      <c r="FV280" s="19"/>
      <c r="FW280" s="19"/>
      <c r="FX280" s="19"/>
      <c r="FY280" s="19"/>
      <c r="FZ280" s="19"/>
      <c r="GA280" s="19"/>
      <c r="GB280" s="19"/>
      <c r="GC280" s="19"/>
      <c r="GD280" s="19"/>
      <c r="GE280" s="19"/>
      <c r="GF280" s="19"/>
      <c r="GG280" s="19"/>
      <c r="GH280" s="19"/>
      <c r="GI280" s="19"/>
      <c r="GJ280" s="19"/>
      <c r="GK280" s="19"/>
      <c r="GL280" s="19"/>
      <c r="GM280" s="19"/>
      <c r="GN280" s="19"/>
      <c r="GO280" s="19"/>
      <c r="GP280" s="19"/>
      <c r="GQ280" s="19"/>
      <c r="GR280" s="19"/>
      <c r="GS280" s="19"/>
      <c r="GT280" s="19"/>
      <c r="GU280" s="19"/>
      <c r="GV280" s="19"/>
      <c r="GW280" s="19"/>
      <c r="GX280" s="19"/>
      <c r="GY280" s="19"/>
      <c r="GZ280" s="19"/>
      <c r="HA280" s="19"/>
      <c r="HB280" s="19"/>
    </row>
    <row r="281" spans="1:210" x14ac:dyDescent="0.25">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c r="BE281" s="19"/>
      <c r="BF281" s="19"/>
      <c r="BG281" s="19"/>
      <c r="BH281" s="19"/>
      <c r="BI281" s="19"/>
      <c r="BJ281" s="19"/>
      <c r="BK281" s="19"/>
      <c r="BL281" s="19"/>
      <c r="BM281" s="19"/>
      <c r="BN281" s="19"/>
      <c r="BO281" s="19"/>
      <c r="BP281" s="19"/>
      <c r="BQ281" s="19"/>
      <c r="BR281" s="19"/>
      <c r="BS281" s="19"/>
      <c r="BT281" s="19"/>
      <c r="BU281" s="19"/>
      <c r="BV281" s="19"/>
      <c r="BW281" s="19"/>
      <c r="BX281" s="19"/>
      <c r="BY281" s="19"/>
      <c r="BZ281" s="19"/>
      <c r="CA281" s="19"/>
      <c r="CB281" s="19"/>
      <c r="CC281" s="19"/>
      <c r="CD281" s="19"/>
      <c r="CE281" s="19"/>
      <c r="CF281" s="19"/>
      <c r="CG281" s="19"/>
      <c r="CH281" s="19"/>
      <c r="CI281" s="19"/>
      <c r="CJ281" s="19"/>
      <c r="CK281" s="19"/>
      <c r="CL281" s="19"/>
      <c r="CM281" s="19"/>
      <c r="CN281" s="19"/>
      <c r="CO281" s="19"/>
      <c r="CP281" s="19"/>
      <c r="CQ281" s="19"/>
      <c r="CR281" s="19"/>
      <c r="CS281" s="19"/>
      <c r="CT281" s="19"/>
      <c r="CU281" s="19"/>
      <c r="CV281" s="19"/>
      <c r="CW281" s="19"/>
      <c r="CX281" s="19"/>
      <c r="CY281" s="19"/>
      <c r="CZ281" s="19"/>
      <c r="DA281" s="19"/>
      <c r="DB281" s="19"/>
      <c r="DC281" s="19"/>
      <c r="DD281" s="19"/>
      <c r="DE281" s="19"/>
      <c r="DF281" s="19"/>
      <c r="DG281" s="19"/>
      <c r="DH281" s="19"/>
      <c r="DI281" s="19"/>
      <c r="DJ281" s="19"/>
      <c r="DK281" s="19"/>
      <c r="DL281" s="19"/>
      <c r="DM281" s="19"/>
      <c r="DN281" s="19"/>
      <c r="DO281" s="19"/>
      <c r="DP281" s="19"/>
      <c r="DQ281" s="19"/>
      <c r="DR281" s="19"/>
      <c r="DS281" s="19"/>
      <c r="DT281" s="19"/>
      <c r="DU281" s="19"/>
      <c r="DV281" s="19"/>
      <c r="DW281" s="19"/>
      <c r="DX281" s="19"/>
      <c r="DY281" s="19"/>
      <c r="DZ281" s="19"/>
      <c r="EA281" s="19"/>
      <c r="EB281" s="19"/>
      <c r="EC281" s="19"/>
      <c r="ED281" s="19"/>
      <c r="EE281" s="19"/>
      <c r="EF281" s="19"/>
      <c r="EG281" s="19"/>
      <c r="EH281" s="19"/>
      <c r="EI281" s="19"/>
      <c r="EJ281" s="19"/>
      <c r="EK281" s="19"/>
      <c r="EL281" s="19"/>
      <c r="EM281" s="19"/>
      <c r="EN281" s="19"/>
      <c r="EO281" s="19"/>
      <c r="EP281" s="19"/>
      <c r="EQ281" s="19"/>
      <c r="ER281" s="19"/>
      <c r="ES281" s="19"/>
      <c r="ET281" s="19"/>
      <c r="EU281" s="19"/>
      <c r="EV281" s="19"/>
      <c r="EW281" s="19"/>
      <c r="EX281" s="19"/>
      <c r="EY281" s="19"/>
      <c r="EZ281" s="19"/>
      <c r="FA281" s="19"/>
      <c r="FB281" s="19"/>
      <c r="FC281" s="19"/>
      <c r="FD281" s="19"/>
      <c r="FE281" s="19"/>
      <c r="FF281" s="19"/>
      <c r="FG281" s="19"/>
      <c r="FH281" s="19"/>
      <c r="FI281" s="19"/>
      <c r="FJ281" s="19"/>
      <c r="FK281" s="19"/>
      <c r="FL281" s="19"/>
      <c r="FM281" s="19"/>
      <c r="FN281" s="19"/>
      <c r="FO281" s="19"/>
      <c r="FP281" s="19"/>
      <c r="FQ281" s="19"/>
      <c r="FR281" s="19"/>
      <c r="FS281" s="19"/>
      <c r="FT281" s="19"/>
      <c r="FU281" s="19"/>
      <c r="FV281" s="19"/>
      <c r="FW281" s="19"/>
      <c r="FX281" s="19"/>
      <c r="FY281" s="19"/>
      <c r="FZ281" s="19"/>
      <c r="GA281" s="19"/>
      <c r="GB281" s="19"/>
      <c r="GC281" s="19"/>
      <c r="GD281" s="19"/>
      <c r="GE281" s="19"/>
      <c r="GF281" s="19"/>
      <c r="GG281" s="19"/>
      <c r="GH281" s="19"/>
      <c r="GI281" s="19"/>
      <c r="GJ281" s="19"/>
      <c r="GK281" s="19"/>
      <c r="GL281" s="19"/>
      <c r="GM281" s="19"/>
      <c r="GN281" s="19"/>
      <c r="GO281" s="19"/>
      <c r="GP281" s="19"/>
      <c r="GQ281" s="19"/>
      <c r="GR281" s="19"/>
      <c r="GS281" s="19"/>
      <c r="GT281" s="19"/>
      <c r="GU281" s="19"/>
      <c r="GV281" s="19"/>
      <c r="GW281" s="19"/>
      <c r="GX281" s="19"/>
      <c r="GY281" s="19"/>
      <c r="GZ281" s="19"/>
      <c r="HA281" s="19"/>
      <c r="HB281" s="19"/>
    </row>
    <row r="282" spans="1:210" x14ac:dyDescent="0.25">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c r="BE282" s="19"/>
      <c r="BF282" s="19"/>
      <c r="BG282" s="19"/>
      <c r="BH282" s="19"/>
      <c r="BI282" s="19"/>
      <c r="BJ282" s="19"/>
      <c r="BK282" s="19"/>
      <c r="BL282" s="19"/>
      <c r="BM282" s="19"/>
      <c r="BN282" s="19"/>
      <c r="BO282" s="19"/>
      <c r="BP282" s="19"/>
      <c r="BQ282" s="19"/>
      <c r="BR282" s="19"/>
      <c r="BS282" s="19"/>
      <c r="BT282" s="19"/>
      <c r="BU282" s="19"/>
      <c r="BV282" s="19"/>
      <c r="BW282" s="19"/>
      <c r="BX282" s="19"/>
      <c r="BY282" s="19"/>
      <c r="BZ282" s="19"/>
      <c r="CA282" s="19"/>
      <c r="CB282" s="19"/>
      <c r="CC282" s="19"/>
      <c r="CD282" s="19"/>
      <c r="CE282" s="19"/>
      <c r="CF282" s="19"/>
      <c r="CG282" s="19"/>
      <c r="CH282" s="19"/>
      <c r="CI282" s="19"/>
      <c r="CJ282" s="19"/>
      <c r="CK282" s="19"/>
      <c r="CL282" s="19"/>
      <c r="CM282" s="19"/>
      <c r="CN282" s="19"/>
      <c r="CO282" s="19"/>
      <c r="CP282" s="19"/>
      <c r="CQ282" s="19"/>
      <c r="CR282" s="19"/>
      <c r="CS282" s="19"/>
      <c r="CT282" s="19"/>
      <c r="CU282" s="19"/>
      <c r="CV282" s="19"/>
      <c r="CW282" s="19"/>
      <c r="CX282" s="19"/>
      <c r="CY282" s="19"/>
      <c r="CZ282" s="19"/>
      <c r="DA282" s="19"/>
      <c r="DB282" s="19"/>
      <c r="DC282" s="19"/>
      <c r="DD282" s="19"/>
      <c r="DE282" s="19"/>
      <c r="DF282" s="19"/>
      <c r="DG282" s="19"/>
      <c r="DH282" s="19"/>
      <c r="DI282" s="19"/>
      <c r="DJ282" s="19"/>
      <c r="DK282" s="19"/>
      <c r="DL282" s="19"/>
      <c r="DM282" s="19"/>
      <c r="DN282" s="19"/>
      <c r="DO282" s="19"/>
      <c r="DP282" s="19"/>
      <c r="DQ282" s="19"/>
      <c r="DR282" s="19"/>
      <c r="DS282" s="19"/>
      <c r="DT282" s="19"/>
      <c r="DU282" s="19"/>
      <c r="DV282" s="19"/>
      <c r="DW282" s="19"/>
      <c r="DX282" s="19"/>
      <c r="DY282" s="19"/>
      <c r="DZ282" s="19"/>
      <c r="EA282" s="19"/>
      <c r="EB282" s="19"/>
      <c r="EC282" s="19"/>
      <c r="ED282" s="19"/>
      <c r="EE282" s="19"/>
      <c r="EF282" s="19"/>
      <c r="EG282" s="19"/>
      <c r="EH282" s="19"/>
      <c r="EI282" s="19"/>
      <c r="EJ282" s="19"/>
      <c r="EK282" s="19"/>
      <c r="EL282" s="19"/>
      <c r="EM282" s="19"/>
      <c r="EN282" s="19"/>
      <c r="EO282" s="19"/>
      <c r="EP282" s="19"/>
      <c r="EQ282" s="19"/>
      <c r="ER282" s="19"/>
      <c r="ES282" s="19"/>
      <c r="ET282" s="19"/>
      <c r="EU282" s="19"/>
      <c r="EV282" s="19"/>
      <c r="EW282" s="19"/>
      <c r="EX282" s="19"/>
      <c r="EY282" s="19"/>
      <c r="EZ282" s="19"/>
      <c r="FA282" s="19"/>
      <c r="FB282" s="19"/>
      <c r="FC282" s="19"/>
      <c r="FD282" s="19"/>
      <c r="FE282" s="19"/>
      <c r="FF282" s="19"/>
      <c r="FG282" s="19"/>
      <c r="FH282" s="19"/>
      <c r="FI282" s="19"/>
      <c r="FJ282" s="19"/>
      <c r="FK282" s="19"/>
      <c r="FL282" s="19"/>
      <c r="FM282" s="19"/>
      <c r="FN282" s="19"/>
      <c r="FO282" s="19"/>
      <c r="FP282" s="19"/>
      <c r="FQ282" s="19"/>
      <c r="FR282" s="19"/>
      <c r="FS282" s="19"/>
      <c r="FT282" s="19"/>
      <c r="FU282" s="19"/>
      <c r="FV282" s="19"/>
      <c r="FW282" s="19"/>
      <c r="FX282" s="19"/>
      <c r="FY282" s="19"/>
      <c r="FZ282" s="19"/>
      <c r="GA282" s="19"/>
      <c r="GB282" s="19"/>
      <c r="GC282" s="19"/>
      <c r="GD282" s="19"/>
      <c r="GE282" s="19"/>
      <c r="GF282" s="19"/>
      <c r="GG282" s="19"/>
      <c r="GH282" s="19"/>
      <c r="GI282" s="19"/>
      <c r="GJ282" s="19"/>
      <c r="GK282" s="19"/>
      <c r="GL282" s="19"/>
      <c r="GM282" s="19"/>
      <c r="GN282" s="19"/>
      <c r="GO282" s="19"/>
      <c r="GP282" s="19"/>
      <c r="GQ282" s="19"/>
      <c r="GR282" s="19"/>
      <c r="GS282" s="19"/>
      <c r="GT282" s="19"/>
      <c r="GU282" s="19"/>
      <c r="GV282" s="19"/>
      <c r="GW282" s="19"/>
      <c r="GX282" s="19"/>
      <c r="GY282" s="19"/>
      <c r="GZ282" s="19"/>
      <c r="HA282" s="19"/>
      <c r="HB282" s="19"/>
    </row>
    <row r="283" spans="1:210" x14ac:dyDescent="0.25">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c r="BE283" s="19"/>
      <c r="BF283" s="19"/>
      <c r="BG283" s="19"/>
      <c r="BH283" s="19"/>
      <c r="BI283" s="19"/>
      <c r="BJ283" s="19"/>
      <c r="BK283" s="19"/>
      <c r="BL283" s="19"/>
      <c r="BM283" s="19"/>
      <c r="BN283" s="19"/>
      <c r="BO283" s="19"/>
      <c r="BP283" s="19"/>
      <c r="BQ283" s="19"/>
      <c r="BR283" s="19"/>
      <c r="BS283" s="19"/>
      <c r="BT283" s="19"/>
      <c r="BU283" s="19"/>
      <c r="BV283" s="19"/>
      <c r="BW283" s="19"/>
      <c r="BX283" s="19"/>
      <c r="BY283" s="19"/>
      <c r="BZ283" s="19"/>
      <c r="CA283" s="19"/>
      <c r="CB283" s="19"/>
      <c r="CC283" s="19"/>
      <c r="CD283" s="19"/>
      <c r="CE283" s="19"/>
      <c r="CF283" s="19"/>
      <c r="CG283" s="19"/>
      <c r="CH283" s="19"/>
      <c r="CI283" s="19"/>
      <c r="CJ283" s="19"/>
      <c r="CK283" s="19"/>
      <c r="CL283" s="19"/>
      <c r="CM283" s="19"/>
      <c r="CN283" s="19"/>
      <c r="CO283" s="19"/>
      <c r="CP283" s="19"/>
      <c r="CQ283" s="19"/>
      <c r="CR283" s="19"/>
      <c r="CS283" s="19"/>
      <c r="CT283" s="19"/>
      <c r="CU283" s="19"/>
      <c r="CV283" s="19"/>
      <c r="CW283" s="19"/>
      <c r="CX283" s="19"/>
      <c r="CY283" s="19"/>
      <c r="CZ283" s="19"/>
      <c r="DA283" s="19"/>
      <c r="DB283" s="19"/>
      <c r="DC283" s="19"/>
      <c r="DD283" s="19"/>
      <c r="DE283" s="19"/>
      <c r="DF283" s="19"/>
      <c r="DG283" s="19"/>
      <c r="DH283" s="19"/>
      <c r="DI283" s="19"/>
      <c r="DJ283" s="19"/>
      <c r="DK283" s="19"/>
      <c r="DL283" s="19"/>
      <c r="DM283" s="19"/>
      <c r="DN283" s="19"/>
      <c r="DO283" s="19"/>
      <c r="DP283" s="19"/>
      <c r="DQ283" s="19"/>
      <c r="DR283" s="19"/>
      <c r="DS283" s="19"/>
      <c r="DT283" s="19"/>
      <c r="DU283" s="19"/>
      <c r="DV283" s="19"/>
      <c r="DW283" s="19"/>
      <c r="DX283" s="19"/>
      <c r="DY283" s="19"/>
      <c r="DZ283" s="19"/>
      <c r="EA283" s="19"/>
      <c r="EB283" s="19"/>
      <c r="EC283" s="19"/>
      <c r="ED283" s="19"/>
      <c r="EE283" s="19"/>
      <c r="EF283" s="19"/>
      <c r="EG283" s="19"/>
      <c r="EH283" s="19"/>
      <c r="EI283" s="19"/>
      <c r="EJ283" s="19"/>
      <c r="EK283" s="19"/>
      <c r="EL283" s="19"/>
      <c r="EM283" s="19"/>
      <c r="EN283" s="19"/>
      <c r="EO283" s="19"/>
      <c r="EP283" s="19"/>
      <c r="EQ283" s="19"/>
      <c r="ER283" s="19"/>
      <c r="ES283" s="19"/>
      <c r="ET283" s="19"/>
      <c r="EU283" s="19"/>
      <c r="EV283" s="19"/>
      <c r="EW283" s="19"/>
      <c r="EX283" s="19"/>
      <c r="EY283" s="19"/>
      <c r="EZ283" s="19"/>
      <c r="FA283" s="19"/>
      <c r="FB283" s="19"/>
      <c r="FC283" s="19"/>
      <c r="FD283" s="19"/>
      <c r="FE283" s="19"/>
      <c r="FF283" s="19"/>
      <c r="FG283" s="19"/>
      <c r="FH283" s="19"/>
      <c r="FI283" s="19"/>
      <c r="FJ283" s="19"/>
      <c r="FK283" s="19"/>
      <c r="FL283" s="19"/>
      <c r="FM283" s="19"/>
      <c r="FN283" s="19"/>
      <c r="FO283" s="19"/>
      <c r="FP283" s="19"/>
      <c r="FQ283" s="19"/>
      <c r="FR283" s="19"/>
      <c r="FS283" s="19"/>
      <c r="FT283" s="19"/>
      <c r="FU283" s="19"/>
      <c r="FV283" s="19"/>
      <c r="FW283" s="19"/>
      <c r="FX283" s="19"/>
      <c r="FY283" s="19"/>
      <c r="FZ283" s="19"/>
      <c r="GA283" s="19"/>
      <c r="GB283" s="19"/>
      <c r="GC283" s="19"/>
      <c r="GD283" s="19"/>
      <c r="GE283" s="19"/>
      <c r="GF283" s="19"/>
      <c r="GG283" s="19"/>
      <c r="GH283" s="19"/>
      <c r="GI283" s="19"/>
      <c r="GJ283" s="19"/>
      <c r="GK283" s="19"/>
      <c r="GL283" s="19"/>
      <c r="GM283" s="19"/>
      <c r="GN283" s="19"/>
      <c r="GO283" s="19"/>
      <c r="GP283" s="19"/>
      <c r="GQ283" s="19"/>
      <c r="GR283" s="19"/>
      <c r="GS283" s="19"/>
      <c r="GT283" s="19"/>
      <c r="GU283" s="19"/>
      <c r="GV283" s="19"/>
      <c r="GW283" s="19"/>
      <c r="GX283" s="19"/>
      <c r="GY283" s="19"/>
      <c r="GZ283" s="19"/>
      <c r="HA283" s="19"/>
      <c r="HB283" s="19"/>
    </row>
    <row r="284" spans="1:210" x14ac:dyDescent="0.25">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c r="BE284" s="19"/>
      <c r="BF284" s="19"/>
      <c r="BG284" s="19"/>
      <c r="BH284" s="19"/>
      <c r="BI284" s="19"/>
      <c r="BJ284" s="19"/>
      <c r="BK284" s="19"/>
      <c r="BL284" s="19"/>
      <c r="BM284" s="19"/>
      <c r="BN284" s="19"/>
      <c r="BO284" s="19"/>
      <c r="BP284" s="19"/>
      <c r="BQ284" s="19"/>
      <c r="BR284" s="19"/>
      <c r="BS284" s="19"/>
      <c r="BT284" s="19"/>
      <c r="BU284" s="19"/>
      <c r="BV284" s="19"/>
      <c r="BW284" s="19"/>
      <c r="BX284" s="19"/>
      <c r="BY284" s="19"/>
      <c r="BZ284" s="19"/>
      <c r="CA284" s="19"/>
      <c r="CB284" s="19"/>
      <c r="CC284" s="19"/>
      <c r="CD284" s="19"/>
      <c r="CE284" s="19"/>
      <c r="CF284" s="19"/>
      <c r="CG284" s="19"/>
      <c r="CH284" s="19"/>
      <c r="CI284" s="19"/>
      <c r="CJ284" s="19"/>
      <c r="CK284" s="19"/>
      <c r="CL284" s="19"/>
      <c r="CM284" s="19"/>
      <c r="CN284" s="19"/>
      <c r="CO284" s="19"/>
      <c r="CP284" s="19"/>
      <c r="CQ284" s="19"/>
      <c r="CR284" s="19"/>
      <c r="CS284" s="19"/>
      <c r="CT284" s="19"/>
      <c r="CU284" s="19"/>
      <c r="CV284" s="19"/>
      <c r="CW284" s="19"/>
      <c r="CX284" s="19"/>
      <c r="CY284" s="19"/>
      <c r="CZ284" s="19"/>
      <c r="DA284" s="19"/>
      <c r="DB284" s="19"/>
      <c r="DC284" s="19"/>
      <c r="DD284" s="19"/>
      <c r="DE284" s="19"/>
      <c r="DF284" s="19"/>
      <c r="DG284" s="19"/>
      <c r="DH284" s="19"/>
      <c r="DI284" s="19"/>
      <c r="DJ284" s="19"/>
      <c r="DK284" s="19"/>
      <c r="DL284" s="19"/>
      <c r="DM284" s="19"/>
      <c r="DN284" s="19"/>
      <c r="DO284" s="19"/>
      <c r="DP284" s="19"/>
      <c r="DQ284" s="19"/>
      <c r="DR284" s="19"/>
      <c r="DS284" s="19"/>
      <c r="DT284" s="19"/>
      <c r="DU284" s="19"/>
      <c r="DV284" s="19"/>
      <c r="DW284" s="19"/>
      <c r="DX284" s="19"/>
      <c r="DY284" s="19"/>
      <c r="DZ284" s="19"/>
      <c r="EA284" s="19"/>
      <c r="EB284" s="19"/>
      <c r="EC284" s="19"/>
      <c r="ED284" s="19"/>
      <c r="EE284" s="19"/>
      <c r="EF284" s="19"/>
      <c r="EG284" s="19"/>
      <c r="EH284" s="19"/>
      <c r="EI284" s="19"/>
      <c r="EJ284" s="19"/>
      <c r="EK284" s="19"/>
      <c r="EL284" s="19"/>
      <c r="EM284" s="19"/>
      <c r="EN284" s="19"/>
      <c r="EO284" s="19"/>
      <c r="EP284" s="19"/>
      <c r="EQ284" s="19"/>
      <c r="ER284" s="19"/>
      <c r="ES284" s="19"/>
      <c r="ET284" s="19"/>
      <c r="EU284" s="19"/>
      <c r="EV284" s="19"/>
      <c r="EW284" s="19"/>
      <c r="EX284" s="19"/>
      <c r="EY284" s="19"/>
      <c r="EZ284" s="19"/>
      <c r="FA284" s="19"/>
      <c r="FB284" s="19"/>
      <c r="FC284" s="19"/>
      <c r="FD284" s="19"/>
      <c r="FE284" s="19"/>
      <c r="FF284" s="19"/>
      <c r="FG284" s="19"/>
      <c r="FH284" s="19"/>
      <c r="FI284" s="19"/>
      <c r="FJ284" s="19"/>
      <c r="FK284" s="19"/>
      <c r="FL284" s="19"/>
      <c r="FM284" s="19"/>
      <c r="FN284" s="19"/>
      <c r="FO284" s="19"/>
      <c r="FP284" s="19"/>
      <c r="FQ284" s="19"/>
      <c r="FR284" s="19"/>
      <c r="FS284" s="19"/>
      <c r="FT284" s="19"/>
      <c r="FU284" s="19"/>
      <c r="FV284" s="19"/>
      <c r="FW284" s="19"/>
      <c r="FX284" s="19"/>
      <c r="FY284" s="19"/>
      <c r="FZ284" s="19"/>
      <c r="GA284" s="19"/>
      <c r="GB284" s="19"/>
      <c r="GC284" s="19"/>
      <c r="GD284" s="19"/>
      <c r="GE284" s="19"/>
      <c r="GF284" s="19"/>
      <c r="GG284" s="19"/>
      <c r="GH284" s="19"/>
      <c r="GI284" s="19"/>
      <c r="GJ284" s="19"/>
      <c r="GK284" s="19"/>
      <c r="GL284" s="19"/>
      <c r="GM284" s="19"/>
      <c r="GN284" s="19"/>
      <c r="GO284" s="19"/>
      <c r="GP284" s="19"/>
      <c r="GQ284" s="19"/>
      <c r="GR284" s="19"/>
      <c r="GS284" s="19"/>
      <c r="GT284" s="19"/>
      <c r="GU284" s="19"/>
      <c r="GV284" s="19"/>
      <c r="GW284" s="19"/>
      <c r="GX284" s="19"/>
      <c r="GY284" s="19"/>
      <c r="GZ284" s="19"/>
      <c r="HA284" s="19"/>
      <c r="HB284" s="19"/>
    </row>
    <row r="285" spans="1:210" x14ac:dyDescent="0.25">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c r="BE285" s="19"/>
      <c r="BF285" s="19"/>
      <c r="BG285" s="19"/>
      <c r="BH285" s="19"/>
      <c r="BI285" s="19"/>
      <c r="BJ285" s="19"/>
      <c r="BK285" s="19"/>
      <c r="BL285" s="19"/>
      <c r="BM285" s="19"/>
      <c r="BN285" s="19"/>
      <c r="BO285" s="19"/>
      <c r="BP285" s="19"/>
      <c r="BQ285" s="19"/>
      <c r="BR285" s="19"/>
      <c r="BS285" s="19"/>
      <c r="BT285" s="19"/>
      <c r="BU285" s="19"/>
      <c r="BV285" s="19"/>
      <c r="BW285" s="19"/>
      <c r="BX285" s="19"/>
      <c r="BY285" s="19"/>
      <c r="BZ285" s="19"/>
      <c r="CA285" s="19"/>
      <c r="CB285" s="19"/>
      <c r="CC285" s="19"/>
      <c r="CD285" s="19"/>
      <c r="CE285" s="19"/>
      <c r="CF285" s="19"/>
      <c r="CG285" s="19"/>
      <c r="CH285" s="19"/>
      <c r="CI285" s="19"/>
      <c r="CJ285" s="19"/>
      <c r="CK285" s="19"/>
      <c r="CL285" s="19"/>
      <c r="CM285" s="19"/>
      <c r="CN285" s="19"/>
      <c r="CO285" s="19"/>
      <c r="CP285" s="19"/>
      <c r="CQ285" s="19"/>
      <c r="CR285" s="19"/>
      <c r="CS285" s="19"/>
      <c r="CT285" s="19"/>
      <c r="CU285" s="19"/>
      <c r="CV285" s="19"/>
      <c r="CW285" s="19"/>
      <c r="CX285" s="19"/>
      <c r="CY285" s="19"/>
      <c r="CZ285" s="19"/>
      <c r="DA285" s="19"/>
      <c r="DB285" s="19"/>
      <c r="DC285" s="19"/>
      <c r="DD285" s="19"/>
      <c r="DE285" s="19"/>
      <c r="DF285" s="19"/>
      <c r="DG285" s="19"/>
      <c r="DH285" s="19"/>
      <c r="DI285" s="19"/>
      <c r="DJ285" s="19"/>
      <c r="DK285" s="19"/>
      <c r="DL285" s="19"/>
      <c r="DM285" s="19"/>
      <c r="DN285" s="19"/>
      <c r="DO285" s="19"/>
      <c r="DP285" s="19"/>
      <c r="DQ285" s="19"/>
      <c r="DR285" s="19"/>
      <c r="DS285" s="19"/>
      <c r="DT285" s="19"/>
      <c r="DU285" s="19"/>
      <c r="DV285" s="19"/>
      <c r="DW285" s="19"/>
      <c r="DX285" s="19"/>
      <c r="DY285" s="19"/>
      <c r="DZ285" s="19"/>
      <c r="EA285" s="19"/>
      <c r="EB285" s="19"/>
      <c r="EC285" s="19"/>
      <c r="ED285" s="19"/>
      <c r="EE285" s="19"/>
      <c r="EF285" s="19"/>
      <c r="EG285" s="19"/>
      <c r="EH285" s="19"/>
      <c r="EI285" s="19"/>
      <c r="EJ285" s="19"/>
      <c r="EK285" s="19"/>
      <c r="EL285" s="19"/>
      <c r="EM285" s="19"/>
      <c r="EN285" s="19"/>
      <c r="EO285" s="19"/>
      <c r="EP285" s="19"/>
      <c r="EQ285" s="19"/>
      <c r="ER285" s="19"/>
      <c r="ES285" s="19"/>
      <c r="ET285" s="19"/>
      <c r="EU285" s="19"/>
      <c r="EV285" s="19"/>
      <c r="EW285" s="19"/>
      <c r="EX285" s="19"/>
      <c r="EY285" s="19"/>
      <c r="EZ285" s="19"/>
      <c r="FA285" s="19"/>
      <c r="FB285" s="19"/>
      <c r="FC285" s="19"/>
      <c r="FD285" s="19"/>
      <c r="FE285" s="19"/>
      <c r="FF285" s="19"/>
      <c r="FG285" s="19"/>
      <c r="FH285" s="19"/>
      <c r="FI285" s="19"/>
      <c r="FJ285" s="19"/>
      <c r="FK285" s="19"/>
      <c r="FL285" s="19"/>
      <c r="FM285" s="19"/>
      <c r="FN285" s="19"/>
      <c r="FO285" s="19"/>
      <c r="FP285" s="19"/>
      <c r="FQ285" s="19"/>
      <c r="FR285" s="19"/>
      <c r="FS285" s="19"/>
      <c r="FT285" s="19"/>
      <c r="FU285" s="19"/>
      <c r="FV285" s="19"/>
      <c r="FW285" s="19"/>
      <c r="FX285" s="19"/>
      <c r="FY285" s="19"/>
      <c r="FZ285" s="19"/>
      <c r="GA285" s="19"/>
      <c r="GB285" s="19"/>
      <c r="GC285" s="19"/>
      <c r="GD285" s="19"/>
      <c r="GE285" s="19"/>
      <c r="GF285" s="19"/>
      <c r="GG285" s="19"/>
      <c r="GH285" s="19"/>
      <c r="GI285" s="19"/>
      <c r="GJ285" s="19"/>
      <c r="GK285" s="19"/>
      <c r="GL285" s="19"/>
      <c r="GM285" s="19"/>
      <c r="GN285" s="19"/>
      <c r="GO285" s="19"/>
      <c r="GP285" s="19"/>
      <c r="GQ285" s="19"/>
      <c r="GR285" s="19"/>
      <c r="GS285" s="19"/>
      <c r="GT285" s="19"/>
      <c r="GU285" s="19"/>
      <c r="GV285" s="19"/>
      <c r="GW285" s="19"/>
      <c r="GX285" s="19"/>
      <c r="GY285" s="19"/>
      <c r="GZ285" s="19"/>
      <c r="HA285" s="19"/>
      <c r="HB285" s="19"/>
    </row>
    <row r="286" spans="1:210" x14ac:dyDescent="0.25">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c r="BE286" s="19"/>
      <c r="BF286" s="19"/>
      <c r="BG286" s="19"/>
      <c r="BH286" s="19"/>
      <c r="BI286" s="19"/>
      <c r="BJ286" s="19"/>
      <c r="BK286" s="19"/>
      <c r="BL286" s="19"/>
      <c r="BM286" s="19"/>
      <c r="BN286" s="19"/>
      <c r="BO286" s="19"/>
      <c r="BP286" s="19"/>
      <c r="BQ286" s="19"/>
      <c r="BR286" s="19"/>
      <c r="BS286" s="19"/>
      <c r="BT286" s="19"/>
      <c r="BU286" s="19"/>
      <c r="BV286" s="19"/>
      <c r="BW286" s="19"/>
      <c r="BX286" s="19"/>
      <c r="BY286" s="19"/>
      <c r="BZ286" s="19"/>
      <c r="CA286" s="19"/>
      <c r="CB286" s="19"/>
      <c r="CC286" s="19"/>
      <c r="CD286" s="19"/>
      <c r="CE286" s="19"/>
      <c r="CF286" s="19"/>
      <c r="CG286" s="19"/>
      <c r="CH286" s="19"/>
      <c r="CI286" s="19"/>
      <c r="CJ286" s="19"/>
      <c r="CK286" s="19"/>
      <c r="CL286" s="19"/>
      <c r="CM286" s="19"/>
      <c r="CN286" s="19"/>
      <c r="CO286" s="19"/>
      <c r="CP286" s="19"/>
      <c r="CQ286" s="19"/>
      <c r="CR286" s="19"/>
      <c r="CS286" s="19"/>
      <c r="CT286" s="19"/>
      <c r="CU286" s="19"/>
      <c r="CV286" s="19"/>
      <c r="CW286" s="19"/>
      <c r="CX286" s="19"/>
      <c r="CY286" s="19"/>
      <c r="CZ286" s="19"/>
      <c r="DA286" s="19"/>
      <c r="DB286" s="19"/>
      <c r="DC286" s="19"/>
      <c r="DD286" s="19"/>
      <c r="DE286" s="19"/>
      <c r="DF286" s="19"/>
      <c r="DG286" s="19"/>
      <c r="DH286" s="19"/>
      <c r="DI286" s="19"/>
      <c r="DJ286" s="19"/>
      <c r="DK286" s="19"/>
      <c r="DL286" s="19"/>
      <c r="DM286" s="19"/>
      <c r="DN286" s="19"/>
      <c r="DO286" s="19"/>
      <c r="DP286" s="19"/>
      <c r="DQ286" s="19"/>
      <c r="DR286" s="19"/>
      <c r="DS286" s="19"/>
      <c r="DT286" s="19"/>
      <c r="DU286" s="19"/>
      <c r="DV286" s="19"/>
      <c r="DW286" s="19"/>
      <c r="DX286" s="19"/>
      <c r="DY286" s="19"/>
      <c r="DZ286" s="19"/>
      <c r="EA286" s="19"/>
      <c r="EB286" s="19"/>
      <c r="EC286" s="19"/>
      <c r="ED286" s="19"/>
      <c r="EE286" s="19"/>
      <c r="EF286" s="19"/>
      <c r="EG286" s="19"/>
      <c r="EH286" s="19"/>
      <c r="EI286" s="19"/>
      <c r="EJ286" s="19"/>
      <c r="EK286" s="19"/>
      <c r="EL286" s="19"/>
      <c r="EM286" s="19"/>
      <c r="EN286" s="19"/>
      <c r="EO286" s="19"/>
      <c r="EP286" s="19"/>
      <c r="EQ286" s="19"/>
      <c r="ER286" s="19"/>
      <c r="ES286" s="19"/>
      <c r="ET286" s="19"/>
      <c r="EU286" s="19"/>
      <c r="EV286" s="19"/>
      <c r="EW286" s="19"/>
      <c r="EX286" s="19"/>
      <c r="EY286" s="19"/>
      <c r="EZ286" s="19"/>
      <c r="FA286" s="19"/>
      <c r="FB286" s="19"/>
      <c r="FC286" s="19"/>
      <c r="FD286" s="19"/>
      <c r="FE286" s="19"/>
      <c r="FF286" s="19"/>
      <c r="FG286" s="19"/>
      <c r="FH286" s="19"/>
      <c r="FI286" s="19"/>
      <c r="FJ286" s="19"/>
      <c r="FK286" s="19"/>
      <c r="FL286" s="19"/>
      <c r="FM286" s="19"/>
      <c r="FN286" s="19"/>
      <c r="FO286" s="19"/>
      <c r="FP286" s="19"/>
      <c r="FQ286" s="19"/>
      <c r="FR286" s="19"/>
      <c r="FS286" s="19"/>
      <c r="FT286" s="19"/>
      <c r="FU286" s="19"/>
      <c r="FV286" s="19"/>
      <c r="FW286" s="19"/>
      <c r="FX286" s="19"/>
      <c r="FY286" s="19"/>
      <c r="FZ286" s="19"/>
      <c r="GA286" s="19"/>
      <c r="GB286" s="19"/>
      <c r="GC286" s="19"/>
      <c r="GD286" s="19"/>
      <c r="GE286" s="19"/>
      <c r="GF286" s="19"/>
      <c r="GG286" s="19"/>
      <c r="GH286" s="19"/>
      <c r="GI286" s="19"/>
      <c r="GJ286" s="19"/>
      <c r="GK286" s="19"/>
      <c r="GL286" s="19"/>
      <c r="GM286" s="19"/>
      <c r="GN286" s="19"/>
      <c r="GO286" s="19"/>
      <c r="GP286" s="19"/>
      <c r="GQ286" s="19"/>
      <c r="GR286" s="19"/>
      <c r="GS286" s="19"/>
      <c r="GT286" s="19"/>
      <c r="GU286" s="19"/>
      <c r="GV286" s="19"/>
      <c r="GW286" s="19"/>
      <c r="GX286" s="19"/>
      <c r="GY286" s="19"/>
      <c r="GZ286" s="19"/>
      <c r="HA286" s="19"/>
      <c r="HB286" s="19"/>
    </row>
    <row r="287" spans="1:210" x14ac:dyDescent="0.25">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c r="BE287" s="19"/>
      <c r="BF287" s="19"/>
      <c r="BG287" s="19"/>
      <c r="BH287" s="19"/>
      <c r="BI287" s="19"/>
      <c r="BJ287" s="19"/>
      <c r="BK287" s="19"/>
      <c r="BL287" s="19"/>
      <c r="BM287" s="19"/>
      <c r="BN287" s="19"/>
      <c r="BO287" s="19"/>
      <c r="BP287" s="19"/>
      <c r="BQ287" s="19"/>
      <c r="BR287" s="19"/>
      <c r="BS287" s="19"/>
      <c r="BT287" s="19"/>
      <c r="BU287" s="19"/>
      <c r="BV287" s="19"/>
      <c r="BW287" s="19"/>
      <c r="BX287" s="19"/>
      <c r="BY287" s="19"/>
      <c r="BZ287" s="19"/>
      <c r="CA287" s="19"/>
      <c r="CB287" s="19"/>
      <c r="CC287" s="19"/>
      <c r="CD287" s="19"/>
      <c r="CE287" s="19"/>
      <c r="CF287" s="19"/>
      <c r="CG287" s="19"/>
      <c r="CH287" s="19"/>
      <c r="CI287" s="19"/>
      <c r="CJ287" s="19"/>
      <c r="CK287" s="19"/>
      <c r="CL287" s="19"/>
      <c r="CM287" s="19"/>
      <c r="CN287" s="19"/>
      <c r="CO287" s="19"/>
      <c r="CP287" s="19"/>
      <c r="CQ287" s="19"/>
      <c r="CR287" s="19"/>
      <c r="CS287" s="19"/>
      <c r="CT287" s="19"/>
      <c r="CU287" s="19"/>
      <c r="CV287" s="19"/>
      <c r="CW287" s="19"/>
      <c r="CX287" s="19"/>
      <c r="CY287" s="19"/>
      <c r="CZ287" s="19"/>
      <c r="DA287" s="19"/>
      <c r="DB287" s="19"/>
      <c r="DC287" s="19"/>
      <c r="DD287" s="19"/>
      <c r="DE287" s="19"/>
      <c r="DF287" s="19"/>
      <c r="DG287" s="19"/>
      <c r="DH287" s="19"/>
      <c r="DI287" s="19"/>
      <c r="DJ287" s="19"/>
      <c r="DK287" s="19"/>
      <c r="DL287" s="19"/>
      <c r="DM287" s="19"/>
      <c r="DN287" s="19"/>
      <c r="DO287" s="19"/>
      <c r="DP287" s="19"/>
      <c r="DQ287" s="19"/>
      <c r="DR287" s="19"/>
      <c r="DS287" s="19"/>
      <c r="DT287" s="19"/>
      <c r="DU287" s="19"/>
      <c r="DV287" s="19"/>
      <c r="DW287" s="19"/>
      <c r="DX287" s="19"/>
      <c r="DY287" s="19"/>
      <c r="DZ287" s="19"/>
      <c r="EA287" s="19"/>
      <c r="EB287" s="19"/>
      <c r="EC287" s="19"/>
      <c r="ED287" s="19"/>
      <c r="EE287" s="19"/>
      <c r="EF287" s="19"/>
      <c r="EG287" s="19"/>
      <c r="EH287" s="19"/>
      <c r="EI287" s="19"/>
      <c r="EJ287" s="19"/>
      <c r="EK287" s="19"/>
      <c r="EL287" s="19"/>
      <c r="EM287" s="19"/>
      <c r="EN287" s="19"/>
      <c r="EO287" s="19"/>
      <c r="EP287" s="19"/>
      <c r="EQ287" s="19"/>
      <c r="ER287" s="19"/>
      <c r="ES287" s="19"/>
      <c r="ET287" s="19"/>
      <c r="EU287" s="19"/>
      <c r="EV287" s="19"/>
      <c r="EW287" s="19"/>
      <c r="EX287" s="19"/>
      <c r="EY287" s="19"/>
      <c r="EZ287" s="19"/>
      <c r="FA287" s="19"/>
      <c r="FB287" s="19"/>
      <c r="FC287" s="19"/>
      <c r="FD287" s="19"/>
      <c r="FE287" s="19"/>
      <c r="FF287" s="19"/>
      <c r="FG287" s="19"/>
      <c r="FH287" s="19"/>
      <c r="FI287" s="19"/>
      <c r="FJ287" s="19"/>
      <c r="FK287" s="19"/>
      <c r="FL287" s="19"/>
      <c r="FM287" s="19"/>
      <c r="FN287" s="19"/>
      <c r="FO287" s="19"/>
      <c r="FP287" s="19"/>
      <c r="FQ287" s="19"/>
      <c r="FR287" s="19"/>
      <c r="FS287" s="19"/>
      <c r="FT287" s="19"/>
      <c r="FU287" s="19"/>
      <c r="FV287" s="19"/>
      <c r="FW287" s="19"/>
      <c r="FX287" s="19"/>
      <c r="FY287" s="19"/>
      <c r="FZ287" s="19"/>
      <c r="GA287" s="19"/>
      <c r="GB287" s="19"/>
      <c r="GC287" s="19"/>
      <c r="GD287" s="19"/>
      <c r="GE287" s="19"/>
      <c r="GF287" s="19"/>
      <c r="GG287" s="19"/>
      <c r="GH287" s="19"/>
      <c r="GI287" s="19"/>
      <c r="GJ287" s="19"/>
      <c r="GK287" s="19"/>
      <c r="GL287" s="19"/>
      <c r="GM287" s="19"/>
      <c r="GN287" s="19"/>
      <c r="GO287" s="19"/>
      <c r="GP287" s="19"/>
      <c r="GQ287" s="19"/>
      <c r="GR287" s="19"/>
      <c r="GS287" s="19"/>
      <c r="GT287" s="19"/>
      <c r="GU287" s="19"/>
      <c r="GV287" s="19"/>
      <c r="GW287" s="19"/>
      <c r="GX287" s="19"/>
      <c r="GY287" s="19"/>
      <c r="GZ287" s="19"/>
      <c r="HA287" s="19"/>
      <c r="HB287" s="19"/>
    </row>
    <row r="288" spans="1:210" x14ac:dyDescent="0.25">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c r="BE288" s="19"/>
      <c r="BF288" s="19"/>
      <c r="BG288" s="19"/>
      <c r="BH288" s="19"/>
      <c r="BI288" s="19"/>
      <c r="BJ288" s="19"/>
      <c r="BK288" s="19"/>
      <c r="BL288" s="19"/>
      <c r="BM288" s="19"/>
      <c r="BN288" s="19"/>
      <c r="BO288" s="19"/>
      <c r="BP288" s="19"/>
      <c r="BQ288" s="19"/>
      <c r="BR288" s="19"/>
      <c r="BS288" s="19"/>
      <c r="BT288" s="19"/>
      <c r="BU288" s="19"/>
      <c r="BV288" s="19"/>
      <c r="BW288" s="19"/>
      <c r="BX288" s="19"/>
      <c r="BY288" s="19"/>
      <c r="BZ288" s="19"/>
      <c r="CA288" s="19"/>
      <c r="CB288" s="19"/>
      <c r="CC288" s="19"/>
      <c r="CD288" s="19"/>
      <c r="CE288" s="19"/>
      <c r="CF288" s="19"/>
      <c r="CG288" s="19"/>
      <c r="CH288" s="19"/>
      <c r="CI288" s="19"/>
      <c r="CJ288" s="19"/>
      <c r="CK288" s="19"/>
      <c r="CL288" s="19"/>
      <c r="CM288" s="19"/>
      <c r="CN288" s="19"/>
      <c r="CO288" s="19"/>
      <c r="CP288" s="19"/>
      <c r="CQ288" s="19"/>
      <c r="CR288" s="19"/>
      <c r="CS288" s="19"/>
      <c r="CT288" s="19"/>
      <c r="CU288" s="19"/>
      <c r="CV288" s="19"/>
      <c r="CW288" s="19"/>
      <c r="CX288" s="19"/>
      <c r="CY288" s="19"/>
      <c r="CZ288" s="19"/>
      <c r="DA288" s="19"/>
      <c r="DB288" s="19"/>
      <c r="DC288" s="19"/>
      <c r="DD288" s="19"/>
      <c r="DE288" s="19"/>
      <c r="DF288" s="19"/>
      <c r="DG288" s="19"/>
      <c r="DH288" s="19"/>
      <c r="DI288" s="19"/>
      <c r="DJ288" s="19"/>
      <c r="DK288" s="19"/>
      <c r="DL288" s="19"/>
      <c r="DM288" s="19"/>
      <c r="DN288" s="19"/>
      <c r="DO288" s="19"/>
      <c r="DP288" s="19"/>
      <c r="DQ288" s="19"/>
      <c r="DR288" s="19"/>
      <c r="DS288" s="19"/>
      <c r="DT288" s="19"/>
      <c r="DU288" s="19"/>
      <c r="DV288" s="19"/>
      <c r="DW288" s="19"/>
      <c r="DX288" s="19"/>
      <c r="DY288" s="19"/>
      <c r="DZ288" s="19"/>
      <c r="EA288" s="19"/>
      <c r="EB288" s="19"/>
      <c r="EC288" s="19"/>
      <c r="ED288" s="19"/>
      <c r="EE288" s="19"/>
      <c r="EF288" s="19"/>
      <c r="EG288" s="19"/>
      <c r="EH288" s="19"/>
      <c r="EI288" s="19"/>
      <c r="EJ288" s="19"/>
      <c r="EK288" s="19"/>
      <c r="EL288" s="19"/>
      <c r="EM288" s="19"/>
      <c r="EN288" s="19"/>
      <c r="EO288" s="19"/>
      <c r="EP288" s="19"/>
      <c r="EQ288" s="19"/>
      <c r="ER288" s="19"/>
      <c r="ES288" s="19"/>
      <c r="ET288" s="19"/>
      <c r="EU288" s="19"/>
      <c r="EV288" s="19"/>
      <c r="EW288" s="19"/>
      <c r="EX288" s="19"/>
      <c r="EY288" s="19"/>
      <c r="EZ288" s="19"/>
      <c r="FA288" s="19"/>
      <c r="FB288" s="19"/>
      <c r="FC288" s="19"/>
      <c r="FD288" s="19"/>
      <c r="FE288" s="19"/>
      <c r="FF288" s="19"/>
      <c r="FG288" s="19"/>
      <c r="FH288" s="19"/>
      <c r="FI288" s="19"/>
      <c r="FJ288" s="19"/>
      <c r="FK288" s="19"/>
      <c r="FL288" s="19"/>
      <c r="FM288" s="19"/>
      <c r="FN288" s="19"/>
      <c r="FO288" s="19"/>
      <c r="FP288" s="19"/>
      <c r="FQ288" s="19"/>
      <c r="FR288" s="19"/>
      <c r="FS288" s="19"/>
      <c r="FT288" s="19"/>
      <c r="FU288" s="19"/>
      <c r="FV288" s="19"/>
      <c r="FW288" s="19"/>
      <c r="FX288" s="19"/>
      <c r="FY288" s="19"/>
      <c r="FZ288" s="19"/>
      <c r="GA288" s="19"/>
      <c r="GB288" s="19"/>
      <c r="GC288" s="19"/>
      <c r="GD288" s="19"/>
      <c r="GE288" s="19"/>
      <c r="GF288" s="19"/>
      <c r="GG288" s="19"/>
      <c r="GH288" s="19"/>
      <c r="GI288" s="19"/>
      <c r="GJ288" s="19"/>
      <c r="GK288" s="19"/>
      <c r="GL288" s="19"/>
      <c r="GM288" s="19"/>
      <c r="GN288" s="19"/>
      <c r="GO288" s="19"/>
      <c r="GP288" s="19"/>
      <c r="GQ288" s="19"/>
      <c r="GR288" s="19"/>
      <c r="GS288" s="19"/>
      <c r="GT288" s="19"/>
      <c r="GU288" s="19"/>
      <c r="GV288" s="19"/>
      <c r="GW288" s="19"/>
      <c r="GX288" s="19"/>
      <c r="GY288" s="19"/>
      <c r="GZ288" s="19"/>
      <c r="HA288" s="19"/>
      <c r="HB288" s="19"/>
    </row>
    <row r="289" spans="1:210" x14ac:dyDescent="0.25">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c r="BE289" s="19"/>
      <c r="BF289" s="19"/>
      <c r="BG289" s="19"/>
      <c r="BH289" s="19"/>
      <c r="BI289" s="19"/>
      <c r="BJ289" s="19"/>
      <c r="BK289" s="19"/>
      <c r="BL289" s="19"/>
      <c r="BM289" s="19"/>
      <c r="BN289" s="19"/>
      <c r="BO289" s="19"/>
      <c r="BP289" s="19"/>
      <c r="BQ289" s="19"/>
      <c r="BR289" s="19"/>
      <c r="BS289" s="19"/>
      <c r="BT289" s="19"/>
      <c r="BU289" s="19"/>
      <c r="BV289" s="19"/>
      <c r="BW289" s="19"/>
      <c r="BX289" s="19"/>
      <c r="BY289" s="19"/>
      <c r="BZ289" s="19"/>
      <c r="CA289" s="19"/>
      <c r="CB289" s="19"/>
      <c r="CC289" s="19"/>
      <c r="CD289" s="19"/>
      <c r="CE289" s="19"/>
      <c r="CF289" s="19"/>
      <c r="CG289" s="19"/>
      <c r="CH289" s="19"/>
      <c r="CI289" s="19"/>
      <c r="CJ289" s="19"/>
      <c r="CK289" s="19"/>
      <c r="CL289" s="19"/>
      <c r="CM289" s="19"/>
      <c r="CN289" s="19"/>
      <c r="CO289" s="19"/>
      <c r="CP289" s="19"/>
      <c r="CQ289" s="19"/>
      <c r="CR289" s="19"/>
      <c r="CS289" s="19"/>
      <c r="CT289" s="19"/>
      <c r="CU289" s="19"/>
      <c r="CV289" s="19"/>
      <c r="CW289" s="19"/>
      <c r="CX289" s="19"/>
      <c r="CY289" s="19"/>
      <c r="CZ289" s="19"/>
      <c r="DA289" s="19"/>
      <c r="DB289" s="19"/>
      <c r="DC289" s="19"/>
      <c r="DD289" s="19"/>
      <c r="DE289" s="19"/>
      <c r="DF289" s="19"/>
      <c r="DG289" s="19"/>
      <c r="DH289" s="19"/>
      <c r="DI289" s="19"/>
      <c r="DJ289" s="19"/>
      <c r="DK289" s="19"/>
      <c r="DL289" s="19"/>
      <c r="DM289" s="19"/>
      <c r="DN289" s="19"/>
      <c r="DO289" s="19"/>
      <c r="DP289" s="19"/>
      <c r="DQ289" s="19"/>
      <c r="DR289" s="19"/>
      <c r="DS289" s="19"/>
      <c r="DT289" s="19"/>
      <c r="DU289" s="19"/>
      <c r="DV289" s="19"/>
      <c r="DW289" s="19"/>
      <c r="DX289" s="19"/>
      <c r="DY289" s="19"/>
      <c r="DZ289" s="19"/>
      <c r="EA289" s="19"/>
      <c r="EB289" s="19"/>
      <c r="EC289" s="19"/>
      <c r="ED289" s="19"/>
      <c r="EE289" s="19"/>
      <c r="EF289" s="19"/>
      <c r="EG289" s="19"/>
      <c r="EH289" s="19"/>
      <c r="EI289" s="19"/>
      <c r="EJ289" s="19"/>
      <c r="EK289" s="19"/>
      <c r="EL289" s="19"/>
      <c r="EM289" s="19"/>
      <c r="EN289" s="19"/>
      <c r="EO289" s="19"/>
      <c r="EP289" s="19"/>
      <c r="EQ289" s="19"/>
      <c r="ER289" s="19"/>
      <c r="ES289" s="19"/>
      <c r="ET289" s="19"/>
      <c r="EU289" s="19"/>
      <c r="EV289" s="19"/>
      <c r="EW289" s="19"/>
      <c r="EX289" s="19"/>
      <c r="EY289" s="19"/>
      <c r="EZ289" s="19"/>
      <c r="FA289" s="19"/>
      <c r="FB289" s="19"/>
      <c r="FC289" s="19"/>
      <c r="FD289" s="19"/>
      <c r="FE289" s="19"/>
      <c r="FF289" s="19"/>
      <c r="FG289" s="19"/>
      <c r="FH289" s="19"/>
      <c r="FI289" s="19"/>
      <c r="FJ289" s="19"/>
      <c r="FK289" s="19"/>
      <c r="FL289" s="19"/>
      <c r="FM289" s="19"/>
      <c r="FN289" s="19"/>
      <c r="FO289" s="19"/>
      <c r="FP289" s="19"/>
      <c r="FQ289" s="19"/>
      <c r="FR289" s="19"/>
      <c r="FS289" s="19"/>
      <c r="FT289" s="19"/>
      <c r="FU289" s="19"/>
      <c r="FV289" s="19"/>
      <c r="FW289" s="19"/>
      <c r="FX289" s="19"/>
      <c r="FY289" s="19"/>
      <c r="FZ289" s="19"/>
      <c r="GA289" s="19"/>
      <c r="GB289" s="19"/>
      <c r="GC289" s="19"/>
      <c r="GD289" s="19"/>
      <c r="GE289" s="19"/>
      <c r="GF289" s="19"/>
      <c r="GG289" s="19"/>
      <c r="GH289" s="19"/>
      <c r="GI289" s="19"/>
      <c r="GJ289" s="19"/>
      <c r="GK289" s="19"/>
      <c r="GL289" s="19"/>
      <c r="GM289" s="19"/>
      <c r="GN289" s="19"/>
      <c r="GO289" s="19"/>
      <c r="GP289" s="19"/>
      <c r="GQ289" s="19"/>
      <c r="GR289" s="19"/>
      <c r="GS289" s="19"/>
      <c r="GT289" s="19"/>
      <c r="GU289" s="19"/>
      <c r="GV289" s="19"/>
      <c r="GW289" s="19"/>
      <c r="GX289" s="19"/>
      <c r="GY289" s="19"/>
      <c r="GZ289" s="19"/>
      <c r="HA289" s="19"/>
      <c r="HB289" s="19"/>
    </row>
    <row r="290" spans="1:210" x14ac:dyDescent="0.25">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c r="BE290" s="19"/>
      <c r="BF290" s="19"/>
      <c r="BG290" s="19"/>
      <c r="BH290" s="19"/>
      <c r="BI290" s="19"/>
      <c r="BJ290" s="19"/>
      <c r="BK290" s="19"/>
      <c r="BL290" s="19"/>
      <c r="BM290" s="19"/>
      <c r="BN290" s="19"/>
      <c r="BO290" s="19"/>
      <c r="BP290" s="19"/>
      <c r="BQ290" s="19"/>
      <c r="BR290" s="19"/>
      <c r="BS290" s="19"/>
      <c r="BT290" s="19"/>
      <c r="BU290" s="19"/>
      <c r="BV290" s="19"/>
      <c r="BW290" s="19"/>
      <c r="BX290" s="19"/>
      <c r="BY290" s="19"/>
      <c r="BZ290" s="19"/>
      <c r="CA290" s="19"/>
      <c r="CB290" s="19"/>
      <c r="CC290" s="19"/>
      <c r="CD290" s="19"/>
      <c r="CE290" s="19"/>
      <c r="CF290" s="19"/>
      <c r="CG290" s="19"/>
      <c r="CH290" s="19"/>
      <c r="CI290" s="19"/>
      <c r="CJ290" s="19"/>
      <c r="CK290" s="19"/>
      <c r="CL290" s="19"/>
      <c r="CM290" s="19"/>
      <c r="CN290" s="19"/>
      <c r="CO290" s="19"/>
      <c r="CP290" s="19"/>
      <c r="CQ290" s="19"/>
      <c r="CR290" s="19"/>
      <c r="CS290" s="19"/>
      <c r="CT290" s="19"/>
      <c r="CU290" s="19"/>
      <c r="CV290" s="19"/>
      <c r="CW290" s="19"/>
      <c r="CX290" s="19"/>
      <c r="CY290" s="19"/>
      <c r="CZ290" s="19"/>
      <c r="DA290" s="19"/>
      <c r="DB290" s="19"/>
      <c r="DC290" s="19"/>
      <c r="DD290" s="19"/>
      <c r="DE290" s="19"/>
      <c r="DF290" s="19"/>
      <c r="DG290" s="19"/>
      <c r="DH290" s="19"/>
      <c r="DI290" s="19"/>
      <c r="DJ290" s="19"/>
      <c r="DK290" s="19"/>
      <c r="DL290" s="19"/>
      <c r="DM290" s="19"/>
      <c r="DN290" s="19"/>
      <c r="DO290" s="19"/>
      <c r="DP290" s="19"/>
      <c r="DQ290" s="19"/>
      <c r="DR290" s="19"/>
      <c r="DS290" s="19"/>
      <c r="DT290" s="19"/>
      <c r="DU290" s="19"/>
      <c r="DV290" s="19"/>
      <c r="DW290" s="19"/>
      <c r="DX290" s="19"/>
      <c r="DY290" s="19"/>
      <c r="DZ290" s="19"/>
      <c r="EA290" s="19"/>
      <c r="EB290" s="19"/>
      <c r="EC290" s="19"/>
      <c r="ED290" s="19"/>
      <c r="EE290" s="19"/>
      <c r="EF290" s="19"/>
      <c r="EG290" s="19"/>
      <c r="EH290" s="19"/>
      <c r="EI290" s="19"/>
      <c r="EJ290" s="19"/>
      <c r="EK290" s="19"/>
      <c r="EL290" s="19"/>
      <c r="EM290" s="19"/>
      <c r="EN290" s="19"/>
      <c r="EO290" s="19"/>
      <c r="EP290" s="19"/>
      <c r="EQ290" s="19"/>
      <c r="ER290" s="19"/>
      <c r="ES290" s="19"/>
      <c r="ET290" s="19"/>
      <c r="EU290" s="19"/>
      <c r="EV290" s="19"/>
      <c r="EW290" s="19"/>
      <c r="EX290" s="19"/>
      <c r="EY290" s="19"/>
      <c r="EZ290" s="19"/>
      <c r="FA290" s="19"/>
      <c r="FB290" s="19"/>
      <c r="FC290" s="19"/>
      <c r="FD290" s="19"/>
      <c r="FE290" s="19"/>
      <c r="FF290" s="19"/>
      <c r="FG290" s="19"/>
      <c r="FH290" s="19"/>
      <c r="FI290" s="19"/>
      <c r="FJ290" s="19"/>
      <c r="FK290" s="19"/>
      <c r="FL290" s="19"/>
      <c r="FM290" s="19"/>
      <c r="FN290" s="19"/>
      <c r="FO290" s="19"/>
      <c r="FP290" s="19"/>
      <c r="FQ290" s="19"/>
      <c r="FR290" s="19"/>
      <c r="FS290" s="19"/>
      <c r="FT290" s="19"/>
      <c r="FU290" s="19"/>
      <c r="FV290" s="19"/>
      <c r="FW290" s="19"/>
      <c r="FX290" s="19"/>
      <c r="FY290" s="19"/>
      <c r="FZ290" s="19"/>
      <c r="GA290" s="19"/>
      <c r="GB290" s="19"/>
      <c r="GC290" s="19"/>
      <c r="GD290" s="19"/>
      <c r="GE290" s="19"/>
      <c r="GF290" s="19"/>
      <c r="GG290" s="19"/>
      <c r="GH290" s="19"/>
      <c r="GI290" s="19"/>
      <c r="GJ290" s="19"/>
      <c r="GK290" s="19"/>
      <c r="GL290" s="19"/>
      <c r="GM290" s="19"/>
      <c r="GN290" s="19"/>
      <c r="GO290" s="19"/>
      <c r="GP290" s="19"/>
      <c r="GQ290" s="19"/>
      <c r="GR290" s="19"/>
      <c r="GS290" s="19"/>
      <c r="GT290" s="19"/>
      <c r="GU290" s="19"/>
      <c r="GV290" s="19"/>
      <c r="GW290" s="19"/>
      <c r="GX290" s="19"/>
      <c r="GY290" s="19"/>
      <c r="GZ290" s="19"/>
      <c r="HA290" s="19"/>
      <c r="HB290" s="19"/>
    </row>
    <row r="291" spans="1:210" x14ac:dyDescent="0.25">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c r="BE291" s="19"/>
      <c r="BF291" s="19"/>
      <c r="BG291" s="19"/>
      <c r="BH291" s="19"/>
      <c r="BI291" s="19"/>
      <c r="BJ291" s="19"/>
      <c r="BK291" s="19"/>
      <c r="BL291" s="19"/>
      <c r="BM291" s="19"/>
      <c r="BN291" s="19"/>
      <c r="BO291" s="19"/>
      <c r="BP291" s="19"/>
      <c r="BQ291" s="19"/>
      <c r="BR291" s="19"/>
      <c r="BS291" s="19"/>
      <c r="BT291" s="19"/>
      <c r="BU291" s="19"/>
      <c r="BV291" s="19"/>
      <c r="BW291" s="19"/>
      <c r="BX291" s="19"/>
      <c r="BY291" s="19"/>
      <c r="BZ291" s="19"/>
      <c r="CA291" s="19"/>
      <c r="CB291" s="19"/>
      <c r="CC291" s="19"/>
      <c r="CD291" s="19"/>
      <c r="CE291" s="19"/>
      <c r="CF291" s="19"/>
      <c r="CG291" s="19"/>
      <c r="CH291" s="19"/>
      <c r="CI291" s="19"/>
      <c r="CJ291" s="19"/>
      <c r="CK291" s="19"/>
      <c r="CL291" s="19"/>
      <c r="CM291" s="19"/>
      <c r="CN291" s="19"/>
      <c r="CO291" s="19"/>
      <c r="CP291" s="19"/>
      <c r="CQ291" s="19"/>
      <c r="CR291" s="19"/>
      <c r="CS291" s="19"/>
      <c r="CT291" s="19"/>
      <c r="CU291" s="19"/>
      <c r="CV291" s="19"/>
      <c r="CW291" s="19"/>
      <c r="CX291" s="19"/>
      <c r="CY291" s="19"/>
      <c r="CZ291" s="19"/>
      <c r="DA291" s="19"/>
      <c r="DB291" s="19"/>
      <c r="DC291" s="19"/>
      <c r="DD291" s="19"/>
      <c r="DE291" s="19"/>
      <c r="DF291" s="19"/>
      <c r="DG291" s="19"/>
      <c r="DH291" s="19"/>
      <c r="DI291" s="19"/>
      <c r="DJ291" s="19"/>
      <c r="DK291" s="19"/>
      <c r="DL291" s="19"/>
      <c r="DM291" s="19"/>
      <c r="DN291" s="19"/>
      <c r="DO291" s="19"/>
      <c r="DP291" s="19"/>
      <c r="DQ291" s="19"/>
      <c r="DR291" s="19"/>
      <c r="DS291" s="19"/>
      <c r="DT291" s="19"/>
      <c r="DU291" s="19"/>
      <c r="DV291" s="19"/>
      <c r="DW291" s="19"/>
      <c r="DX291" s="19"/>
      <c r="DY291" s="19"/>
      <c r="DZ291" s="19"/>
      <c r="EA291" s="19"/>
      <c r="EB291" s="19"/>
      <c r="EC291" s="19"/>
      <c r="ED291" s="19"/>
      <c r="EE291" s="19"/>
      <c r="EF291" s="19"/>
      <c r="EG291" s="19"/>
      <c r="EH291" s="19"/>
      <c r="EI291" s="19"/>
      <c r="EJ291" s="19"/>
      <c r="EK291" s="19"/>
      <c r="EL291" s="19"/>
      <c r="EM291" s="19"/>
      <c r="EN291" s="19"/>
      <c r="EO291" s="19"/>
      <c r="EP291" s="19"/>
      <c r="EQ291" s="19"/>
      <c r="ER291" s="19"/>
      <c r="ES291" s="19"/>
      <c r="ET291" s="19"/>
      <c r="EU291" s="19"/>
      <c r="EV291" s="19"/>
      <c r="EW291" s="19"/>
      <c r="EX291" s="19"/>
      <c r="EY291" s="19"/>
      <c r="EZ291" s="19"/>
      <c r="FA291" s="19"/>
      <c r="FB291" s="19"/>
      <c r="FC291" s="19"/>
      <c r="FD291" s="19"/>
      <c r="FE291" s="19"/>
      <c r="FF291" s="19"/>
      <c r="FG291" s="19"/>
      <c r="FH291" s="19"/>
      <c r="FI291" s="19"/>
      <c r="FJ291" s="19"/>
      <c r="FK291" s="19"/>
      <c r="FL291" s="19"/>
      <c r="FM291" s="19"/>
      <c r="FN291" s="19"/>
      <c r="FO291" s="19"/>
      <c r="FP291" s="19"/>
      <c r="FQ291" s="19"/>
      <c r="FR291" s="19"/>
      <c r="FS291" s="19"/>
      <c r="FT291" s="19"/>
      <c r="FU291" s="19"/>
      <c r="FV291" s="19"/>
      <c r="FW291" s="19"/>
      <c r="FX291" s="19"/>
      <c r="FY291" s="19"/>
      <c r="FZ291" s="19"/>
      <c r="GA291" s="19"/>
      <c r="GB291" s="19"/>
      <c r="GC291" s="19"/>
      <c r="GD291" s="19"/>
      <c r="GE291" s="19"/>
      <c r="GF291" s="19"/>
      <c r="GG291" s="19"/>
      <c r="GH291" s="19"/>
      <c r="GI291" s="19"/>
      <c r="GJ291" s="19"/>
      <c r="GK291" s="19"/>
      <c r="GL291" s="19"/>
      <c r="GM291" s="19"/>
      <c r="GN291" s="19"/>
      <c r="GO291" s="19"/>
      <c r="GP291" s="19"/>
      <c r="GQ291" s="19"/>
      <c r="GR291" s="19"/>
      <c r="GS291" s="19"/>
      <c r="GT291" s="19"/>
      <c r="GU291" s="19"/>
      <c r="GV291" s="19"/>
      <c r="GW291" s="19"/>
      <c r="GX291" s="19"/>
      <c r="GY291" s="19"/>
      <c r="GZ291" s="19"/>
      <c r="HA291" s="19"/>
      <c r="HB291" s="19"/>
    </row>
    <row r="292" spans="1:210" x14ac:dyDescent="0.25">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c r="BE292" s="19"/>
      <c r="BF292" s="19"/>
      <c r="BG292" s="19"/>
      <c r="BH292" s="19"/>
      <c r="BI292" s="19"/>
      <c r="BJ292" s="19"/>
      <c r="BK292" s="19"/>
      <c r="BL292" s="19"/>
      <c r="BM292" s="19"/>
      <c r="BN292" s="19"/>
      <c r="BO292" s="19"/>
      <c r="BP292" s="19"/>
      <c r="BQ292" s="19"/>
      <c r="BR292" s="19"/>
      <c r="BS292" s="19"/>
      <c r="BT292" s="19"/>
      <c r="BU292" s="19"/>
      <c r="BV292" s="19"/>
      <c r="BW292" s="19"/>
      <c r="BX292" s="19"/>
      <c r="BY292" s="19"/>
      <c r="BZ292" s="19"/>
      <c r="CA292" s="19"/>
      <c r="CB292" s="19"/>
      <c r="CC292" s="19"/>
      <c r="CD292" s="19"/>
      <c r="CE292" s="19"/>
      <c r="CF292" s="19"/>
      <c r="CG292" s="19"/>
      <c r="CH292" s="19"/>
      <c r="CI292" s="19"/>
      <c r="CJ292" s="19"/>
      <c r="CK292" s="19"/>
      <c r="CL292" s="19"/>
      <c r="CM292" s="19"/>
      <c r="CN292" s="19"/>
      <c r="CO292" s="19"/>
      <c r="CP292" s="19"/>
      <c r="CQ292" s="19"/>
      <c r="CR292" s="19"/>
      <c r="CS292" s="19"/>
      <c r="CT292" s="19"/>
      <c r="CU292" s="19"/>
      <c r="CV292" s="19"/>
      <c r="CW292" s="19"/>
      <c r="CX292" s="19"/>
      <c r="CY292" s="19"/>
      <c r="CZ292" s="19"/>
      <c r="DA292" s="19"/>
      <c r="DB292" s="19"/>
      <c r="DC292" s="19"/>
      <c r="DD292" s="19"/>
      <c r="DE292" s="19"/>
      <c r="DF292" s="19"/>
      <c r="DG292" s="19"/>
      <c r="DH292" s="19"/>
      <c r="DI292" s="19"/>
      <c r="DJ292" s="19"/>
      <c r="DK292" s="19"/>
      <c r="DL292" s="19"/>
      <c r="DM292" s="19"/>
      <c r="DN292" s="19"/>
      <c r="DO292" s="19"/>
      <c r="DP292" s="19"/>
      <c r="DQ292" s="19"/>
      <c r="DR292" s="19"/>
      <c r="DS292" s="19"/>
      <c r="DT292" s="19"/>
      <c r="DU292" s="19"/>
      <c r="DV292" s="19"/>
      <c r="DW292" s="19"/>
      <c r="DX292" s="19"/>
      <c r="DY292" s="19"/>
      <c r="DZ292" s="19"/>
      <c r="EA292" s="19"/>
      <c r="EB292" s="19"/>
      <c r="EC292" s="19"/>
      <c r="ED292" s="19"/>
      <c r="EE292" s="19"/>
      <c r="EF292" s="19"/>
      <c r="EG292" s="19"/>
      <c r="EH292" s="19"/>
      <c r="EI292" s="19"/>
      <c r="EJ292" s="19"/>
      <c r="EK292" s="19"/>
      <c r="EL292" s="19"/>
      <c r="EM292" s="19"/>
      <c r="EN292" s="19"/>
      <c r="EO292" s="19"/>
      <c r="EP292" s="19"/>
      <c r="EQ292" s="19"/>
      <c r="ER292" s="19"/>
      <c r="ES292" s="19"/>
      <c r="ET292" s="19"/>
      <c r="EU292" s="19"/>
      <c r="EV292" s="19"/>
      <c r="EW292" s="19"/>
      <c r="EX292" s="19"/>
      <c r="EY292" s="19"/>
      <c r="EZ292" s="19"/>
      <c r="FA292" s="19"/>
      <c r="FB292" s="19"/>
      <c r="FC292" s="19"/>
      <c r="FD292" s="19"/>
      <c r="FE292" s="19"/>
      <c r="FF292" s="19"/>
      <c r="FG292" s="19"/>
      <c r="FH292" s="19"/>
      <c r="FI292" s="19"/>
      <c r="FJ292" s="19"/>
      <c r="FK292" s="19"/>
      <c r="FL292" s="19"/>
      <c r="FM292" s="19"/>
      <c r="FN292" s="19"/>
      <c r="FO292" s="19"/>
      <c r="FP292" s="19"/>
      <c r="FQ292" s="19"/>
      <c r="FR292" s="19"/>
      <c r="FS292" s="19"/>
      <c r="FT292" s="19"/>
      <c r="FU292" s="19"/>
      <c r="FV292" s="19"/>
      <c r="FW292" s="19"/>
      <c r="FX292" s="19"/>
      <c r="FY292" s="19"/>
      <c r="FZ292" s="19"/>
      <c r="GA292" s="19"/>
      <c r="GB292" s="19"/>
      <c r="GC292" s="19"/>
      <c r="GD292" s="19"/>
      <c r="GE292" s="19"/>
      <c r="GF292" s="19"/>
      <c r="GG292" s="19"/>
      <c r="GH292" s="19"/>
      <c r="GI292" s="19"/>
      <c r="GJ292" s="19"/>
      <c r="GK292" s="19"/>
      <c r="GL292" s="19"/>
      <c r="GM292" s="19"/>
      <c r="GN292" s="19"/>
      <c r="GO292" s="19"/>
      <c r="GP292" s="19"/>
      <c r="GQ292" s="19"/>
      <c r="GR292" s="19"/>
      <c r="GS292" s="19"/>
      <c r="GT292" s="19"/>
      <c r="GU292" s="19"/>
      <c r="GV292" s="19"/>
      <c r="GW292" s="19"/>
      <c r="GX292" s="19"/>
      <c r="GY292" s="19"/>
      <c r="GZ292" s="19"/>
      <c r="HA292" s="19"/>
      <c r="HB292" s="19"/>
    </row>
    <row r="293" spans="1:210" x14ac:dyDescent="0.25">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c r="BE293" s="19"/>
      <c r="BF293" s="19"/>
      <c r="BG293" s="19"/>
      <c r="BH293" s="19"/>
      <c r="BI293" s="19"/>
      <c r="BJ293" s="19"/>
      <c r="BK293" s="19"/>
      <c r="BL293" s="19"/>
      <c r="BM293" s="19"/>
      <c r="BN293" s="19"/>
      <c r="BO293" s="19"/>
      <c r="BP293" s="19"/>
      <c r="BQ293" s="19"/>
      <c r="BR293" s="19"/>
      <c r="BS293" s="19"/>
      <c r="BT293" s="19"/>
      <c r="BU293" s="19"/>
      <c r="BV293" s="19"/>
      <c r="BW293" s="19"/>
      <c r="BX293" s="19"/>
      <c r="BY293" s="19"/>
      <c r="BZ293" s="19"/>
      <c r="CA293" s="19"/>
      <c r="CB293" s="19"/>
      <c r="CC293" s="19"/>
      <c r="CD293" s="19"/>
      <c r="CE293" s="19"/>
      <c r="CF293" s="19"/>
      <c r="CG293" s="19"/>
      <c r="CH293" s="19"/>
      <c r="CI293" s="19"/>
      <c r="CJ293" s="19"/>
      <c r="CK293" s="19"/>
      <c r="CL293" s="19"/>
      <c r="CM293" s="19"/>
      <c r="CN293" s="19"/>
      <c r="CO293" s="19"/>
      <c r="CP293" s="19"/>
      <c r="CQ293" s="19"/>
      <c r="CR293" s="19"/>
      <c r="CS293" s="19"/>
      <c r="CT293" s="19"/>
      <c r="CU293" s="19"/>
      <c r="CV293" s="19"/>
      <c r="CW293" s="19"/>
      <c r="CX293" s="19"/>
      <c r="CY293" s="19"/>
      <c r="CZ293" s="19"/>
      <c r="DA293" s="19"/>
      <c r="DB293" s="19"/>
      <c r="DC293" s="19"/>
      <c r="DD293" s="19"/>
      <c r="DE293" s="19"/>
      <c r="DF293" s="19"/>
      <c r="DG293" s="19"/>
      <c r="DH293" s="19"/>
      <c r="DI293" s="19"/>
      <c r="DJ293" s="19"/>
      <c r="DK293" s="19"/>
      <c r="DL293" s="19"/>
      <c r="DM293" s="19"/>
      <c r="DN293" s="19"/>
      <c r="DO293" s="19"/>
      <c r="DP293" s="19"/>
      <c r="DQ293" s="19"/>
      <c r="DR293" s="19"/>
      <c r="DS293" s="19"/>
      <c r="DT293" s="19"/>
      <c r="DU293" s="19"/>
      <c r="DV293" s="19"/>
      <c r="DW293" s="19"/>
      <c r="DX293" s="19"/>
      <c r="DY293" s="19"/>
      <c r="DZ293" s="19"/>
      <c r="EA293" s="19"/>
      <c r="EB293" s="19"/>
      <c r="EC293" s="19"/>
      <c r="ED293" s="19"/>
      <c r="EE293" s="19"/>
      <c r="EF293" s="19"/>
      <c r="EG293" s="19"/>
      <c r="EH293" s="19"/>
      <c r="EI293" s="19"/>
      <c r="EJ293" s="19"/>
      <c r="EK293" s="19"/>
      <c r="EL293" s="19"/>
      <c r="EM293" s="19"/>
      <c r="EN293" s="19"/>
      <c r="EO293" s="19"/>
      <c r="EP293" s="19"/>
      <c r="EQ293" s="19"/>
      <c r="ER293" s="19"/>
      <c r="ES293" s="19"/>
      <c r="ET293" s="19"/>
      <c r="EU293" s="19"/>
      <c r="EV293" s="19"/>
      <c r="EW293" s="19"/>
      <c r="EX293" s="19"/>
      <c r="EY293" s="19"/>
      <c r="EZ293" s="19"/>
      <c r="FA293" s="19"/>
      <c r="FB293" s="19"/>
      <c r="FC293" s="19"/>
      <c r="FD293" s="19"/>
      <c r="FE293" s="19"/>
      <c r="FF293" s="19"/>
      <c r="FG293" s="19"/>
      <c r="FH293" s="19"/>
      <c r="FI293" s="19"/>
      <c r="FJ293" s="19"/>
      <c r="FK293" s="19"/>
      <c r="FL293" s="19"/>
      <c r="FM293" s="19"/>
      <c r="FN293" s="19"/>
      <c r="FO293" s="19"/>
      <c r="FP293" s="19"/>
      <c r="FQ293" s="19"/>
      <c r="FR293" s="19"/>
      <c r="FS293" s="19"/>
      <c r="FT293" s="19"/>
      <c r="FU293" s="19"/>
      <c r="FV293" s="19"/>
      <c r="FW293" s="19"/>
      <c r="FX293" s="19"/>
      <c r="FY293" s="19"/>
      <c r="FZ293" s="19"/>
      <c r="GA293" s="19"/>
      <c r="GB293" s="19"/>
      <c r="GC293" s="19"/>
      <c r="GD293" s="19"/>
      <c r="GE293" s="19"/>
      <c r="GF293" s="19"/>
      <c r="GG293" s="19"/>
      <c r="GH293" s="19"/>
      <c r="GI293" s="19"/>
      <c r="GJ293" s="19"/>
      <c r="GK293" s="19"/>
      <c r="GL293" s="19"/>
      <c r="GM293" s="19"/>
      <c r="GN293" s="19"/>
      <c r="GO293" s="19"/>
      <c r="GP293" s="19"/>
      <c r="GQ293" s="19"/>
      <c r="GR293" s="19"/>
      <c r="GS293" s="19"/>
      <c r="GT293" s="19"/>
      <c r="GU293" s="19"/>
      <c r="GV293" s="19"/>
      <c r="GW293" s="19"/>
      <c r="GX293" s="19"/>
      <c r="GY293" s="19"/>
      <c r="GZ293" s="19"/>
      <c r="HA293" s="19"/>
      <c r="HB293" s="19"/>
    </row>
    <row r="294" spans="1:210" x14ac:dyDescent="0.25">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c r="BE294" s="19"/>
      <c r="BF294" s="19"/>
      <c r="BG294" s="19"/>
      <c r="BH294" s="19"/>
      <c r="BI294" s="19"/>
      <c r="BJ294" s="19"/>
      <c r="BK294" s="19"/>
      <c r="BL294" s="19"/>
      <c r="BM294" s="19"/>
      <c r="BN294" s="19"/>
      <c r="BO294" s="19"/>
      <c r="BP294" s="19"/>
      <c r="BQ294" s="19"/>
      <c r="BR294" s="19"/>
      <c r="BS294" s="19"/>
      <c r="BT294" s="19"/>
      <c r="BU294" s="19"/>
      <c r="BV294" s="19"/>
      <c r="BW294" s="19"/>
      <c r="BX294" s="19"/>
      <c r="BY294" s="19"/>
      <c r="BZ294" s="19"/>
      <c r="CA294" s="19"/>
      <c r="CB294" s="19"/>
      <c r="CC294" s="19"/>
      <c r="CD294" s="19"/>
      <c r="CE294" s="19"/>
      <c r="CF294" s="19"/>
      <c r="CG294" s="19"/>
      <c r="CH294" s="19"/>
      <c r="CI294" s="19"/>
      <c r="CJ294" s="19"/>
      <c r="CK294" s="19"/>
      <c r="CL294" s="19"/>
      <c r="CM294" s="19"/>
      <c r="CN294" s="19"/>
      <c r="CO294" s="19"/>
      <c r="CP294" s="19"/>
      <c r="CQ294" s="19"/>
      <c r="CR294" s="19"/>
      <c r="CS294" s="19"/>
      <c r="CT294" s="19"/>
      <c r="CU294" s="19"/>
      <c r="CV294" s="19"/>
      <c r="CW294" s="19"/>
      <c r="CX294" s="19"/>
      <c r="CY294" s="19"/>
      <c r="CZ294" s="19"/>
      <c r="DA294" s="19"/>
      <c r="DB294" s="19"/>
      <c r="DC294" s="19"/>
      <c r="DD294" s="19"/>
      <c r="DE294" s="19"/>
      <c r="DF294" s="19"/>
      <c r="DG294" s="19"/>
      <c r="DH294" s="19"/>
      <c r="DI294" s="19"/>
      <c r="DJ294" s="19"/>
      <c r="DK294" s="19"/>
      <c r="DL294" s="19"/>
      <c r="DM294" s="19"/>
      <c r="DN294" s="19"/>
      <c r="DO294" s="19"/>
      <c r="DP294" s="19"/>
      <c r="DQ294" s="19"/>
      <c r="DR294" s="19"/>
      <c r="DS294" s="19"/>
      <c r="DT294" s="19"/>
      <c r="DU294" s="19"/>
      <c r="DV294" s="19"/>
      <c r="DW294" s="19"/>
      <c r="DX294" s="19"/>
      <c r="DY294" s="19"/>
      <c r="DZ294" s="19"/>
      <c r="EA294" s="19"/>
      <c r="EB294" s="19"/>
      <c r="EC294" s="19"/>
      <c r="ED294" s="19"/>
      <c r="EE294" s="19"/>
      <c r="EF294" s="19"/>
      <c r="EG294" s="19"/>
      <c r="EH294" s="19"/>
      <c r="EI294" s="19"/>
      <c r="EJ294" s="19"/>
      <c r="EK294" s="19"/>
      <c r="EL294" s="19"/>
      <c r="EM294" s="19"/>
      <c r="EN294" s="19"/>
      <c r="EO294" s="19"/>
      <c r="EP294" s="19"/>
      <c r="EQ294" s="19"/>
      <c r="ER294" s="19"/>
      <c r="ES294" s="19"/>
      <c r="ET294" s="19"/>
      <c r="EU294" s="19"/>
      <c r="EV294" s="19"/>
      <c r="EW294" s="19"/>
      <c r="EX294" s="19"/>
      <c r="EY294" s="19"/>
      <c r="EZ294" s="19"/>
      <c r="FA294" s="19"/>
      <c r="FB294" s="19"/>
      <c r="FC294" s="19"/>
      <c r="FD294" s="19"/>
      <c r="FE294" s="19"/>
      <c r="FF294" s="19"/>
      <c r="FG294" s="19"/>
      <c r="FH294" s="19"/>
      <c r="FI294" s="19"/>
      <c r="FJ294" s="19"/>
      <c r="FK294" s="19"/>
      <c r="FL294" s="19"/>
      <c r="FM294" s="19"/>
      <c r="FN294" s="19"/>
      <c r="FO294" s="19"/>
      <c r="FP294" s="19"/>
      <c r="FQ294" s="19"/>
      <c r="FR294" s="19"/>
      <c r="FS294" s="19"/>
      <c r="FT294" s="19"/>
      <c r="FU294" s="19"/>
      <c r="FV294" s="19"/>
      <c r="FW294" s="19"/>
      <c r="FX294" s="19"/>
      <c r="FY294" s="19"/>
      <c r="FZ294" s="19"/>
      <c r="GA294" s="19"/>
      <c r="GB294" s="19"/>
      <c r="GC294" s="19"/>
      <c r="GD294" s="19"/>
      <c r="GE294" s="19"/>
      <c r="GF294" s="19"/>
      <c r="GG294" s="19"/>
      <c r="GH294" s="19"/>
      <c r="GI294" s="19"/>
      <c r="GJ294" s="19"/>
      <c r="GK294" s="19"/>
      <c r="GL294" s="19"/>
      <c r="GM294" s="19"/>
      <c r="GN294" s="19"/>
      <c r="GO294" s="19"/>
      <c r="GP294" s="19"/>
      <c r="GQ294" s="19"/>
      <c r="GR294" s="19"/>
      <c r="GS294" s="19"/>
      <c r="GT294" s="19"/>
      <c r="GU294" s="19"/>
      <c r="GV294" s="19"/>
      <c r="GW294" s="19"/>
      <c r="GX294" s="19"/>
      <c r="GY294" s="19"/>
      <c r="GZ294" s="19"/>
      <c r="HA294" s="19"/>
      <c r="HB294" s="19"/>
    </row>
    <row r="295" spans="1:210" x14ac:dyDescent="0.25">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c r="BE295" s="19"/>
      <c r="BF295" s="19"/>
      <c r="BG295" s="19"/>
      <c r="BH295" s="19"/>
      <c r="BI295" s="19"/>
      <c r="BJ295" s="19"/>
      <c r="BK295" s="19"/>
      <c r="BL295" s="19"/>
      <c r="BM295" s="19"/>
      <c r="BN295" s="19"/>
      <c r="BO295" s="19"/>
      <c r="BP295" s="19"/>
      <c r="BQ295" s="19"/>
      <c r="BR295" s="19"/>
      <c r="BS295" s="19"/>
      <c r="BT295" s="19"/>
      <c r="BU295" s="19"/>
      <c r="BV295" s="19"/>
      <c r="BW295" s="19"/>
      <c r="BX295" s="19"/>
      <c r="BY295" s="19"/>
      <c r="BZ295" s="19"/>
      <c r="CA295" s="19"/>
      <c r="CB295" s="19"/>
      <c r="CC295" s="19"/>
      <c r="CD295" s="19"/>
      <c r="CE295" s="19"/>
      <c r="CF295" s="19"/>
      <c r="CG295" s="19"/>
      <c r="CH295" s="19"/>
      <c r="CI295" s="19"/>
      <c r="CJ295" s="19"/>
      <c r="CK295" s="19"/>
      <c r="CL295" s="19"/>
      <c r="CM295" s="19"/>
      <c r="CN295" s="19"/>
      <c r="CO295" s="19"/>
      <c r="CP295" s="19"/>
      <c r="CQ295" s="19"/>
      <c r="CR295" s="19"/>
      <c r="CS295" s="19"/>
      <c r="CT295" s="19"/>
      <c r="CU295" s="19"/>
      <c r="CV295" s="19"/>
      <c r="CW295" s="19"/>
      <c r="CX295" s="19"/>
      <c r="CY295" s="19"/>
      <c r="CZ295" s="19"/>
      <c r="DA295" s="19"/>
      <c r="DB295" s="19"/>
      <c r="DC295" s="19"/>
      <c r="DD295" s="19"/>
      <c r="DE295" s="19"/>
      <c r="DF295" s="19"/>
      <c r="DG295" s="19"/>
      <c r="DH295" s="19"/>
      <c r="DI295" s="19"/>
      <c r="DJ295" s="19"/>
      <c r="DK295" s="19"/>
      <c r="DL295" s="19"/>
      <c r="DM295" s="19"/>
      <c r="DN295" s="19"/>
      <c r="DO295" s="19"/>
      <c r="DP295" s="19"/>
      <c r="DQ295" s="19"/>
      <c r="DR295" s="19"/>
      <c r="DS295" s="19"/>
      <c r="DT295" s="19"/>
      <c r="DU295" s="19"/>
      <c r="DV295" s="19"/>
      <c r="DW295" s="19"/>
      <c r="DX295" s="19"/>
      <c r="DY295" s="19"/>
      <c r="DZ295" s="19"/>
      <c r="EA295" s="19"/>
      <c r="EB295" s="19"/>
      <c r="EC295" s="19"/>
      <c r="ED295" s="19"/>
      <c r="EE295" s="19"/>
      <c r="EF295" s="19"/>
      <c r="EG295" s="19"/>
      <c r="EH295" s="19"/>
      <c r="EI295" s="19"/>
      <c r="EJ295" s="19"/>
      <c r="EK295" s="19"/>
      <c r="EL295" s="19"/>
      <c r="EM295" s="19"/>
      <c r="EN295" s="19"/>
      <c r="EO295" s="19"/>
      <c r="EP295" s="19"/>
      <c r="EQ295" s="19"/>
      <c r="ER295" s="19"/>
      <c r="ES295" s="19"/>
      <c r="ET295" s="19"/>
      <c r="EU295" s="19"/>
      <c r="EV295" s="19"/>
      <c r="EW295" s="19"/>
      <c r="EX295" s="19"/>
      <c r="EY295" s="19"/>
      <c r="EZ295" s="19"/>
      <c r="FA295" s="19"/>
      <c r="FB295" s="19"/>
      <c r="FC295" s="19"/>
      <c r="FD295" s="19"/>
      <c r="FE295" s="19"/>
      <c r="FF295" s="19"/>
      <c r="FG295" s="19"/>
      <c r="FH295" s="19"/>
      <c r="FI295" s="19"/>
      <c r="FJ295" s="19"/>
      <c r="FK295" s="19"/>
      <c r="FL295" s="19"/>
      <c r="FM295" s="19"/>
      <c r="FN295" s="19"/>
      <c r="FO295" s="19"/>
      <c r="FP295" s="19"/>
      <c r="FQ295" s="19"/>
      <c r="FR295" s="19"/>
      <c r="FS295" s="19"/>
      <c r="FT295" s="19"/>
      <c r="FU295" s="19"/>
      <c r="FV295" s="19"/>
      <c r="FW295" s="19"/>
      <c r="FX295" s="19"/>
      <c r="FY295" s="19"/>
      <c r="FZ295" s="19"/>
      <c r="GA295" s="19"/>
      <c r="GB295" s="19"/>
      <c r="GC295" s="19"/>
      <c r="GD295" s="19"/>
      <c r="GE295" s="19"/>
      <c r="GF295" s="19"/>
      <c r="GG295" s="19"/>
      <c r="GH295" s="19"/>
      <c r="GI295" s="19"/>
      <c r="GJ295" s="19"/>
      <c r="GK295" s="19"/>
      <c r="GL295" s="19"/>
      <c r="GM295" s="19"/>
      <c r="GN295" s="19"/>
      <c r="GO295" s="19"/>
      <c r="GP295" s="19"/>
      <c r="GQ295" s="19"/>
      <c r="GR295" s="19"/>
      <c r="GS295" s="19"/>
      <c r="GT295" s="19"/>
      <c r="GU295" s="19"/>
      <c r="GV295" s="19"/>
      <c r="GW295" s="19"/>
      <c r="GX295" s="19"/>
      <c r="GY295" s="19"/>
      <c r="GZ295" s="19"/>
      <c r="HA295" s="19"/>
      <c r="HB295" s="19"/>
    </row>
    <row r="296" spans="1:210" x14ac:dyDescent="0.25">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c r="BE296" s="19"/>
      <c r="BF296" s="19"/>
      <c r="BG296" s="19"/>
      <c r="BH296" s="19"/>
      <c r="BI296" s="19"/>
      <c r="BJ296" s="19"/>
      <c r="BK296" s="19"/>
      <c r="BL296" s="19"/>
      <c r="BM296" s="19"/>
      <c r="BN296" s="19"/>
      <c r="BO296" s="19"/>
      <c r="BP296" s="19"/>
      <c r="BQ296" s="19"/>
      <c r="BR296" s="19"/>
      <c r="BS296" s="19"/>
      <c r="BT296" s="19"/>
      <c r="BU296" s="19"/>
      <c r="BV296" s="19"/>
      <c r="BW296" s="19"/>
      <c r="BX296" s="19"/>
      <c r="BY296" s="19"/>
      <c r="BZ296" s="19"/>
      <c r="CA296" s="19"/>
      <c r="CB296" s="19"/>
      <c r="CC296" s="19"/>
      <c r="CD296" s="19"/>
      <c r="CE296" s="19"/>
      <c r="CF296" s="19"/>
      <c r="CG296" s="19"/>
      <c r="CH296" s="19"/>
      <c r="CI296" s="19"/>
      <c r="CJ296" s="19"/>
      <c r="CK296" s="19"/>
      <c r="CL296" s="19"/>
      <c r="CM296" s="19"/>
      <c r="CN296" s="19"/>
      <c r="CO296" s="19"/>
      <c r="CP296" s="19"/>
      <c r="CQ296" s="19"/>
      <c r="CR296" s="19"/>
      <c r="CS296" s="19"/>
      <c r="CT296" s="19"/>
      <c r="CU296" s="19"/>
      <c r="CV296" s="19"/>
      <c r="CW296" s="19"/>
      <c r="CX296" s="19"/>
      <c r="CY296" s="19"/>
      <c r="CZ296" s="19"/>
      <c r="DA296" s="19"/>
      <c r="DB296" s="19"/>
      <c r="DC296" s="19"/>
      <c r="DD296" s="19"/>
      <c r="DE296" s="19"/>
      <c r="DF296" s="19"/>
      <c r="DG296" s="19"/>
      <c r="DH296" s="19"/>
      <c r="DI296" s="19"/>
      <c r="DJ296" s="19"/>
      <c r="DK296" s="19"/>
      <c r="DL296" s="19"/>
      <c r="DM296" s="19"/>
      <c r="DN296" s="19"/>
      <c r="DO296" s="19"/>
      <c r="DP296" s="19"/>
      <c r="DQ296" s="19"/>
      <c r="DR296" s="19"/>
      <c r="DS296" s="19"/>
      <c r="DT296" s="19"/>
      <c r="DU296" s="19"/>
      <c r="DV296" s="19"/>
      <c r="DW296" s="19"/>
      <c r="DX296" s="19"/>
      <c r="DY296" s="19"/>
      <c r="DZ296" s="19"/>
      <c r="EA296" s="19"/>
      <c r="EB296" s="19"/>
      <c r="EC296" s="19"/>
      <c r="ED296" s="19"/>
      <c r="EE296" s="19"/>
      <c r="EF296" s="19"/>
      <c r="EG296" s="19"/>
      <c r="EH296" s="19"/>
      <c r="EI296" s="19"/>
      <c r="EJ296" s="19"/>
      <c r="EK296" s="19"/>
      <c r="EL296" s="19"/>
      <c r="EM296" s="19"/>
      <c r="EN296" s="19"/>
      <c r="EO296" s="19"/>
      <c r="EP296" s="19"/>
      <c r="EQ296" s="19"/>
      <c r="ER296" s="19"/>
      <c r="ES296" s="19"/>
      <c r="ET296" s="19"/>
      <c r="EU296" s="19"/>
      <c r="EV296" s="19"/>
      <c r="EW296" s="19"/>
      <c r="EX296" s="19"/>
      <c r="EY296" s="19"/>
      <c r="EZ296" s="19"/>
      <c r="FA296" s="19"/>
      <c r="FB296" s="19"/>
      <c r="FC296" s="19"/>
      <c r="FD296" s="19"/>
      <c r="FE296" s="19"/>
      <c r="FF296" s="19"/>
      <c r="FG296" s="19"/>
      <c r="FH296" s="19"/>
      <c r="FI296" s="19"/>
      <c r="FJ296" s="19"/>
      <c r="FK296" s="19"/>
      <c r="FL296" s="19"/>
      <c r="FM296" s="19"/>
      <c r="FN296" s="19"/>
      <c r="FO296" s="19"/>
      <c r="FP296" s="19"/>
      <c r="FQ296" s="19"/>
      <c r="FR296" s="19"/>
      <c r="FS296" s="19"/>
      <c r="FT296" s="19"/>
      <c r="FU296" s="19"/>
      <c r="FV296" s="19"/>
      <c r="FW296" s="19"/>
      <c r="FX296" s="19"/>
      <c r="FY296" s="19"/>
      <c r="FZ296" s="19"/>
      <c r="GA296" s="19"/>
      <c r="GB296" s="19"/>
      <c r="GC296" s="19"/>
      <c r="GD296" s="19"/>
      <c r="GE296" s="19"/>
      <c r="GF296" s="19"/>
      <c r="GG296" s="19"/>
      <c r="GH296" s="19"/>
      <c r="GI296" s="19"/>
      <c r="GJ296" s="19"/>
      <c r="GK296" s="19"/>
      <c r="GL296" s="19"/>
      <c r="GM296" s="19"/>
      <c r="GN296" s="19"/>
      <c r="GO296" s="19"/>
      <c r="GP296" s="19"/>
      <c r="GQ296" s="19"/>
      <c r="GR296" s="19"/>
      <c r="GS296" s="19"/>
      <c r="GT296" s="19"/>
      <c r="GU296" s="19"/>
      <c r="GV296" s="19"/>
      <c r="GW296" s="19"/>
      <c r="GX296" s="19"/>
      <c r="GY296" s="19"/>
      <c r="GZ296" s="19"/>
      <c r="HA296" s="19"/>
      <c r="HB296" s="19"/>
    </row>
    <row r="297" spans="1:210" x14ac:dyDescent="0.25">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c r="BE297" s="19"/>
      <c r="BF297" s="19"/>
      <c r="BG297" s="19"/>
      <c r="BH297" s="19"/>
      <c r="BI297" s="19"/>
      <c r="BJ297" s="19"/>
      <c r="BK297" s="19"/>
      <c r="BL297" s="19"/>
      <c r="BM297" s="19"/>
      <c r="BN297" s="19"/>
      <c r="BO297" s="19"/>
      <c r="BP297" s="19"/>
      <c r="BQ297" s="19"/>
      <c r="BR297" s="19"/>
      <c r="BS297" s="19"/>
      <c r="BT297" s="19"/>
      <c r="BU297" s="19"/>
      <c r="BV297" s="19"/>
      <c r="BW297" s="19"/>
      <c r="BX297" s="19"/>
      <c r="BY297" s="19"/>
      <c r="BZ297" s="19"/>
      <c r="CA297" s="19"/>
      <c r="CB297" s="19"/>
      <c r="CC297" s="19"/>
      <c r="CD297" s="19"/>
      <c r="CE297" s="19"/>
      <c r="CF297" s="19"/>
      <c r="CG297" s="19"/>
      <c r="CH297" s="19"/>
      <c r="CI297" s="19"/>
      <c r="CJ297" s="19"/>
      <c r="CK297" s="19"/>
      <c r="CL297" s="19"/>
      <c r="CM297" s="19"/>
      <c r="CN297" s="19"/>
      <c r="CO297" s="19"/>
      <c r="CP297" s="19"/>
      <c r="CQ297" s="19"/>
      <c r="CR297" s="19"/>
      <c r="CS297" s="19"/>
      <c r="CT297" s="19"/>
      <c r="CU297" s="19"/>
      <c r="CV297" s="19"/>
      <c r="CW297" s="19"/>
      <c r="CX297" s="19"/>
      <c r="CY297" s="19"/>
      <c r="CZ297" s="19"/>
      <c r="DA297" s="19"/>
      <c r="DB297" s="19"/>
      <c r="DC297" s="19"/>
      <c r="DD297" s="19"/>
      <c r="DE297" s="19"/>
      <c r="DF297" s="19"/>
      <c r="DG297" s="19"/>
      <c r="DH297" s="19"/>
      <c r="DI297" s="19"/>
      <c r="DJ297" s="19"/>
      <c r="DK297" s="19"/>
      <c r="DL297" s="19"/>
      <c r="DM297" s="19"/>
      <c r="DN297" s="19"/>
      <c r="DO297" s="19"/>
      <c r="DP297" s="19"/>
      <c r="DQ297" s="19"/>
      <c r="DR297" s="19"/>
      <c r="DS297" s="19"/>
      <c r="DT297" s="19"/>
      <c r="DU297" s="19"/>
      <c r="DV297" s="19"/>
      <c r="DW297" s="19"/>
      <c r="DX297" s="19"/>
      <c r="DY297" s="19"/>
      <c r="DZ297" s="19"/>
      <c r="EA297" s="19"/>
      <c r="EB297" s="19"/>
      <c r="EC297" s="19"/>
      <c r="ED297" s="19"/>
      <c r="EE297" s="19"/>
      <c r="EF297" s="19"/>
      <c r="EG297" s="19"/>
      <c r="EH297" s="19"/>
      <c r="EI297" s="19"/>
      <c r="EJ297" s="19"/>
      <c r="EK297" s="19"/>
      <c r="EL297" s="19"/>
      <c r="EM297" s="19"/>
      <c r="EN297" s="19"/>
      <c r="EO297" s="19"/>
      <c r="EP297" s="19"/>
      <c r="EQ297" s="19"/>
      <c r="ER297" s="19"/>
      <c r="ES297" s="19"/>
      <c r="ET297" s="19"/>
      <c r="EU297" s="19"/>
      <c r="EV297" s="19"/>
      <c r="EW297" s="19"/>
      <c r="EX297" s="19"/>
      <c r="EY297" s="19"/>
      <c r="EZ297" s="19"/>
      <c r="FA297" s="19"/>
      <c r="FB297" s="19"/>
      <c r="FC297" s="19"/>
      <c r="FD297" s="19"/>
      <c r="FE297" s="19"/>
      <c r="FF297" s="19"/>
      <c r="FG297" s="19"/>
      <c r="FH297" s="19"/>
      <c r="FI297" s="19"/>
      <c r="FJ297" s="19"/>
      <c r="FK297" s="19"/>
      <c r="FL297" s="19"/>
      <c r="FM297" s="19"/>
      <c r="FN297" s="19"/>
      <c r="FO297" s="19"/>
      <c r="FP297" s="19"/>
      <c r="FQ297" s="19"/>
      <c r="FR297" s="19"/>
      <c r="FS297" s="19"/>
      <c r="FT297" s="19"/>
      <c r="FU297" s="19"/>
      <c r="FV297" s="19"/>
      <c r="FW297" s="19"/>
      <c r="FX297" s="19"/>
      <c r="FY297" s="19"/>
      <c r="FZ297" s="19"/>
      <c r="GA297" s="19"/>
      <c r="GB297" s="19"/>
      <c r="GC297" s="19"/>
      <c r="GD297" s="19"/>
      <c r="GE297" s="19"/>
      <c r="GF297" s="19"/>
      <c r="GG297" s="19"/>
      <c r="GH297" s="19"/>
      <c r="GI297" s="19"/>
      <c r="GJ297" s="19"/>
      <c r="GK297" s="19"/>
      <c r="GL297" s="19"/>
      <c r="GM297" s="19"/>
      <c r="GN297" s="19"/>
      <c r="GO297" s="19"/>
      <c r="GP297" s="19"/>
      <c r="GQ297" s="19"/>
      <c r="GR297" s="19"/>
      <c r="GS297" s="19"/>
      <c r="GT297" s="19"/>
      <c r="GU297" s="19"/>
      <c r="GV297" s="19"/>
      <c r="GW297" s="19"/>
      <c r="GX297" s="19"/>
      <c r="GY297" s="19"/>
      <c r="GZ297" s="19"/>
      <c r="HA297" s="19"/>
      <c r="HB297" s="19"/>
    </row>
    <row r="298" spans="1:210" x14ac:dyDescent="0.25">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c r="BE298" s="19"/>
      <c r="BF298" s="19"/>
      <c r="BG298" s="19"/>
      <c r="BH298" s="19"/>
      <c r="BI298" s="19"/>
      <c r="BJ298" s="19"/>
      <c r="BK298" s="19"/>
      <c r="BL298" s="19"/>
      <c r="BM298" s="19"/>
      <c r="BN298" s="19"/>
      <c r="BO298" s="19"/>
      <c r="BP298" s="19"/>
      <c r="BQ298" s="19"/>
      <c r="BR298" s="19"/>
      <c r="BS298" s="19"/>
      <c r="BT298" s="19"/>
      <c r="BU298" s="19"/>
      <c r="BV298" s="19"/>
      <c r="BW298" s="19"/>
      <c r="BX298" s="19"/>
      <c r="BY298" s="19"/>
      <c r="BZ298" s="19"/>
      <c r="CA298" s="19"/>
      <c r="CB298" s="19"/>
      <c r="CC298" s="19"/>
      <c r="CD298" s="19"/>
      <c r="CE298" s="19"/>
      <c r="CF298" s="19"/>
      <c r="CG298" s="19"/>
      <c r="CH298" s="19"/>
      <c r="CI298" s="19"/>
      <c r="CJ298" s="19"/>
      <c r="CK298" s="19"/>
      <c r="CL298" s="19"/>
      <c r="CM298" s="19"/>
      <c r="CN298" s="19"/>
      <c r="CO298" s="19"/>
      <c r="CP298" s="19"/>
      <c r="CQ298" s="19"/>
      <c r="CR298" s="19"/>
      <c r="CS298" s="19"/>
      <c r="CT298" s="19"/>
      <c r="CU298" s="19"/>
      <c r="CV298" s="19"/>
      <c r="CW298" s="19"/>
      <c r="CX298" s="19"/>
      <c r="CY298" s="19"/>
      <c r="CZ298" s="19"/>
      <c r="DA298" s="19"/>
      <c r="DB298" s="19"/>
      <c r="DC298" s="19"/>
      <c r="DD298" s="19"/>
      <c r="DE298" s="19"/>
      <c r="DF298" s="19"/>
      <c r="DG298" s="19"/>
      <c r="DH298" s="19"/>
      <c r="DI298" s="19"/>
      <c r="DJ298" s="19"/>
      <c r="DK298" s="19"/>
      <c r="DL298" s="19"/>
      <c r="DM298" s="19"/>
      <c r="DN298" s="19"/>
      <c r="DO298" s="19"/>
      <c r="DP298" s="19"/>
      <c r="DQ298" s="19"/>
      <c r="DR298" s="19"/>
      <c r="DS298" s="19"/>
      <c r="DT298" s="19"/>
      <c r="DU298" s="19"/>
      <c r="DV298" s="19"/>
      <c r="DW298" s="19"/>
      <c r="DX298" s="19"/>
      <c r="DY298" s="19"/>
      <c r="DZ298" s="19"/>
      <c r="EA298" s="19"/>
      <c r="EB298" s="19"/>
      <c r="EC298" s="19"/>
      <c r="ED298" s="19"/>
      <c r="EE298" s="19"/>
      <c r="EF298" s="19"/>
      <c r="EG298" s="19"/>
      <c r="EH298" s="19"/>
      <c r="EI298" s="19"/>
      <c r="EJ298" s="19"/>
      <c r="EK298" s="19"/>
      <c r="EL298" s="19"/>
      <c r="EM298" s="19"/>
      <c r="EN298" s="19"/>
      <c r="EO298" s="19"/>
      <c r="EP298" s="19"/>
      <c r="EQ298" s="19"/>
      <c r="ER298" s="19"/>
      <c r="ES298" s="19"/>
      <c r="ET298" s="19"/>
      <c r="EU298" s="19"/>
      <c r="EV298" s="19"/>
      <c r="EW298" s="19"/>
      <c r="EX298" s="19"/>
      <c r="EY298" s="19"/>
      <c r="EZ298" s="19"/>
      <c r="FA298" s="19"/>
      <c r="FB298" s="19"/>
      <c r="FC298" s="19"/>
      <c r="FD298" s="19"/>
      <c r="FE298" s="19"/>
      <c r="FF298" s="19"/>
      <c r="FG298" s="19"/>
      <c r="FH298" s="19"/>
      <c r="FI298" s="19"/>
      <c r="FJ298" s="19"/>
      <c r="FK298" s="19"/>
      <c r="FL298" s="19"/>
      <c r="FM298" s="19"/>
      <c r="FN298" s="19"/>
      <c r="FO298" s="19"/>
      <c r="FP298" s="19"/>
      <c r="FQ298" s="19"/>
      <c r="FR298" s="19"/>
      <c r="FS298" s="19"/>
      <c r="FT298" s="19"/>
      <c r="FU298" s="19"/>
      <c r="FV298" s="19"/>
      <c r="FW298" s="19"/>
      <c r="FX298" s="19"/>
      <c r="FY298" s="19"/>
      <c r="FZ298" s="19"/>
      <c r="GA298" s="19"/>
      <c r="GB298" s="19"/>
      <c r="GC298" s="19"/>
      <c r="GD298" s="19"/>
      <c r="GE298" s="19"/>
      <c r="GF298" s="19"/>
      <c r="GG298" s="19"/>
      <c r="GH298" s="19"/>
      <c r="GI298" s="19"/>
      <c r="GJ298" s="19"/>
      <c r="GK298" s="19"/>
      <c r="GL298" s="19"/>
      <c r="GM298" s="19"/>
      <c r="GN298" s="19"/>
      <c r="GO298" s="19"/>
      <c r="GP298" s="19"/>
      <c r="GQ298" s="19"/>
      <c r="GR298" s="19"/>
      <c r="GS298" s="19"/>
      <c r="GT298" s="19"/>
      <c r="GU298" s="19"/>
      <c r="GV298" s="19"/>
      <c r="GW298" s="19"/>
      <c r="GX298" s="19"/>
      <c r="GY298" s="19"/>
      <c r="GZ298" s="19"/>
      <c r="HA298" s="19"/>
      <c r="HB298" s="19"/>
    </row>
    <row r="299" spans="1:210" x14ac:dyDescent="0.25">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c r="BE299" s="19"/>
      <c r="BF299" s="19"/>
      <c r="BG299" s="19"/>
      <c r="BH299" s="19"/>
      <c r="BI299" s="19"/>
      <c r="BJ299" s="19"/>
      <c r="BK299" s="19"/>
      <c r="BL299" s="19"/>
      <c r="BM299" s="19"/>
      <c r="BN299" s="19"/>
      <c r="BO299" s="19"/>
      <c r="BP299" s="19"/>
      <c r="BQ299" s="19"/>
      <c r="BR299" s="19"/>
      <c r="BS299" s="19"/>
      <c r="BT299" s="19"/>
      <c r="BU299" s="19"/>
      <c r="BV299" s="19"/>
      <c r="BW299" s="19"/>
      <c r="BX299" s="19"/>
      <c r="BY299" s="19"/>
      <c r="BZ299" s="19"/>
      <c r="CA299" s="19"/>
      <c r="CB299" s="19"/>
      <c r="CC299" s="19"/>
      <c r="CD299" s="19"/>
      <c r="CE299" s="19"/>
      <c r="CF299" s="19"/>
      <c r="CG299" s="19"/>
      <c r="CH299" s="19"/>
      <c r="CI299" s="19"/>
      <c r="CJ299" s="19"/>
      <c r="CK299" s="19"/>
      <c r="CL299" s="19"/>
      <c r="CM299" s="19"/>
      <c r="CN299" s="19"/>
      <c r="CO299" s="19"/>
      <c r="CP299" s="19"/>
      <c r="CQ299" s="19"/>
      <c r="CR299" s="19"/>
      <c r="CS299" s="19"/>
      <c r="CT299" s="19"/>
      <c r="CU299" s="19"/>
      <c r="CV299" s="19"/>
      <c r="CW299" s="19"/>
      <c r="CX299" s="19"/>
      <c r="CY299" s="19"/>
      <c r="CZ299" s="19"/>
      <c r="DA299" s="19"/>
      <c r="DB299" s="19"/>
      <c r="DC299" s="19"/>
      <c r="DD299" s="19"/>
      <c r="DE299" s="19"/>
      <c r="DF299" s="19"/>
      <c r="DG299" s="19"/>
      <c r="DH299" s="19"/>
      <c r="DI299" s="19"/>
      <c r="DJ299" s="19"/>
      <c r="DK299" s="19"/>
      <c r="DL299" s="19"/>
      <c r="DM299" s="19"/>
      <c r="DN299" s="19"/>
      <c r="DO299" s="19"/>
      <c r="DP299" s="19"/>
      <c r="DQ299" s="19"/>
      <c r="DR299" s="19"/>
      <c r="DS299" s="19"/>
      <c r="DT299" s="19"/>
      <c r="DU299" s="19"/>
      <c r="DV299" s="19"/>
      <c r="DW299" s="19"/>
      <c r="DX299" s="19"/>
      <c r="DY299" s="19"/>
      <c r="DZ299" s="19"/>
      <c r="EA299" s="19"/>
      <c r="EB299" s="19"/>
      <c r="EC299" s="19"/>
      <c r="ED299" s="19"/>
      <c r="EE299" s="19"/>
      <c r="EF299" s="19"/>
      <c r="EG299" s="19"/>
      <c r="EH299" s="19"/>
      <c r="EI299" s="19"/>
      <c r="EJ299" s="19"/>
      <c r="EK299" s="19"/>
      <c r="EL299" s="19"/>
      <c r="EM299" s="19"/>
      <c r="EN299" s="19"/>
      <c r="EO299" s="19"/>
      <c r="EP299" s="19"/>
      <c r="EQ299" s="19"/>
      <c r="ER299" s="19"/>
      <c r="ES299" s="19"/>
      <c r="ET299" s="19"/>
      <c r="EU299" s="19"/>
      <c r="EV299" s="19"/>
      <c r="EW299" s="19"/>
      <c r="EX299" s="19"/>
      <c r="EY299" s="19"/>
      <c r="EZ299" s="19"/>
      <c r="FA299" s="19"/>
      <c r="FB299" s="19"/>
      <c r="FC299" s="19"/>
      <c r="FD299" s="19"/>
      <c r="FE299" s="19"/>
      <c r="FF299" s="19"/>
      <c r="FG299" s="19"/>
      <c r="FH299" s="19"/>
      <c r="FI299" s="19"/>
      <c r="FJ299" s="19"/>
      <c r="FK299" s="19"/>
      <c r="FL299" s="19"/>
      <c r="FM299" s="19"/>
      <c r="FN299" s="19"/>
      <c r="FO299" s="19"/>
      <c r="FP299" s="19"/>
      <c r="FQ299" s="19"/>
      <c r="FR299" s="19"/>
      <c r="FS299" s="19"/>
      <c r="FT299" s="19"/>
      <c r="FU299" s="19"/>
      <c r="FV299" s="19"/>
      <c r="FW299" s="19"/>
      <c r="FX299" s="19"/>
      <c r="FY299" s="19"/>
      <c r="FZ299" s="19"/>
      <c r="GA299" s="19"/>
      <c r="GB299" s="19"/>
      <c r="GC299" s="19"/>
      <c r="GD299" s="19"/>
      <c r="GE299" s="19"/>
      <c r="GF299" s="19"/>
      <c r="GG299" s="19"/>
      <c r="GH299" s="19"/>
      <c r="GI299" s="19"/>
      <c r="GJ299" s="19"/>
      <c r="GK299" s="19"/>
      <c r="GL299" s="19"/>
      <c r="GM299" s="19"/>
      <c r="GN299" s="19"/>
      <c r="GO299" s="19"/>
      <c r="GP299" s="19"/>
      <c r="GQ299" s="19"/>
      <c r="GR299" s="19"/>
      <c r="GS299" s="19"/>
      <c r="GT299" s="19"/>
      <c r="GU299" s="19"/>
      <c r="GV299" s="19"/>
      <c r="GW299" s="19"/>
      <c r="GX299" s="19"/>
      <c r="GY299" s="19"/>
      <c r="GZ299" s="19"/>
      <c r="HA299" s="19"/>
      <c r="HB299" s="19"/>
    </row>
    <row r="300" spans="1:210" x14ac:dyDescent="0.25">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c r="BE300" s="19"/>
      <c r="BF300" s="19"/>
      <c r="BG300" s="19"/>
      <c r="BH300" s="19"/>
      <c r="BI300" s="19"/>
      <c r="BJ300" s="19"/>
      <c r="BK300" s="19"/>
      <c r="BL300" s="19"/>
      <c r="BM300" s="19"/>
      <c r="BN300" s="19"/>
      <c r="BO300" s="19"/>
      <c r="BP300" s="19"/>
      <c r="BQ300" s="19"/>
      <c r="BR300" s="19"/>
      <c r="BS300" s="19"/>
      <c r="BT300" s="19"/>
      <c r="BU300" s="19"/>
      <c r="BV300" s="19"/>
      <c r="BW300" s="19"/>
      <c r="BX300" s="19"/>
      <c r="BY300" s="19"/>
      <c r="BZ300" s="19"/>
      <c r="CA300" s="19"/>
      <c r="CB300" s="19"/>
      <c r="CC300" s="19"/>
      <c r="CD300" s="19"/>
      <c r="CE300" s="19"/>
      <c r="CF300" s="19"/>
      <c r="CG300" s="19"/>
      <c r="CH300" s="19"/>
      <c r="CI300" s="19"/>
      <c r="CJ300" s="19"/>
      <c r="CK300" s="19"/>
      <c r="CL300" s="19"/>
      <c r="CM300" s="19"/>
      <c r="CN300" s="19"/>
      <c r="CO300" s="19"/>
      <c r="CP300" s="19"/>
      <c r="CQ300" s="19"/>
      <c r="CR300" s="19"/>
      <c r="CS300" s="19"/>
      <c r="CT300" s="19"/>
      <c r="CU300" s="19"/>
      <c r="CV300" s="19"/>
      <c r="CW300" s="19"/>
      <c r="CX300" s="19"/>
      <c r="CY300" s="19"/>
      <c r="CZ300" s="19"/>
      <c r="DA300" s="19"/>
      <c r="DB300" s="19"/>
      <c r="DC300" s="19"/>
      <c r="DD300" s="19"/>
      <c r="DE300" s="19"/>
      <c r="DF300" s="19"/>
      <c r="DG300" s="19"/>
      <c r="DH300" s="19"/>
      <c r="DI300" s="19"/>
      <c r="DJ300" s="19"/>
      <c r="DK300" s="19"/>
      <c r="DL300" s="19"/>
      <c r="DM300" s="19"/>
      <c r="DN300" s="19"/>
      <c r="DO300" s="19"/>
      <c r="DP300" s="19"/>
      <c r="DQ300" s="19"/>
      <c r="DR300" s="19"/>
      <c r="DS300" s="19"/>
      <c r="DT300" s="19"/>
      <c r="DU300" s="19"/>
      <c r="DV300" s="19"/>
      <c r="DW300" s="19"/>
      <c r="DX300" s="19"/>
      <c r="DY300" s="19"/>
      <c r="DZ300" s="19"/>
      <c r="EA300" s="19"/>
      <c r="EB300" s="19"/>
      <c r="EC300" s="19"/>
      <c r="ED300" s="19"/>
      <c r="EE300" s="19"/>
      <c r="EF300" s="19"/>
      <c r="EG300" s="19"/>
      <c r="EH300" s="19"/>
      <c r="EI300" s="19"/>
      <c r="EJ300" s="19"/>
      <c r="EK300" s="19"/>
      <c r="EL300" s="19"/>
      <c r="EM300" s="19"/>
      <c r="EN300" s="19"/>
      <c r="EO300" s="19"/>
      <c r="EP300" s="19"/>
      <c r="EQ300" s="19"/>
      <c r="ER300" s="19"/>
      <c r="ES300" s="19"/>
      <c r="ET300" s="19"/>
      <c r="EU300" s="19"/>
      <c r="EV300" s="19"/>
      <c r="EW300" s="19"/>
      <c r="EX300" s="19"/>
      <c r="EY300" s="19"/>
      <c r="EZ300" s="19"/>
      <c r="FA300" s="19"/>
      <c r="FB300" s="19"/>
      <c r="FC300" s="19"/>
      <c r="FD300" s="19"/>
      <c r="FE300" s="19"/>
      <c r="FF300" s="19"/>
      <c r="FG300" s="19"/>
      <c r="FH300" s="19"/>
      <c r="FI300" s="19"/>
      <c r="FJ300" s="19"/>
      <c r="FK300" s="19"/>
      <c r="FL300" s="19"/>
      <c r="FM300" s="19"/>
      <c r="FN300" s="19"/>
      <c r="FO300" s="19"/>
      <c r="FP300" s="19"/>
      <c r="FQ300" s="19"/>
      <c r="FR300" s="19"/>
      <c r="FS300" s="19"/>
      <c r="FT300" s="19"/>
      <c r="FU300" s="19"/>
      <c r="FV300" s="19"/>
      <c r="FW300" s="19"/>
      <c r="FX300" s="19"/>
      <c r="FY300" s="19"/>
      <c r="FZ300" s="19"/>
      <c r="GA300" s="19"/>
      <c r="GB300" s="19"/>
      <c r="GC300" s="19"/>
      <c r="GD300" s="19"/>
      <c r="GE300" s="19"/>
      <c r="GF300" s="19"/>
      <c r="GG300" s="19"/>
      <c r="GH300" s="19"/>
      <c r="GI300" s="19"/>
      <c r="GJ300" s="19"/>
      <c r="GK300" s="19"/>
      <c r="GL300" s="19"/>
      <c r="GM300" s="19"/>
      <c r="GN300" s="19"/>
      <c r="GO300" s="19"/>
      <c r="GP300" s="19"/>
      <c r="GQ300" s="19"/>
      <c r="GR300" s="19"/>
      <c r="GS300" s="19"/>
      <c r="GT300" s="19"/>
      <c r="GU300" s="19"/>
      <c r="GV300" s="19"/>
      <c r="GW300" s="19"/>
      <c r="GX300" s="19"/>
      <c r="GY300" s="19"/>
      <c r="GZ300" s="19"/>
      <c r="HA300" s="19"/>
      <c r="HB300" s="19"/>
    </row>
    <row r="301" spans="1:210" x14ac:dyDescent="0.25">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c r="BE301" s="19"/>
      <c r="BF301" s="19"/>
      <c r="BG301" s="19"/>
      <c r="BH301" s="19"/>
      <c r="BI301" s="19"/>
      <c r="BJ301" s="19"/>
      <c r="BK301" s="19"/>
      <c r="BL301" s="19"/>
      <c r="BM301" s="19"/>
      <c r="BN301" s="19"/>
      <c r="BO301" s="19"/>
      <c r="BP301" s="19"/>
      <c r="BQ301" s="19"/>
      <c r="BR301" s="19"/>
      <c r="BS301" s="19"/>
      <c r="BT301" s="19"/>
      <c r="BU301" s="19"/>
      <c r="BV301" s="19"/>
      <c r="BW301" s="19"/>
      <c r="BX301" s="19"/>
      <c r="BY301" s="19"/>
      <c r="BZ301" s="19"/>
      <c r="CA301" s="19"/>
      <c r="CB301" s="19"/>
      <c r="CC301" s="19"/>
      <c r="CD301" s="19"/>
      <c r="CE301" s="19"/>
      <c r="CF301" s="19"/>
      <c r="CG301" s="19"/>
      <c r="CH301" s="19"/>
      <c r="CI301" s="19"/>
      <c r="CJ301" s="19"/>
      <c r="CK301" s="19"/>
      <c r="CL301" s="19"/>
      <c r="CM301" s="19"/>
      <c r="CN301" s="19"/>
      <c r="CO301" s="19"/>
      <c r="CP301" s="19"/>
      <c r="CQ301" s="19"/>
      <c r="CR301" s="19"/>
      <c r="CS301" s="19"/>
      <c r="CT301" s="19"/>
      <c r="CU301" s="19"/>
      <c r="CV301" s="19"/>
      <c r="CW301" s="19"/>
      <c r="CX301" s="19"/>
      <c r="CY301" s="19"/>
      <c r="CZ301" s="19"/>
      <c r="DA301" s="19"/>
      <c r="DB301" s="19"/>
      <c r="DC301" s="19"/>
      <c r="DD301" s="19"/>
      <c r="DE301" s="19"/>
      <c r="DF301" s="19"/>
      <c r="DG301" s="19"/>
      <c r="DH301" s="19"/>
      <c r="DI301" s="19"/>
      <c r="DJ301" s="19"/>
      <c r="DK301" s="19"/>
      <c r="DL301" s="19"/>
      <c r="DM301" s="19"/>
      <c r="DN301" s="19"/>
      <c r="DO301" s="19"/>
      <c r="DP301" s="19"/>
      <c r="DQ301" s="19"/>
      <c r="DR301" s="19"/>
      <c r="DS301" s="19"/>
      <c r="DT301" s="19"/>
      <c r="DU301" s="19"/>
      <c r="DV301" s="19"/>
      <c r="DW301" s="19"/>
      <c r="DX301" s="19"/>
      <c r="DY301" s="19"/>
      <c r="DZ301" s="19"/>
      <c r="EA301" s="19"/>
      <c r="EB301" s="19"/>
      <c r="EC301" s="19"/>
      <c r="ED301" s="19"/>
      <c r="EE301" s="19"/>
      <c r="EF301" s="19"/>
      <c r="EG301" s="19"/>
      <c r="EH301" s="19"/>
      <c r="EI301" s="19"/>
      <c r="EJ301" s="19"/>
      <c r="EK301" s="19"/>
      <c r="EL301" s="19"/>
      <c r="EM301" s="19"/>
      <c r="EN301" s="19"/>
      <c r="EO301" s="19"/>
      <c r="EP301" s="19"/>
      <c r="EQ301" s="19"/>
      <c r="ER301" s="19"/>
      <c r="ES301" s="19"/>
      <c r="ET301" s="19"/>
      <c r="EU301" s="19"/>
      <c r="EV301" s="19"/>
      <c r="EW301" s="19"/>
      <c r="EX301" s="19"/>
      <c r="EY301" s="19"/>
      <c r="EZ301" s="19"/>
      <c r="FA301" s="19"/>
      <c r="FB301" s="19"/>
      <c r="FC301" s="19"/>
      <c r="FD301" s="19"/>
      <c r="FE301" s="19"/>
      <c r="FF301" s="19"/>
      <c r="FG301" s="19"/>
      <c r="FH301" s="19"/>
      <c r="FI301" s="19"/>
      <c r="FJ301" s="19"/>
      <c r="FK301" s="19"/>
      <c r="FL301" s="19"/>
      <c r="FM301" s="19"/>
      <c r="FN301" s="19"/>
      <c r="FO301" s="19"/>
      <c r="FP301" s="19"/>
      <c r="FQ301" s="19"/>
      <c r="FR301" s="19"/>
      <c r="FS301" s="19"/>
      <c r="FT301" s="19"/>
      <c r="FU301" s="19"/>
      <c r="FV301" s="19"/>
      <c r="FW301" s="19"/>
      <c r="FX301" s="19"/>
      <c r="FY301" s="19"/>
      <c r="FZ301" s="19"/>
      <c r="GA301" s="19"/>
      <c r="GB301" s="19"/>
      <c r="GC301" s="19"/>
      <c r="GD301" s="19"/>
      <c r="GE301" s="19"/>
      <c r="GF301" s="19"/>
      <c r="GG301" s="19"/>
      <c r="GH301" s="19"/>
      <c r="GI301" s="19"/>
      <c r="GJ301" s="19"/>
      <c r="GK301" s="19"/>
      <c r="GL301" s="19"/>
      <c r="GM301" s="19"/>
      <c r="GN301" s="19"/>
      <c r="GO301" s="19"/>
      <c r="GP301" s="19"/>
      <c r="GQ301" s="19"/>
      <c r="GR301" s="19"/>
      <c r="GS301" s="19"/>
      <c r="GT301" s="19"/>
      <c r="GU301" s="19"/>
      <c r="GV301" s="19"/>
      <c r="GW301" s="19"/>
      <c r="GX301" s="19"/>
      <c r="GY301" s="19"/>
      <c r="GZ301" s="19"/>
      <c r="HA301" s="19"/>
      <c r="HB301" s="19"/>
    </row>
    <row r="302" spans="1:210" x14ac:dyDescent="0.25">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c r="BE302" s="19"/>
      <c r="BF302" s="19"/>
      <c r="BG302" s="19"/>
      <c r="BH302" s="19"/>
      <c r="BI302" s="19"/>
      <c r="BJ302" s="19"/>
      <c r="BK302" s="19"/>
      <c r="BL302" s="19"/>
      <c r="BM302" s="19"/>
      <c r="BN302" s="19"/>
      <c r="BO302" s="19"/>
      <c r="BP302" s="19"/>
      <c r="BQ302" s="19"/>
      <c r="BR302" s="19"/>
      <c r="BS302" s="19"/>
      <c r="BT302" s="19"/>
      <c r="BU302" s="19"/>
      <c r="BV302" s="19"/>
      <c r="BW302" s="19"/>
      <c r="BX302" s="19"/>
      <c r="BY302" s="19"/>
      <c r="BZ302" s="19"/>
      <c r="CA302" s="19"/>
      <c r="CB302" s="19"/>
      <c r="CC302" s="19"/>
      <c r="CD302" s="19"/>
      <c r="CE302" s="19"/>
      <c r="CF302" s="19"/>
      <c r="CG302" s="19"/>
      <c r="CH302" s="19"/>
      <c r="CI302" s="19"/>
      <c r="CJ302" s="19"/>
      <c r="CK302" s="19"/>
      <c r="CL302" s="19"/>
      <c r="CM302" s="19"/>
      <c r="CN302" s="19"/>
      <c r="CO302" s="19"/>
      <c r="CP302" s="19"/>
      <c r="CQ302" s="19"/>
      <c r="CR302" s="19"/>
      <c r="CS302" s="19"/>
      <c r="CT302" s="19"/>
      <c r="CU302" s="19"/>
      <c r="CV302" s="19"/>
      <c r="CW302" s="19"/>
      <c r="CX302" s="19"/>
      <c r="CY302" s="19"/>
      <c r="CZ302" s="19"/>
      <c r="DA302" s="19"/>
      <c r="DB302" s="19"/>
      <c r="DC302" s="19"/>
      <c r="DD302" s="19"/>
      <c r="DE302" s="19"/>
      <c r="DF302" s="19"/>
      <c r="DG302" s="19"/>
      <c r="DH302" s="19"/>
      <c r="DI302" s="19"/>
      <c r="DJ302" s="19"/>
      <c r="DK302" s="19"/>
      <c r="DL302" s="19"/>
      <c r="DM302" s="19"/>
      <c r="DN302" s="19"/>
      <c r="DO302" s="19"/>
      <c r="DP302" s="19"/>
      <c r="DQ302" s="19"/>
      <c r="DR302" s="19"/>
      <c r="DS302" s="19"/>
      <c r="DT302" s="19"/>
      <c r="DU302" s="19"/>
      <c r="DV302" s="19"/>
      <c r="DW302" s="19"/>
      <c r="DX302" s="19"/>
      <c r="DY302" s="19"/>
      <c r="DZ302" s="19"/>
      <c r="EA302" s="19"/>
      <c r="EB302" s="19"/>
      <c r="EC302" s="19"/>
      <c r="ED302" s="19"/>
      <c r="EE302" s="19"/>
      <c r="EF302" s="19"/>
      <c r="EG302" s="19"/>
      <c r="EH302" s="19"/>
      <c r="EI302" s="19"/>
      <c r="EJ302" s="19"/>
      <c r="EK302" s="19"/>
      <c r="EL302" s="19"/>
      <c r="EM302" s="19"/>
      <c r="EN302" s="19"/>
      <c r="EO302" s="19"/>
      <c r="EP302" s="19"/>
      <c r="EQ302" s="19"/>
      <c r="ER302" s="19"/>
      <c r="ES302" s="19"/>
      <c r="ET302" s="19"/>
      <c r="EU302" s="19"/>
      <c r="EV302" s="19"/>
      <c r="EW302" s="19"/>
      <c r="EX302" s="19"/>
      <c r="EY302" s="19"/>
      <c r="EZ302" s="19"/>
      <c r="FA302" s="19"/>
      <c r="FB302" s="19"/>
      <c r="FC302" s="19"/>
      <c r="FD302" s="19"/>
      <c r="FE302" s="19"/>
      <c r="FF302" s="19"/>
      <c r="FG302" s="19"/>
      <c r="FH302" s="19"/>
      <c r="FI302" s="19"/>
      <c r="FJ302" s="19"/>
      <c r="FK302" s="19"/>
      <c r="FL302" s="19"/>
      <c r="FM302" s="19"/>
      <c r="FN302" s="19"/>
      <c r="FO302" s="19"/>
      <c r="FP302" s="19"/>
      <c r="FQ302" s="19"/>
      <c r="FR302" s="19"/>
      <c r="FS302" s="19"/>
      <c r="FT302" s="19"/>
      <c r="FU302" s="19"/>
      <c r="FV302" s="19"/>
      <c r="FW302" s="19"/>
      <c r="FX302" s="19"/>
      <c r="FY302" s="19"/>
      <c r="FZ302" s="19"/>
      <c r="GA302" s="19"/>
      <c r="GB302" s="19"/>
      <c r="GC302" s="19"/>
      <c r="GD302" s="19"/>
      <c r="GE302" s="19"/>
      <c r="GF302" s="19"/>
      <c r="GG302" s="19"/>
      <c r="GH302" s="19"/>
      <c r="GI302" s="19"/>
      <c r="GJ302" s="19"/>
      <c r="GK302" s="19"/>
      <c r="GL302" s="19"/>
      <c r="GM302" s="19"/>
      <c r="GN302" s="19"/>
      <c r="GO302" s="19"/>
      <c r="GP302" s="19"/>
      <c r="GQ302" s="19"/>
      <c r="GR302" s="19"/>
      <c r="GS302" s="19"/>
      <c r="GT302" s="19"/>
      <c r="GU302" s="19"/>
      <c r="GV302" s="19"/>
      <c r="GW302" s="19"/>
      <c r="GX302" s="19"/>
      <c r="GY302" s="19"/>
      <c r="GZ302" s="19"/>
      <c r="HA302" s="19"/>
      <c r="HB302" s="19"/>
    </row>
    <row r="303" spans="1:210" x14ac:dyDescent="0.25">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c r="BE303" s="19"/>
      <c r="BF303" s="19"/>
      <c r="BG303" s="19"/>
      <c r="BH303" s="19"/>
      <c r="BI303" s="19"/>
      <c r="BJ303" s="19"/>
      <c r="BK303" s="19"/>
      <c r="BL303" s="19"/>
      <c r="BM303" s="19"/>
      <c r="BN303" s="19"/>
      <c r="BO303" s="19"/>
      <c r="BP303" s="19"/>
      <c r="BQ303" s="19"/>
      <c r="BR303" s="19"/>
      <c r="BS303" s="19"/>
      <c r="BT303" s="19"/>
      <c r="BU303" s="19"/>
      <c r="BV303" s="19"/>
      <c r="BW303" s="19"/>
      <c r="BX303" s="19"/>
      <c r="BY303" s="19"/>
      <c r="BZ303" s="19"/>
      <c r="CA303" s="19"/>
      <c r="CB303" s="19"/>
      <c r="CC303" s="19"/>
      <c r="CD303" s="19"/>
      <c r="CE303" s="19"/>
      <c r="CF303" s="19"/>
      <c r="CG303" s="19"/>
      <c r="CH303" s="19"/>
      <c r="CI303" s="19"/>
      <c r="CJ303" s="19"/>
      <c r="CK303" s="19"/>
      <c r="CL303" s="19"/>
      <c r="CM303" s="19"/>
      <c r="CN303" s="19"/>
      <c r="CO303" s="19"/>
      <c r="CP303" s="19"/>
      <c r="CQ303" s="19"/>
      <c r="CR303" s="19"/>
      <c r="CS303" s="19"/>
      <c r="CT303" s="19"/>
      <c r="CU303" s="19"/>
      <c r="CV303" s="19"/>
      <c r="CW303" s="19"/>
      <c r="CX303" s="19"/>
      <c r="CY303" s="19"/>
      <c r="CZ303" s="19"/>
      <c r="DA303" s="19"/>
      <c r="DB303" s="19"/>
      <c r="DC303" s="19"/>
      <c r="DD303" s="19"/>
      <c r="DE303" s="19"/>
      <c r="DF303" s="19"/>
      <c r="DG303" s="19"/>
      <c r="DH303" s="19"/>
      <c r="DI303" s="19"/>
      <c r="DJ303" s="19"/>
      <c r="DK303" s="19"/>
      <c r="DL303" s="19"/>
      <c r="DM303" s="19"/>
      <c r="DN303" s="19"/>
      <c r="DO303" s="19"/>
      <c r="DP303" s="19"/>
      <c r="DQ303" s="19"/>
      <c r="DR303" s="19"/>
      <c r="DS303" s="19"/>
      <c r="DT303" s="19"/>
      <c r="DU303" s="19"/>
      <c r="DV303" s="19"/>
      <c r="DW303" s="19"/>
      <c r="DX303" s="19"/>
      <c r="DY303" s="19"/>
      <c r="DZ303" s="19"/>
      <c r="EA303" s="19"/>
      <c r="EB303" s="19"/>
      <c r="EC303" s="19"/>
      <c r="ED303" s="19"/>
      <c r="EE303" s="19"/>
      <c r="EF303" s="19"/>
      <c r="EG303" s="19"/>
      <c r="EH303" s="19"/>
      <c r="EI303" s="19"/>
      <c r="EJ303" s="19"/>
      <c r="EK303" s="19"/>
      <c r="EL303" s="19"/>
      <c r="EM303" s="19"/>
      <c r="EN303" s="19"/>
      <c r="EO303" s="19"/>
      <c r="EP303" s="19"/>
      <c r="EQ303" s="19"/>
      <c r="ER303" s="19"/>
      <c r="ES303" s="19"/>
      <c r="ET303" s="19"/>
      <c r="EU303" s="19"/>
      <c r="EV303" s="19"/>
      <c r="EW303" s="19"/>
      <c r="EX303" s="19"/>
      <c r="EY303" s="19"/>
      <c r="EZ303" s="19"/>
      <c r="FA303" s="19"/>
      <c r="FB303" s="19"/>
      <c r="FC303" s="19"/>
      <c r="FD303" s="19"/>
      <c r="FE303" s="19"/>
      <c r="FF303" s="19"/>
      <c r="FG303" s="19"/>
      <c r="FH303" s="19"/>
      <c r="FI303" s="19"/>
      <c r="FJ303" s="19"/>
      <c r="FK303" s="19"/>
      <c r="FL303" s="19"/>
      <c r="FM303" s="19"/>
      <c r="FN303" s="19"/>
      <c r="FO303" s="19"/>
      <c r="FP303" s="19"/>
      <c r="FQ303" s="19"/>
      <c r="FR303" s="19"/>
      <c r="FS303" s="19"/>
      <c r="FT303" s="19"/>
      <c r="FU303" s="19"/>
      <c r="FV303" s="19"/>
      <c r="FW303" s="19"/>
      <c r="FX303" s="19"/>
      <c r="FY303" s="19"/>
      <c r="FZ303" s="19"/>
      <c r="GA303" s="19"/>
      <c r="GB303" s="19"/>
      <c r="GC303" s="19"/>
      <c r="GD303" s="19"/>
      <c r="GE303" s="19"/>
      <c r="GF303" s="19"/>
      <c r="GG303" s="19"/>
      <c r="GH303" s="19"/>
      <c r="GI303" s="19"/>
      <c r="GJ303" s="19"/>
      <c r="GK303" s="19"/>
      <c r="GL303" s="19"/>
      <c r="GM303" s="19"/>
      <c r="GN303" s="19"/>
      <c r="GO303" s="19"/>
      <c r="GP303" s="19"/>
      <c r="GQ303" s="19"/>
      <c r="GR303" s="19"/>
      <c r="GS303" s="19"/>
      <c r="GT303" s="19"/>
      <c r="GU303" s="19"/>
      <c r="GV303" s="19"/>
      <c r="GW303" s="19"/>
      <c r="GX303" s="19"/>
      <c r="GY303" s="19"/>
      <c r="GZ303" s="19"/>
      <c r="HA303" s="19"/>
      <c r="HB303" s="19"/>
    </row>
    <row r="304" spans="1:210" x14ac:dyDescent="0.25">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c r="BE304" s="19"/>
      <c r="BF304" s="19"/>
      <c r="BG304" s="19"/>
      <c r="BH304" s="19"/>
      <c r="BI304" s="19"/>
      <c r="BJ304" s="19"/>
      <c r="BK304" s="19"/>
      <c r="BL304" s="19"/>
      <c r="BM304" s="19"/>
      <c r="BN304" s="19"/>
      <c r="BO304" s="19"/>
      <c r="BP304" s="19"/>
      <c r="BQ304" s="19"/>
      <c r="BR304" s="19"/>
      <c r="BS304" s="19"/>
      <c r="BT304" s="19"/>
      <c r="BU304" s="19"/>
      <c r="BV304" s="19"/>
      <c r="BW304" s="19"/>
      <c r="BX304" s="19"/>
      <c r="BY304" s="19"/>
      <c r="BZ304" s="19"/>
      <c r="CA304" s="19"/>
      <c r="CB304" s="19"/>
      <c r="CC304" s="19"/>
      <c r="CD304" s="19"/>
      <c r="CE304" s="19"/>
      <c r="CF304" s="19"/>
      <c r="CG304" s="19"/>
      <c r="CH304" s="19"/>
      <c r="CI304" s="19"/>
      <c r="CJ304" s="19"/>
      <c r="CK304" s="19"/>
      <c r="CL304" s="19"/>
      <c r="CM304" s="19"/>
      <c r="CN304" s="19"/>
      <c r="CO304" s="19"/>
      <c r="CP304" s="19"/>
      <c r="CQ304" s="19"/>
      <c r="CR304" s="19"/>
      <c r="CS304" s="19"/>
      <c r="CT304" s="19"/>
      <c r="CU304" s="19"/>
      <c r="CV304" s="19"/>
      <c r="CW304" s="19"/>
      <c r="CX304" s="19"/>
      <c r="CY304" s="19"/>
      <c r="CZ304" s="19"/>
      <c r="DA304" s="19"/>
      <c r="DB304" s="19"/>
      <c r="DC304" s="19"/>
      <c r="DD304" s="19"/>
      <c r="DE304" s="19"/>
      <c r="DF304" s="19"/>
      <c r="DG304" s="19"/>
      <c r="DH304" s="19"/>
      <c r="DI304" s="19"/>
      <c r="DJ304" s="19"/>
      <c r="DK304" s="19"/>
      <c r="DL304" s="19"/>
      <c r="DM304" s="19"/>
      <c r="DN304" s="19"/>
      <c r="DO304" s="19"/>
      <c r="DP304" s="19"/>
      <c r="DQ304" s="19"/>
      <c r="DR304" s="19"/>
      <c r="DS304" s="19"/>
      <c r="DT304" s="19"/>
      <c r="DU304" s="19"/>
      <c r="DV304" s="19"/>
      <c r="DW304" s="19"/>
      <c r="DX304" s="19"/>
      <c r="DY304" s="19"/>
      <c r="DZ304" s="19"/>
      <c r="EA304" s="19"/>
      <c r="EB304" s="19"/>
      <c r="EC304" s="19"/>
      <c r="ED304" s="19"/>
      <c r="EE304" s="19"/>
      <c r="EF304" s="19"/>
      <c r="EG304" s="19"/>
      <c r="EH304" s="19"/>
      <c r="EI304" s="19"/>
      <c r="EJ304" s="19"/>
      <c r="EK304" s="19"/>
      <c r="EL304" s="19"/>
      <c r="EM304" s="19"/>
      <c r="EN304" s="19"/>
      <c r="EO304" s="19"/>
      <c r="EP304" s="19"/>
      <c r="EQ304" s="19"/>
      <c r="ER304" s="19"/>
      <c r="ES304" s="19"/>
      <c r="ET304" s="19"/>
      <c r="EU304" s="19"/>
      <c r="EV304" s="19"/>
      <c r="EW304" s="19"/>
      <c r="EX304" s="19"/>
      <c r="EY304" s="19"/>
      <c r="EZ304" s="19"/>
      <c r="FA304" s="19"/>
      <c r="FB304" s="19"/>
      <c r="FC304" s="19"/>
      <c r="FD304" s="19"/>
      <c r="FE304" s="19"/>
      <c r="FF304" s="19"/>
      <c r="FG304" s="19"/>
      <c r="FH304" s="19"/>
      <c r="FI304" s="19"/>
      <c r="FJ304" s="19"/>
      <c r="FK304" s="19"/>
      <c r="FL304" s="19"/>
      <c r="FM304" s="19"/>
      <c r="FN304" s="19"/>
      <c r="FO304" s="19"/>
      <c r="FP304" s="19"/>
      <c r="FQ304" s="19"/>
      <c r="FR304" s="19"/>
      <c r="FS304" s="19"/>
      <c r="FT304" s="19"/>
      <c r="FU304" s="19"/>
      <c r="FV304" s="19"/>
      <c r="FW304" s="19"/>
      <c r="FX304" s="19"/>
      <c r="FY304" s="19"/>
      <c r="FZ304" s="19"/>
      <c r="GA304" s="19"/>
      <c r="GB304" s="19"/>
      <c r="GC304" s="19"/>
      <c r="GD304" s="19"/>
      <c r="GE304" s="19"/>
      <c r="GF304" s="19"/>
      <c r="GG304" s="19"/>
      <c r="GH304" s="19"/>
      <c r="GI304" s="19"/>
      <c r="GJ304" s="19"/>
      <c r="GK304" s="19"/>
      <c r="GL304" s="19"/>
      <c r="GM304" s="19"/>
      <c r="GN304" s="19"/>
      <c r="GO304" s="19"/>
      <c r="GP304" s="19"/>
      <c r="GQ304" s="19"/>
      <c r="GR304" s="19"/>
      <c r="GS304" s="19"/>
      <c r="GT304" s="19"/>
      <c r="GU304" s="19"/>
      <c r="GV304" s="19"/>
      <c r="GW304" s="19"/>
      <c r="GX304" s="19"/>
      <c r="GY304" s="19"/>
      <c r="GZ304" s="19"/>
      <c r="HA304" s="19"/>
      <c r="HB304" s="19"/>
    </row>
    <row r="305" spans="1:210" x14ac:dyDescent="0.25">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c r="BE305" s="19"/>
      <c r="BF305" s="19"/>
      <c r="BG305" s="19"/>
      <c r="BH305" s="19"/>
      <c r="BI305" s="19"/>
      <c r="BJ305" s="19"/>
      <c r="BK305" s="19"/>
      <c r="BL305" s="19"/>
      <c r="BM305" s="19"/>
      <c r="BN305" s="19"/>
      <c r="BO305" s="19"/>
      <c r="BP305" s="19"/>
      <c r="BQ305" s="19"/>
      <c r="BR305" s="19"/>
      <c r="BS305" s="19"/>
      <c r="BT305" s="19"/>
      <c r="BU305" s="19"/>
      <c r="BV305" s="19"/>
      <c r="BW305" s="19"/>
      <c r="BX305" s="19"/>
      <c r="BY305" s="19"/>
      <c r="BZ305" s="19"/>
      <c r="CA305" s="19"/>
      <c r="CB305" s="19"/>
      <c r="CC305" s="19"/>
      <c r="CD305" s="19"/>
      <c r="CE305" s="19"/>
      <c r="CF305" s="19"/>
      <c r="CG305" s="19"/>
      <c r="CH305" s="19"/>
      <c r="CI305" s="19"/>
      <c r="CJ305" s="19"/>
      <c r="CK305" s="19"/>
      <c r="CL305" s="19"/>
      <c r="CM305" s="19"/>
      <c r="CN305" s="19"/>
      <c r="CO305" s="19"/>
      <c r="CP305" s="19"/>
      <c r="CQ305" s="19"/>
      <c r="CR305" s="19"/>
      <c r="CS305" s="19"/>
      <c r="CT305" s="19"/>
      <c r="CU305" s="19"/>
      <c r="CV305" s="19"/>
      <c r="CW305" s="19"/>
      <c r="CX305" s="19"/>
      <c r="CY305" s="19"/>
      <c r="CZ305" s="19"/>
      <c r="DA305" s="19"/>
      <c r="DB305" s="19"/>
      <c r="DC305" s="19"/>
      <c r="DD305" s="19"/>
      <c r="DE305" s="19"/>
      <c r="DF305" s="19"/>
      <c r="DG305" s="19"/>
      <c r="DH305" s="19"/>
      <c r="DI305" s="19"/>
      <c r="DJ305" s="19"/>
      <c r="DK305" s="19"/>
      <c r="DL305" s="19"/>
      <c r="DM305" s="19"/>
      <c r="DN305" s="19"/>
      <c r="DO305" s="19"/>
      <c r="DP305" s="19"/>
      <c r="DQ305" s="19"/>
      <c r="DR305" s="19"/>
      <c r="DS305" s="19"/>
      <c r="DT305" s="19"/>
      <c r="DU305" s="19"/>
      <c r="DV305" s="19"/>
      <c r="DW305" s="19"/>
      <c r="DX305" s="19"/>
      <c r="DY305" s="19"/>
      <c r="DZ305" s="19"/>
      <c r="EA305" s="19"/>
      <c r="EB305" s="19"/>
      <c r="EC305" s="19"/>
      <c r="ED305" s="19"/>
      <c r="EE305" s="19"/>
      <c r="EF305" s="19"/>
      <c r="EG305" s="19"/>
      <c r="EH305" s="19"/>
      <c r="EI305" s="19"/>
      <c r="EJ305" s="19"/>
      <c r="EK305" s="19"/>
      <c r="EL305" s="19"/>
      <c r="EM305" s="19"/>
      <c r="EN305" s="19"/>
      <c r="EO305" s="19"/>
      <c r="EP305" s="19"/>
      <c r="EQ305" s="19"/>
      <c r="ER305" s="19"/>
      <c r="ES305" s="19"/>
      <c r="ET305" s="19"/>
      <c r="EU305" s="19"/>
      <c r="EV305" s="19"/>
      <c r="EW305" s="19"/>
      <c r="EX305" s="19"/>
      <c r="EY305" s="19"/>
      <c r="EZ305" s="19"/>
      <c r="FA305" s="19"/>
      <c r="FB305" s="19"/>
      <c r="FC305" s="19"/>
      <c r="FD305" s="19"/>
      <c r="FE305" s="19"/>
      <c r="FF305" s="19"/>
      <c r="FG305" s="19"/>
      <c r="FH305" s="19"/>
      <c r="FI305" s="19"/>
      <c r="FJ305" s="19"/>
      <c r="FK305" s="19"/>
      <c r="FL305" s="19"/>
      <c r="FM305" s="19"/>
      <c r="FN305" s="19"/>
      <c r="FO305" s="19"/>
      <c r="FP305" s="19"/>
      <c r="FQ305" s="19"/>
      <c r="FR305" s="19"/>
      <c r="FS305" s="19"/>
      <c r="FT305" s="19"/>
      <c r="FU305" s="19"/>
      <c r="FV305" s="19"/>
      <c r="FW305" s="19"/>
      <c r="FX305" s="19"/>
      <c r="FY305" s="19"/>
      <c r="FZ305" s="19"/>
      <c r="GA305" s="19"/>
      <c r="GB305" s="19"/>
      <c r="GC305" s="19"/>
      <c r="GD305" s="19"/>
      <c r="GE305" s="19"/>
      <c r="GF305" s="19"/>
      <c r="GG305" s="19"/>
      <c r="GH305" s="19"/>
      <c r="GI305" s="19"/>
      <c r="GJ305" s="19"/>
      <c r="GK305" s="19"/>
      <c r="GL305" s="19"/>
      <c r="GM305" s="19"/>
      <c r="GN305" s="19"/>
      <c r="GO305" s="19"/>
      <c r="GP305" s="19"/>
      <c r="GQ305" s="19"/>
      <c r="GR305" s="19"/>
      <c r="GS305" s="19"/>
      <c r="GT305" s="19"/>
      <c r="GU305" s="19"/>
      <c r="GV305" s="19"/>
      <c r="GW305" s="19"/>
      <c r="GX305" s="19"/>
      <c r="GY305" s="19"/>
      <c r="GZ305" s="19"/>
      <c r="HA305" s="19"/>
      <c r="HB305" s="19"/>
    </row>
    <row r="306" spans="1:210" x14ac:dyDescent="0.25">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c r="BE306" s="19"/>
      <c r="BF306" s="19"/>
      <c r="BG306" s="19"/>
      <c r="BH306" s="19"/>
      <c r="BI306" s="19"/>
      <c r="BJ306" s="19"/>
      <c r="BK306" s="19"/>
      <c r="BL306" s="19"/>
      <c r="BM306" s="19"/>
      <c r="BN306" s="19"/>
      <c r="BO306" s="19"/>
      <c r="BP306" s="19"/>
      <c r="BQ306" s="19"/>
      <c r="BR306" s="19"/>
      <c r="BS306" s="19"/>
      <c r="BT306" s="19"/>
      <c r="BU306" s="19"/>
      <c r="BV306" s="19"/>
      <c r="BW306" s="19"/>
      <c r="BX306" s="19"/>
      <c r="BY306" s="19"/>
      <c r="BZ306" s="19"/>
      <c r="CA306" s="19"/>
      <c r="CB306" s="19"/>
      <c r="CC306" s="19"/>
      <c r="CD306" s="19"/>
      <c r="CE306" s="19"/>
      <c r="CF306" s="19"/>
      <c r="CG306" s="19"/>
      <c r="CH306" s="19"/>
      <c r="CI306" s="19"/>
      <c r="CJ306" s="19"/>
      <c r="CK306" s="19"/>
      <c r="CL306" s="19"/>
      <c r="CM306" s="19"/>
      <c r="CN306" s="19"/>
      <c r="CO306" s="19"/>
      <c r="CP306" s="19"/>
      <c r="CQ306" s="19"/>
      <c r="CR306" s="19"/>
      <c r="CS306" s="19"/>
      <c r="CT306" s="19"/>
      <c r="CU306" s="19"/>
      <c r="CV306" s="19"/>
      <c r="CW306" s="19"/>
      <c r="CX306" s="19"/>
      <c r="CY306" s="19"/>
      <c r="CZ306" s="19"/>
      <c r="DA306" s="19"/>
      <c r="DB306" s="19"/>
      <c r="DC306" s="19"/>
      <c r="DD306" s="19"/>
      <c r="DE306" s="19"/>
      <c r="DF306" s="19"/>
      <c r="DG306" s="19"/>
      <c r="DH306" s="19"/>
      <c r="DI306" s="19"/>
      <c r="DJ306" s="19"/>
      <c r="DK306" s="19"/>
      <c r="DL306" s="19"/>
      <c r="DM306" s="19"/>
      <c r="DN306" s="19"/>
      <c r="DO306" s="19"/>
      <c r="DP306" s="19"/>
      <c r="DQ306" s="19"/>
      <c r="DR306" s="19"/>
      <c r="DS306" s="19"/>
      <c r="DT306" s="19"/>
      <c r="DU306" s="19"/>
      <c r="DV306" s="19"/>
      <c r="DW306" s="19"/>
      <c r="DX306" s="19"/>
      <c r="DY306" s="19"/>
      <c r="DZ306" s="19"/>
      <c r="EA306" s="19"/>
      <c r="EB306" s="19"/>
      <c r="EC306" s="19"/>
      <c r="ED306" s="19"/>
      <c r="EE306" s="19"/>
      <c r="EF306" s="19"/>
      <c r="EG306" s="19"/>
      <c r="EH306" s="19"/>
      <c r="EI306" s="19"/>
      <c r="EJ306" s="19"/>
      <c r="EK306" s="19"/>
      <c r="EL306" s="19"/>
      <c r="EM306" s="19"/>
      <c r="EN306" s="19"/>
      <c r="EO306" s="19"/>
      <c r="EP306" s="19"/>
      <c r="EQ306" s="19"/>
      <c r="ER306" s="19"/>
      <c r="ES306" s="19"/>
      <c r="ET306" s="19"/>
      <c r="EU306" s="19"/>
      <c r="EV306" s="19"/>
      <c r="EW306" s="19"/>
      <c r="EX306" s="19"/>
      <c r="EY306" s="19"/>
      <c r="EZ306" s="19"/>
      <c r="FA306" s="19"/>
      <c r="FB306" s="19"/>
      <c r="FC306" s="19"/>
      <c r="FD306" s="19"/>
      <c r="FE306" s="19"/>
      <c r="FF306" s="19"/>
      <c r="FG306" s="19"/>
      <c r="FH306" s="19"/>
      <c r="FI306" s="19"/>
      <c r="FJ306" s="19"/>
      <c r="FK306" s="19"/>
      <c r="FL306" s="19"/>
      <c r="FM306" s="19"/>
      <c r="FN306" s="19"/>
      <c r="FO306" s="19"/>
      <c r="FP306" s="19"/>
      <c r="FQ306" s="19"/>
      <c r="FR306" s="19"/>
      <c r="FS306" s="19"/>
      <c r="FT306" s="19"/>
      <c r="FU306" s="19"/>
      <c r="FV306" s="19"/>
      <c r="FW306" s="19"/>
      <c r="FX306" s="19"/>
      <c r="FY306" s="19"/>
      <c r="FZ306" s="19"/>
      <c r="GA306" s="19"/>
      <c r="GB306" s="19"/>
      <c r="GC306" s="19"/>
      <c r="GD306" s="19"/>
      <c r="GE306" s="19"/>
      <c r="GF306" s="19"/>
      <c r="GG306" s="19"/>
      <c r="GH306" s="19"/>
      <c r="GI306" s="19"/>
      <c r="GJ306" s="19"/>
      <c r="GK306" s="19"/>
      <c r="GL306" s="19"/>
      <c r="GM306" s="19"/>
      <c r="GN306" s="19"/>
      <c r="GO306" s="19"/>
      <c r="GP306" s="19"/>
      <c r="GQ306" s="19"/>
      <c r="GR306" s="19"/>
      <c r="GS306" s="19"/>
      <c r="GT306" s="19"/>
      <c r="GU306" s="19"/>
      <c r="GV306" s="19"/>
      <c r="GW306" s="19"/>
      <c r="GX306" s="19"/>
      <c r="GY306" s="19"/>
      <c r="GZ306" s="19"/>
      <c r="HA306" s="19"/>
      <c r="HB306" s="19"/>
    </row>
    <row r="307" spans="1:210" x14ac:dyDescent="0.25">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c r="BE307" s="19"/>
      <c r="BF307" s="19"/>
      <c r="BG307" s="19"/>
      <c r="BH307" s="19"/>
      <c r="BI307" s="19"/>
      <c r="BJ307" s="19"/>
      <c r="BK307" s="19"/>
      <c r="BL307" s="19"/>
      <c r="BM307" s="19"/>
      <c r="BN307" s="19"/>
      <c r="BO307" s="19"/>
      <c r="BP307" s="19"/>
      <c r="BQ307" s="19"/>
      <c r="BR307" s="19"/>
      <c r="BS307" s="19"/>
      <c r="BT307" s="19"/>
      <c r="BU307" s="19"/>
      <c r="BV307" s="19"/>
      <c r="BW307" s="19"/>
      <c r="BX307" s="19"/>
      <c r="BY307" s="19"/>
      <c r="BZ307" s="19"/>
      <c r="CA307" s="19"/>
      <c r="CB307" s="19"/>
      <c r="CC307" s="19"/>
      <c r="CD307" s="19"/>
      <c r="CE307" s="19"/>
      <c r="CF307" s="19"/>
      <c r="CG307" s="19"/>
      <c r="CH307" s="19"/>
      <c r="CI307" s="19"/>
      <c r="CJ307" s="19"/>
      <c r="CK307" s="19"/>
      <c r="CL307" s="19"/>
      <c r="CM307" s="19"/>
      <c r="CN307" s="19"/>
      <c r="CO307" s="19"/>
      <c r="CP307" s="19"/>
      <c r="CQ307" s="19"/>
      <c r="CR307" s="19"/>
      <c r="CS307" s="19"/>
      <c r="CT307" s="19"/>
      <c r="CU307" s="19"/>
      <c r="CV307" s="19"/>
      <c r="CW307" s="19"/>
      <c r="CX307" s="19"/>
      <c r="CY307" s="19"/>
      <c r="CZ307" s="19"/>
      <c r="DA307" s="19"/>
      <c r="DB307" s="19"/>
      <c r="DC307" s="19"/>
      <c r="DD307" s="19"/>
      <c r="DE307" s="19"/>
      <c r="DF307" s="19"/>
      <c r="DG307" s="19"/>
      <c r="DH307" s="19"/>
      <c r="DI307" s="19"/>
      <c r="DJ307" s="19"/>
      <c r="DK307" s="19"/>
      <c r="DL307" s="19"/>
      <c r="DM307" s="19"/>
      <c r="DN307" s="19"/>
      <c r="DO307" s="19"/>
      <c r="DP307" s="19"/>
      <c r="DQ307" s="19"/>
      <c r="DR307" s="19"/>
      <c r="DS307" s="19"/>
      <c r="DT307" s="19"/>
      <c r="DU307" s="19"/>
      <c r="DV307" s="19"/>
      <c r="DW307" s="19"/>
      <c r="DX307" s="19"/>
      <c r="DY307" s="19"/>
      <c r="DZ307" s="19"/>
      <c r="EA307" s="19"/>
      <c r="EB307" s="19"/>
      <c r="EC307" s="19"/>
      <c r="ED307" s="19"/>
      <c r="EE307" s="19"/>
      <c r="EF307" s="19"/>
      <c r="EG307" s="19"/>
      <c r="EH307" s="19"/>
      <c r="EI307" s="19"/>
      <c r="EJ307" s="19"/>
      <c r="EK307" s="19"/>
      <c r="EL307" s="19"/>
      <c r="EM307" s="19"/>
      <c r="EN307" s="19"/>
      <c r="EO307" s="19"/>
      <c r="EP307" s="19"/>
      <c r="EQ307" s="19"/>
      <c r="ER307" s="19"/>
      <c r="ES307" s="19"/>
      <c r="ET307" s="19"/>
      <c r="EU307" s="19"/>
      <c r="EV307" s="19"/>
      <c r="EW307" s="19"/>
      <c r="EX307" s="19"/>
      <c r="EY307" s="19"/>
      <c r="EZ307" s="19"/>
      <c r="FA307" s="19"/>
      <c r="FB307" s="19"/>
      <c r="FC307" s="19"/>
      <c r="FD307" s="19"/>
      <c r="FE307" s="19"/>
      <c r="FF307" s="19"/>
      <c r="FG307" s="19"/>
      <c r="FH307" s="19"/>
      <c r="FI307" s="19"/>
      <c r="FJ307" s="19"/>
      <c r="FK307" s="19"/>
      <c r="FL307" s="19"/>
      <c r="FM307" s="19"/>
      <c r="FN307" s="19"/>
      <c r="FO307" s="19"/>
      <c r="FP307" s="19"/>
      <c r="FQ307" s="19"/>
      <c r="FR307" s="19"/>
      <c r="FS307" s="19"/>
      <c r="FT307" s="19"/>
      <c r="FU307" s="19"/>
      <c r="FV307" s="19"/>
      <c r="FW307" s="19"/>
      <c r="FX307" s="19"/>
      <c r="FY307" s="19"/>
      <c r="FZ307" s="19"/>
      <c r="GA307" s="19"/>
      <c r="GB307" s="19"/>
      <c r="GC307" s="19"/>
      <c r="GD307" s="19"/>
      <c r="GE307" s="19"/>
      <c r="GF307" s="19"/>
      <c r="GG307" s="19"/>
      <c r="GH307" s="19"/>
      <c r="GI307" s="19"/>
      <c r="GJ307" s="19"/>
      <c r="GK307" s="19"/>
      <c r="GL307" s="19"/>
      <c r="GM307" s="19"/>
      <c r="GN307" s="19"/>
      <c r="GO307" s="19"/>
      <c r="GP307" s="19"/>
      <c r="GQ307" s="19"/>
      <c r="GR307" s="19"/>
      <c r="GS307" s="19"/>
      <c r="GT307" s="19"/>
      <c r="GU307" s="19"/>
      <c r="GV307" s="19"/>
      <c r="GW307" s="19"/>
      <c r="GX307" s="19"/>
      <c r="GY307" s="19"/>
      <c r="GZ307" s="19"/>
      <c r="HA307" s="19"/>
      <c r="HB307" s="19"/>
    </row>
    <row r="308" spans="1:210" x14ac:dyDescent="0.25">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c r="BE308" s="19"/>
      <c r="BF308" s="19"/>
      <c r="BG308" s="19"/>
      <c r="BH308" s="19"/>
      <c r="BI308" s="19"/>
      <c r="BJ308" s="19"/>
      <c r="BK308" s="19"/>
      <c r="BL308" s="19"/>
      <c r="BM308" s="19"/>
      <c r="BN308" s="19"/>
      <c r="BO308" s="19"/>
      <c r="BP308" s="19"/>
      <c r="BQ308" s="19"/>
      <c r="BR308" s="19"/>
      <c r="BS308" s="19"/>
      <c r="BT308" s="19"/>
      <c r="BU308" s="19"/>
      <c r="BV308" s="19"/>
      <c r="BW308" s="19"/>
      <c r="BX308" s="19"/>
      <c r="BY308" s="19"/>
      <c r="BZ308" s="19"/>
      <c r="CA308" s="19"/>
      <c r="CB308" s="19"/>
      <c r="CC308" s="19"/>
      <c r="CD308" s="19"/>
      <c r="CE308" s="19"/>
      <c r="CF308" s="19"/>
      <c r="CG308" s="19"/>
      <c r="CH308" s="19"/>
      <c r="CI308" s="19"/>
      <c r="CJ308" s="19"/>
      <c r="CK308" s="19"/>
      <c r="CL308" s="19"/>
      <c r="CM308" s="19"/>
      <c r="CN308" s="19"/>
      <c r="CO308" s="19"/>
      <c r="CP308" s="19"/>
      <c r="CQ308" s="19"/>
      <c r="CR308" s="19"/>
      <c r="CS308" s="19"/>
      <c r="CT308" s="19"/>
      <c r="CU308" s="19"/>
      <c r="CV308" s="19"/>
      <c r="CW308" s="19"/>
      <c r="CX308" s="19"/>
      <c r="CY308" s="19"/>
      <c r="CZ308" s="19"/>
      <c r="DA308" s="19"/>
      <c r="DB308" s="19"/>
      <c r="DC308" s="19"/>
      <c r="DD308" s="19"/>
      <c r="DE308" s="19"/>
      <c r="DF308" s="19"/>
      <c r="DG308" s="19"/>
      <c r="DH308" s="19"/>
      <c r="DI308" s="19"/>
      <c r="DJ308" s="19"/>
      <c r="DK308" s="19"/>
      <c r="DL308" s="19"/>
      <c r="DM308" s="19"/>
      <c r="DN308" s="19"/>
      <c r="DO308" s="19"/>
      <c r="DP308" s="19"/>
      <c r="DQ308" s="19"/>
      <c r="DR308" s="19"/>
      <c r="DS308" s="19"/>
      <c r="DT308" s="19"/>
      <c r="DU308" s="19"/>
      <c r="DV308" s="19"/>
      <c r="DW308" s="19"/>
      <c r="DX308" s="19"/>
      <c r="DY308" s="19"/>
      <c r="DZ308" s="19"/>
      <c r="EA308" s="19"/>
      <c r="EB308" s="19"/>
      <c r="EC308" s="19"/>
      <c r="ED308" s="19"/>
      <c r="EE308" s="19"/>
      <c r="EF308" s="19"/>
      <c r="EG308" s="19"/>
      <c r="EH308" s="19"/>
      <c r="EI308" s="19"/>
      <c r="EJ308" s="19"/>
      <c r="EK308" s="19"/>
      <c r="EL308" s="19"/>
      <c r="EM308" s="19"/>
      <c r="EN308" s="19"/>
      <c r="EO308" s="19"/>
      <c r="EP308" s="19"/>
      <c r="EQ308" s="19"/>
      <c r="ER308" s="19"/>
      <c r="ES308" s="19"/>
      <c r="ET308" s="19"/>
      <c r="EU308" s="19"/>
      <c r="EV308" s="19"/>
      <c r="EW308" s="19"/>
      <c r="EX308" s="19"/>
      <c r="EY308" s="19"/>
      <c r="EZ308" s="19"/>
      <c r="FA308" s="19"/>
      <c r="FB308" s="19"/>
      <c r="FC308" s="19"/>
      <c r="FD308" s="19"/>
      <c r="FE308" s="19"/>
      <c r="FF308" s="19"/>
      <c r="FG308" s="19"/>
      <c r="FH308" s="19"/>
      <c r="FI308" s="19"/>
      <c r="FJ308" s="19"/>
      <c r="FK308" s="19"/>
      <c r="FL308" s="19"/>
      <c r="FM308" s="19"/>
      <c r="FN308" s="19"/>
      <c r="FO308" s="19"/>
      <c r="FP308" s="19"/>
      <c r="FQ308" s="19"/>
      <c r="FR308" s="19"/>
      <c r="FS308" s="19"/>
      <c r="FT308" s="19"/>
      <c r="FU308" s="19"/>
      <c r="FV308" s="19"/>
      <c r="FW308" s="19"/>
      <c r="FX308" s="19"/>
      <c r="FY308" s="19"/>
      <c r="FZ308" s="19"/>
      <c r="GA308" s="19"/>
      <c r="GB308" s="19"/>
      <c r="GC308" s="19"/>
      <c r="GD308" s="19"/>
      <c r="GE308" s="19"/>
      <c r="GF308" s="19"/>
      <c r="GG308" s="19"/>
      <c r="GH308" s="19"/>
      <c r="GI308" s="19"/>
      <c r="GJ308" s="19"/>
      <c r="GK308" s="19"/>
      <c r="GL308" s="19"/>
      <c r="GM308" s="19"/>
      <c r="GN308" s="19"/>
      <c r="GO308" s="19"/>
      <c r="GP308" s="19"/>
      <c r="GQ308" s="19"/>
      <c r="GR308" s="19"/>
      <c r="GS308" s="19"/>
      <c r="GT308" s="19"/>
      <c r="GU308" s="19"/>
      <c r="GV308" s="19"/>
      <c r="GW308" s="19"/>
      <c r="GX308" s="19"/>
      <c r="GY308" s="19"/>
      <c r="GZ308" s="19"/>
      <c r="HA308" s="19"/>
      <c r="HB308" s="19"/>
    </row>
    <row r="309" spans="1:210" x14ac:dyDescent="0.25">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c r="BE309" s="19"/>
      <c r="BF309" s="19"/>
      <c r="BG309" s="19"/>
      <c r="BH309" s="19"/>
      <c r="BI309" s="19"/>
      <c r="BJ309" s="19"/>
      <c r="BK309" s="19"/>
      <c r="BL309" s="19"/>
      <c r="BM309" s="19"/>
      <c r="BN309" s="19"/>
      <c r="BO309" s="19"/>
      <c r="BP309" s="19"/>
      <c r="BQ309" s="19"/>
      <c r="BR309" s="19"/>
      <c r="BS309" s="19"/>
      <c r="BT309" s="19"/>
      <c r="BU309" s="19"/>
      <c r="BV309" s="19"/>
      <c r="BW309" s="19"/>
      <c r="BX309" s="19"/>
      <c r="BY309" s="19"/>
      <c r="BZ309" s="19"/>
      <c r="CA309" s="19"/>
      <c r="CB309" s="19"/>
      <c r="CC309" s="19"/>
      <c r="CD309" s="19"/>
      <c r="CE309" s="19"/>
      <c r="CF309" s="19"/>
      <c r="CG309" s="19"/>
      <c r="CH309" s="19"/>
      <c r="CI309" s="19"/>
      <c r="CJ309" s="19"/>
      <c r="CK309" s="19"/>
      <c r="CL309" s="19"/>
      <c r="CM309" s="19"/>
      <c r="CN309" s="19"/>
      <c r="CO309" s="19"/>
      <c r="CP309" s="19"/>
      <c r="CQ309" s="19"/>
      <c r="CR309" s="19"/>
      <c r="CS309" s="19"/>
      <c r="CT309" s="19"/>
      <c r="CU309" s="19"/>
      <c r="CV309" s="19"/>
      <c r="CW309" s="19"/>
      <c r="CX309" s="19"/>
      <c r="CY309" s="19"/>
      <c r="CZ309" s="19"/>
      <c r="DA309" s="19"/>
      <c r="DB309" s="19"/>
      <c r="DC309" s="19"/>
      <c r="DD309" s="19"/>
      <c r="DE309" s="19"/>
      <c r="DF309" s="19"/>
      <c r="DG309" s="19"/>
      <c r="DH309" s="19"/>
      <c r="DI309" s="19"/>
      <c r="DJ309" s="19"/>
      <c r="DK309" s="19"/>
      <c r="DL309" s="19"/>
      <c r="DM309" s="19"/>
      <c r="DN309" s="19"/>
      <c r="DO309" s="19"/>
      <c r="DP309" s="19"/>
      <c r="DQ309" s="19"/>
      <c r="DR309" s="19"/>
      <c r="DS309" s="19"/>
      <c r="DT309" s="19"/>
      <c r="DU309" s="19"/>
      <c r="DV309" s="19"/>
      <c r="DW309" s="19"/>
      <c r="DX309" s="19"/>
      <c r="DY309" s="19"/>
      <c r="DZ309" s="19"/>
      <c r="EA309" s="19"/>
      <c r="EB309" s="19"/>
      <c r="EC309" s="19"/>
      <c r="ED309" s="19"/>
      <c r="EE309" s="19"/>
      <c r="EF309" s="19"/>
      <c r="EG309" s="19"/>
      <c r="EH309" s="19"/>
      <c r="EI309" s="19"/>
      <c r="EJ309" s="19"/>
      <c r="EK309" s="19"/>
      <c r="EL309" s="19"/>
      <c r="EM309" s="19"/>
      <c r="EN309" s="19"/>
      <c r="EO309" s="19"/>
      <c r="EP309" s="19"/>
      <c r="EQ309" s="19"/>
      <c r="ER309" s="19"/>
      <c r="ES309" s="19"/>
      <c r="ET309" s="19"/>
      <c r="EU309" s="19"/>
      <c r="EV309" s="19"/>
      <c r="EW309" s="19"/>
      <c r="EX309" s="19"/>
      <c r="EY309" s="19"/>
      <c r="EZ309" s="19"/>
      <c r="FA309" s="19"/>
      <c r="FB309" s="19"/>
      <c r="FC309" s="19"/>
      <c r="FD309" s="19"/>
      <c r="FE309" s="19"/>
      <c r="FF309" s="19"/>
      <c r="FG309" s="19"/>
      <c r="FH309" s="19"/>
      <c r="FI309" s="19"/>
      <c r="FJ309" s="19"/>
      <c r="FK309" s="19"/>
      <c r="FL309" s="19"/>
      <c r="FM309" s="19"/>
      <c r="FN309" s="19"/>
      <c r="FO309" s="19"/>
      <c r="FP309" s="19"/>
      <c r="FQ309" s="19"/>
      <c r="FR309" s="19"/>
      <c r="FS309" s="19"/>
      <c r="FT309" s="19"/>
      <c r="FU309" s="19"/>
      <c r="FV309" s="19"/>
      <c r="FW309" s="19"/>
      <c r="FX309" s="19"/>
      <c r="FY309" s="19"/>
      <c r="FZ309" s="19"/>
      <c r="GA309" s="19"/>
      <c r="GB309" s="19"/>
      <c r="GC309" s="19"/>
      <c r="GD309" s="19"/>
      <c r="GE309" s="19"/>
      <c r="GF309" s="19"/>
      <c r="GG309" s="19"/>
      <c r="GH309" s="19"/>
      <c r="GI309" s="19"/>
      <c r="GJ309" s="19"/>
      <c r="GK309" s="19"/>
      <c r="GL309" s="19"/>
      <c r="GM309" s="19"/>
      <c r="GN309" s="19"/>
      <c r="GO309" s="19"/>
      <c r="GP309" s="19"/>
      <c r="GQ309" s="19"/>
      <c r="GR309" s="19"/>
      <c r="GS309" s="19"/>
      <c r="GT309" s="19"/>
      <c r="GU309" s="19"/>
      <c r="GV309" s="19"/>
      <c r="GW309" s="19"/>
      <c r="GX309" s="19"/>
      <c r="GY309" s="19"/>
      <c r="GZ309" s="19"/>
      <c r="HA309" s="19"/>
      <c r="HB309" s="19"/>
    </row>
    <row r="310" spans="1:210" x14ac:dyDescent="0.25">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c r="BE310" s="19"/>
      <c r="BF310" s="19"/>
      <c r="BG310" s="19"/>
      <c r="BH310" s="19"/>
      <c r="BI310" s="19"/>
      <c r="BJ310" s="19"/>
      <c r="BK310" s="19"/>
      <c r="BL310" s="19"/>
      <c r="BM310" s="19"/>
      <c r="BN310" s="19"/>
      <c r="BO310" s="19"/>
      <c r="BP310" s="19"/>
      <c r="BQ310" s="19"/>
      <c r="BR310" s="19"/>
      <c r="BS310" s="19"/>
      <c r="BT310" s="19"/>
      <c r="BU310" s="19"/>
      <c r="BV310" s="19"/>
      <c r="BW310" s="19"/>
      <c r="BX310" s="19"/>
      <c r="BY310" s="19"/>
      <c r="BZ310" s="19"/>
      <c r="CA310" s="19"/>
      <c r="CB310" s="19"/>
      <c r="CC310" s="19"/>
      <c r="CD310" s="19"/>
      <c r="CE310" s="19"/>
      <c r="CF310" s="19"/>
      <c r="CG310" s="19"/>
      <c r="CH310" s="19"/>
      <c r="CI310" s="19"/>
      <c r="CJ310" s="19"/>
      <c r="CK310" s="19"/>
      <c r="CL310" s="19"/>
      <c r="CM310" s="19"/>
      <c r="CN310" s="19"/>
      <c r="CO310" s="19"/>
      <c r="CP310" s="19"/>
      <c r="CQ310" s="19"/>
      <c r="CR310" s="19"/>
      <c r="CS310" s="19"/>
      <c r="CT310" s="19"/>
      <c r="CU310" s="19"/>
      <c r="CV310" s="19"/>
      <c r="CW310" s="19"/>
      <c r="CX310" s="19"/>
      <c r="CY310" s="19"/>
      <c r="CZ310" s="19"/>
      <c r="DA310" s="19"/>
      <c r="DB310" s="19"/>
      <c r="DC310" s="19"/>
      <c r="DD310" s="19"/>
      <c r="DE310" s="19"/>
      <c r="DF310" s="19"/>
      <c r="DG310" s="19"/>
      <c r="DH310" s="19"/>
      <c r="DI310" s="19"/>
      <c r="DJ310" s="19"/>
      <c r="DK310" s="19"/>
      <c r="DL310" s="19"/>
      <c r="DM310" s="19"/>
      <c r="DN310" s="19"/>
      <c r="DO310" s="19"/>
      <c r="DP310" s="19"/>
      <c r="DQ310" s="19"/>
      <c r="DR310" s="19"/>
      <c r="DS310" s="19"/>
      <c r="DT310" s="19"/>
      <c r="DU310" s="19"/>
      <c r="DV310" s="19"/>
      <c r="DW310" s="19"/>
      <c r="DX310" s="19"/>
      <c r="DY310" s="19"/>
      <c r="DZ310" s="19"/>
      <c r="EA310" s="19"/>
      <c r="EB310" s="19"/>
      <c r="EC310" s="19"/>
      <c r="ED310" s="19"/>
      <c r="EE310" s="19"/>
      <c r="EF310" s="19"/>
      <c r="EG310" s="19"/>
      <c r="EH310" s="19"/>
      <c r="EI310" s="19"/>
      <c r="EJ310" s="19"/>
      <c r="EK310" s="19"/>
      <c r="EL310" s="19"/>
      <c r="EM310" s="19"/>
      <c r="EN310" s="19"/>
      <c r="EO310" s="19"/>
      <c r="EP310" s="19"/>
      <c r="EQ310" s="19"/>
      <c r="ER310" s="19"/>
      <c r="ES310" s="19"/>
      <c r="ET310" s="19"/>
      <c r="EU310" s="19"/>
      <c r="EV310" s="19"/>
      <c r="EW310" s="19"/>
      <c r="EX310" s="19"/>
      <c r="EY310" s="19"/>
      <c r="EZ310" s="19"/>
      <c r="FA310" s="19"/>
      <c r="FB310" s="19"/>
      <c r="FC310" s="19"/>
      <c r="FD310" s="19"/>
      <c r="FE310" s="19"/>
      <c r="FF310" s="19"/>
      <c r="FG310" s="19"/>
      <c r="FH310" s="19"/>
      <c r="FI310" s="19"/>
      <c r="FJ310" s="19"/>
      <c r="FK310" s="19"/>
      <c r="FL310" s="19"/>
      <c r="FM310" s="19"/>
      <c r="FN310" s="19"/>
      <c r="FO310" s="19"/>
      <c r="FP310" s="19"/>
      <c r="FQ310" s="19"/>
      <c r="FR310" s="19"/>
      <c r="FS310" s="19"/>
      <c r="FT310" s="19"/>
      <c r="FU310" s="19"/>
      <c r="FV310" s="19"/>
      <c r="FW310" s="19"/>
      <c r="FX310" s="19"/>
      <c r="FY310" s="19"/>
      <c r="FZ310" s="19"/>
      <c r="GA310" s="19"/>
      <c r="GB310" s="19"/>
      <c r="GC310" s="19"/>
      <c r="GD310" s="19"/>
      <c r="GE310" s="19"/>
      <c r="GF310" s="19"/>
      <c r="GG310" s="19"/>
      <c r="GH310" s="19"/>
      <c r="GI310" s="19"/>
      <c r="GJ310" s="19"/>
      <c r="GK310" s="19"/>
      <c r="GL310" s="19"/>
      <c r="GM310" s="19"/>
      <c r="GN310" s="19"/>
      <c r="GO310" s="19"/>
      <c r="GP310" s="19"/>
      <c r="GQ310" s="19"/>
      <c r="GR310" s="19"/>
      <c r="GS310" s="19"/>
      <c r="GT310" s="19"/>
      <c r="GU310" s="19"/>
      <c r="GV310" s="19"/>
      <c r="GW310" s="19"/>
      <c r="GX310" s="19"/>
      <c r="GY310" s="19"/>
      <c r="GZ310" s="19"/>
      <c r="HA310" s="19"/>
      <c r="HB310" s="19"/>
    </row>
    <row r="311" spans="1:210" x14ac:dyDescent="0.25">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c r="BE311" s="19"/>
      <c r="BF311" s="19"/>
      <c r="BG311" s="19"/>
      <c r="BH311" s="19"/>
      <c r="BI311" s="19"/>
      <c r="BJ311" s="19"/>
      <c r="BK311" s="19"/>
      <c r="BL311" s="19"/>
      <c r="BM311" s="19"/>
      <c r="BN311" s="19"/>
      <c r="BO311" s="19"/>
      <c r="BP311" s="19"/>
      <c r="BQ311" s="19"/>
      <c r="BR311" s="19"/>
      <c r="BS311" s="19"/>
      <c r="BT311" s="19"/>
      <c r="BU311" s="19"/>
      <c r="BV311" s="19"/>
      <c r="BW311" s="19"/>
      <c r="BX311" s="19"/>
      <c r="BY311" s="19"/>
      <c r="BZ311" s="19"/>
      <c r="CA311" s="19"/>
      <c r="CB311" s="19"/>
      <c r="CC311" s="19"/>
      <c r="CD311" s="19"/>
      <c r="CE311" s="19"/>
      <c r="CF311" s="19"/>
      <c r="CG311" s="19"/>
      <c r="CH311" s="19"/>
      <c r="CI311" s="19"/>
      <c r="CJ311" s="19"/>
      <c r="CK311" s="19"/>
      <c r="CL311" s="19"/>
      <c r="CM311" s="19"/>
      <c r="CN311" s="19"/>
      <c r="CO311" s="19"/>
      <c r="CP311" s="19"/>
      <c r="CQ311" s="19"/>
      <c r="CR311" s="19"/>
      <c r="CS311" s="19"/>
      <c r="CT311" s="19"/>
      <c r="CU311" s="19"/>
      <c r="CV311" s="19"/>
      <c r="CW311" s="19"/>
      <c r="CX311" s="19"/>
      <c r="CY311" s="19"/>
      <c r="CZ311" s="19"/>
      <c r="DA311" s="19"/>
      <c r="DB311" s="19"/>
      <c r="DC311" s="19"/>
      <c r="DD311" s="19"/>
      <c r="DE311" s="19"/>
      <c r="DF311" s="19"/>
      <c r="DG311" s="19"/>
      <c r="DH311" s="19"/>
      <c r="DI311" s="19"/>
      <c r="DJ311" s="19"/>
      <c r="DK311" s="19"/>
      <c r="DL311" s="19"/>
      <c r="DM311" s="19"/>
      <c r="DN311" s="19"/>
      <c r="DO311" s="19"/>
      <c r="DP311" s="19"/>
      <c r="DQ311" s="19"/>
      <c r="DR311" s="19"/>
      <c r="DS311" s="19"/>
      <c r="DT311" s="19"/>
      <c r="DU311" s="19"/>
      <c r="DV311" s="19"/>
      <c r="DW311" s="19"/>
      <c r="DX311" s="19"/>
      <c r="DY311" s="19"/>
      <c r="DZ311" s="19"/>
      <c r="EA311" s="19"/>
      <c r="EB311" s="19"/>
      <c r="EC311" s="19"/>
      <c r="ED311" s="19"/>
      <c r="EE311" s="19"/>
      <c r="EF311" s="19"/>
      <c r="EG311" s="19"/>
      <c r="EH311" s="19"/>
      <c r="EI311" s="19"/>
      <c r="EJ311" s="19"/>
      <c r="EK311" s="19"/>
      <c r="EL311" s="19"/>
      <c r="EM311" s="19"/>
      <c r="EN311" s="19"/>
      <c r="EO311" s="19"/>
      <c r="EP311" s="19"/>
      <c r="EQ311" s="19"/>
      <c r="ER311" s="19"/>
      <c r="ES311" s="19"/>
      <c r="ET311" s="19"/>
      <c r="EU311" s="19"/>
      <c r="EV311" s="19"/>
      <c r="EW311" s="19"/>
      <c r="EX311" s="19"/>
      <c r="EY311" s="19"/>
      <c r="EZ311" s="19"/>
      <c r="FA311" s="19"/>
      <c r="FB311" s="19"/>
      <c r="FC311" s="19"/>
      <c r="FD311" s="19"/>
      <c r="FE311" s="19"/>
      <c r="FF311" s="19"/>
      <c r="FG311" s="19"/>
      <c r="FH311" s="19"/>
      <c r="FI311" s="19"/>
      <c r="FJ311" s="19"/>
      <c r="FK311" s="19"/>
      <c r="FL311" s="19"/>
      <c r="FM311" s="19"/>
      <c r="FN311" s="19"/>
      <c r="FO311" s="19"/>
      <c r="FP311" s="19"/>
      <c r="FQ311" s="19"/>
      <c r="FR311" s="19"/>
      <c r="FS311" s="19"/>
      <c r="FT311" s="19"/>
      <c r="FU311" s="19"/>
      <c r="FV311" s="19"/>
      <c r="FW311" s="19"/>
      <c r="FX311" s="19"/>
      <c r="FY311" s="19"/>
      <c r="FZ311" s="19"/>
      <c r="GA311" s="19"/>
      <c r="GB311" s="19"/>
      <c r="GC311" s="19"/>
      <c r="GD311" s="19"/>
      <c r="GE311" s="19"/>
      <c r="GF311" s="19"/>
      <c r="GG311" s="19"/>
      <c r="GH311" s="19"/>
      <c r="GI311" s="19"/>
      <c r="GJ311" s="19"/>
      <c r="GK311" s="19"/>
      <c r="GL311" s="19"/>
      <c r="GM311" s="19"/>
      <c r="GN311" s="19"/>
      <c r="GO311" s="19"/>
      <c r="GP311" s="19"/>
      <c r="GQ311" s="19"/>
      <c r="GR311" s="19"/>
      <c r="GS311" s="19"/>
      <c r="GT311" s="19"/>
      <c r="GU311" s="19"/>
      <c r="GV311" s="19"/>
      <c r="GW311" s="19"/>
      <c r="GX311" s="19"/>
      <c r="GY311" s="19"/>
      <c r="GZ311" s="19"/>
      <c r="HA311" s="19"/>
      <c r="HB311" s="19"/>
    </row>
    <row r="312" spans="1:210" x14ac:dyDescent="0.25">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c r="BE312" s="19"/>
      <c r="BF312" s="19"/>
      <c r="BG312" s="19"/>
      <c r="BH312" s="19"/>
      <c r="BI312" s="19"/>
      <c r="BJ312" s="19"/>
      <c r="BK312" s="19"/>
      <c r="BL312" s="19"/>
      <c r="BM312" s="19"/>
      <c r="BN312" s="19"/>
      <c r="BO312" s="19"/>
      <c r="BP312" s="19"/>
      <c r="BQ312" s="19"/>
      <c r="BR312" s="19"/>
      <c r="BS312" s="19"/>
      <c r="BT312" s="19"/>
      <c r="BU312" s="19"/>
      <c r="BV312" s="19"/>
      <c r="BW312" s="19"/>
      <c r="BX312" s="19"/>
      <c r="BY312" s="19"/>
      <c r="BZ312" s="19"/>
      <c r="CA312" s="19"/>
      <c r="CB312" s="19"/>
      <c r="CC312" s="19"/>
      <c r="CD312" s="19"/>
      <c r="CE312" s="19"/>
      <c r="CF312" s="19"/>
      <c r="CG312" s="19"/>
      <c r="CH312" s="19"/>
      <c r="CI312" s="19"/>
      <c r="CJ312" s="19"/>
      <c r="CK312" s="19"/>
      <c r="CL312" s="19"/>
      <c r="CM312" s="19"/>
      <c r="CN312" s="19"/>
      <c r="CO312" s="19"/>
      <c r="CP312" s="19"/>
      <c r="CQ312" s="19"/>
      <c r="CR312" s="19"/>
      <c r="CS312" s="19"/>
      <c r="CT312" s="19"/>
      <c r="CU312" s="19"/>
      <c r="CV312" s="19"/>
      <c r="CW312" s="19"/>
      <c r="CX312" s="19"/>
      <c r="CY312" s="19"/>
      <c r="CZ312" s="19"/>
      <c r="DA312" s="19"/>
      <c r="DB312" s="19"/>
      <c r="DC312" s="19"/>
      <c r="DD312" s="19"/>
      <c r="DE312" s="19"/>
      <c r="DF312" s="19"/>
      <c r="DG312" s="19"/>
      <c r="DH312" s="19"/>
      <c r="DI312" s="19"/>
      <c r="DJ312" s="19"/>
      <c r="DK312" s="19"/>
      <c r="DL312" s="19"/>
      <c r="DM312" s="19"/>
      <c r="DN312" s="19"/>
      <c r="DO312" s="19"/>
      <c r="DP312" s="19"/>
      <c r="DQ312" s="19"/>
      <c r="DR312" s="19"/>
      <c r="DS312" s="19"/>
      <c r="DT312" s="19"/>
      <c r="DU312" s="19"/>
      <c r="DV312" s="19"/>
      <c r="DW312" s="19"/>
      <c r="DX312" s="19"/>
      <c r="DY312" s="19"/>
      <c r="DZ312" s="19"/>
      <c r="EA312" s="19"/>
      <c r="EB312" s="19"/>
      <c r="EC312" s="19"/>
      <c r="ED312" s="19"/>
      <c r="EE312" s="19"/>
      <c r="EF312" s="19"/>
      <c r="EG312" s="19"/>
      <c r="EH312" s="19"/>
      <c r="EI312" s="19"/>
      <c r="EJ312" s="19"/>
      <c r="EK312" s="19"/>
      <c r="EL312" s="19"/>
      <c r="EM312" s="19"/>
      <c r="EN312" s="19"/>
      <c r="EO312" s="19"/>
      <c r="EP312" s="19"/>
      <c r="EQ312" s="19"/>
      <c r="ER312" s="19"/>
      <c r="ES312" s="19"/>
      <c r="ET312" s="19"/>
      <c r="EU312" s="19"/>
      <c r="EV312" s="19"/>
      <c r="EW312" s="19"/>
      <c r="EX312" s="19"/>
      <c r="EY312" s="19"/>
      <c r="EZ312" s="19"/>
      <c r="FA312" s="19"/>
      <c r="FB312" s="19"/>
      <c r="FC312" s="19"/>
      <c r="FD312" s="19"/>
      <c r="FE312" s="19"/>
      <c r="FF312" s="19"/>
      <c r="FG312" s="19"/>
      <c r="FH312" s="19"/>
      <c r="FI312" s="19"/>
      <c r="FJ312" s="19"/>
      <c r="FK312" s="19"/>
      <c r="FL312" s="19"/>
      <c r="FM312" s="19"/>
      <c r="FN312" s="19"/>
      <c r="FO312" s="19"/>
      <c r="FP312" s="19"/>
      <c r="FQ312" s="19"/>
      <c r="FR312" s="19"/>
      <c r="FS312" s="19"/>
      <c r="FT312" s="19"/>
      <c r="FU312" s="19"/>
      <c r="FV312" s="19"/>
      <c r="FW312" s="19"/>
      <c r="FX312" s="19"/>
      <c r="FY312" s="19"/>
      <c r="FZ312" s="19"/>
      <c r="GA312" s="19"/>
      <c r="GB312" s="19"/>
      <c r="GC312" s="19"/>
      <c r="GD312" s="19"/>
      <c r="GE312" s="19"/>
      <c r="GF312" s="19"/>
      <c r="GG312" s="19"/>
      <c r="GH312" s="19"/>
      <c r="GI312" s="19"/>
      <c r="GJ312" s="19"/>
      <c r="GK312" s="19"/>
      <c r="GL312" s="19"/>
      <c r="GM312" s="19"/>
      <c r="GN312" s="19"/>
      <c r="GO312" s="19"/>
      <c r="GP312" s="19"/>
      <c r="GQ312" s="19"/>
      <c r="GR312" s="19"/>
      <c r="GS312" s="19"/>
      <c r="GT312" s="19"/>
      <c r="GU312" s="19"/>
      <c r="GV312" s="19"/>
      <c r="GW312" s="19"/>
      <c r="GX312" s="19"/>
      <c r="GY312" s="19"/>
      <c r="GZ312" s="19"/>
      <c r="HA312" s="19"/>
      <c r="HB312" s="19"/>
    </row>
    <row r="313" spans="1:210" x14ac:dyDescent="0.25">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c r="BE313" s="19"/>
      <c r="BF313" s="19"/>
      <c r="BG313" s="19"/>
      <c r="BH313" s="19"/>
      <c r="BI313" s="19"/>
      <c r="BJ313" s="19"/>
      <c r="BK313" s="19"/>
      <c r="BL313" s="19"/>
      <c r="BM313" s="19"/>
      <c r="BN313" s="19"/>
      <c r="BO313" s="19"/>
      <c r="BP313" s="19"/>
      <c r="BQ313" s="19"/>
      <c r="BR313" s="19"/>
      <c r="BS313" s="19"/>
      <c r="BT313" s="19"/>
      <c r="BU313" s="19"/>
      <c r="BV313" s="19"/>
      <c r="BW313" s="19"/>
      <c r="BX313" s="19"/>
      <c r="BY313" s="19"/>
      <c r="BZ313" s="19"/>
      <c r="CA313" s="19"/>
      <c r="CB313" s="19"/>
      <c r="CC313" s="19"/>
      <c r="CD313" s="19"/>
      <c r="CE313" s="19"/>
      <c r="CF313" s="19"/>
      <c r="CG313" s="19"/>
      <c r="CH313" s="19"/>
      <c r="CI313" s="19"/>
      <c r="CJ313" s="19"/>
      <c r="CK313" s="19"/>
      <c r="CL313" s="19"/>
      <c r="CM313" s="19"/>
      <c r="CN313" s="19"/>
      <c r="CO313" s="19"/>
      <c r="CP313" s="19"/>
      <c r="CQ313" s="19"/>
      <c r="CR313" s="19"/>
      <c r="CS313" s="19"/>
      <c r="CT313" s="19"/>
      <c r="CU313" s="19"/>
      <c r="CV313" s="19"/>
      <c r="CW313" s="19"/>
      <c r="CX313" s="19"/>
      <c r="CY313" s="19"/>
      <c r="CZ313" s="19"/>
      <c r="DA313" s="19"/>
      <c r="DB313" s="19"/>
      <c r="DC313" s="19"/>
      <c r="DD313" s="19"/>
      <c r="DE313" s="19"/>
      <c r="DF313" s="19"/>
      <c r="DG313" s="19"/>
      <c r="DH313" s="19"/>
      <c r="DI313" s="19"/>
      <c r="DJ313" s="19"/>
      <c r="DK313" s="19"/>
      <c r="DL313" s="19"/>
      <c r="DM313" s="19"/>
      <c r="DN313" s="19"/>
      <c r="DO313" s="19"/>
      <c r="DP313" s="19"/>
      <c r="DQ313" s="19"/>
      <c r="DR313" s="19"/>
      <c r="DS313" s="19"/>
      <c r="DT313" s="19"/>
      <c r="DU313" s="19"/>
      <c r="DV313" s="19"/>
      <c r="DW313" s="19"/>
      <c r="DX313" s="19"/>
      <c r="DY313" s="19"/>
      <c r="DZ313" s="19"/>
      <c r="EA313" s="19"/>
      <c r="EB313" s="19"/>
      <c r="EC313" s="19"/>
      <c r="ED313" s="19"/>
      <c r="EE313" s="19"/>
      <c r="EF313" s="19"/>
      <c r="EG313" s="19"/>
      <c r="EH313" s="19"/>
      <c r="EI313" s="19"/>
      <c r="EJ313" s="19"/>
      <c r="EK313" s="19"/>
      <c r="EL313" s="19"/>
      <c r="EM313" s="19"/>
      <c r="EN313" s="19"/>
      <c r="EO313" s="19"/>
      <c r="EP313" s="19"/>
      <c r="EQ313" s="19"/>
      <c r="ER313" s="19"/>
      <c r="ES313" s="19"/>
      <c r="ET313" s="19"/>
      <c r="EU313" s="19"/>
      <c r="EV313" s="19"/>
      <c r="EW313" s="19"/>
      <c r="EX313" s="19"/>
      <c r="EY313" s="19"/>
      <c r="EZ313" s="19"/>
      <c r="FA313" s="19"/>
      <c r="FB313" s="19"/>
      <c r="FC313" s="19"/>
      <c r="FD313" s="19"/>
      <c r="FE313" s="19"/>
      <c r="FF313" s="19"/>
      <c r="FG313" s="19"/>
      <c r="FH313" s="19"/>
      <c r="FI313" s="19"/>
      <c r="FJ313" s="19"/>
      <c r="FK313" s="19"/>
      <c r="FL313" s="19"/>
      <c r="FM313" s="19"/>
      <c r="FN313" s="19"/>
      <c r="FO313" s="19"/>
      <c r="FP313" s="19"/>
      <c r="FQ313" s="19"/>
      <c r="FR313" s="19"/>
      <c r="FS313" s="19"/>
      <c r="FT313" s="19"/>
      <c r="FU313" s="19"/>
      <c r="FV313" s="19"/>
      <c r="FW313" s="19"/>
      <c r="FX313" s="19"/>
      <c r="FY313" s="19"/>
      <c r="FZ313" s="19"/>
      <c r="GA313" s="19"/>
      <c r="GB313" s="19"/>
      <c r="GC313" s="19"/>
      <c r="GD313" s="19"/>
      <c r="GE313" s="19"/>
      <c r="GF313" s="19"/>
      <c r="GG313" s="19"/>
      <c r="GH313" s="19"/>
      <c r="GI313" s="19"/>
      <c r="GJ313" s="19"/>
      <c r="GK313" s="19"/>
      <c r="GL313" s="19"/>
      <c r="GM313" s="19"/>
      <c r="GN313" s="19"/>
      <c r="GO313" s="19"/>
      <c r="GP313" s="19"/>
      <c r="GQ313" s="19"/>
      <c r="GR313" s="19"/>
      <c r="GS313" s="19"/>
      <c r="GT313" s="19"/>
      <c r="GU313" s="19"/>
      <c r="GV313" s="19"/>
      <c r="GW313" s="19"/>
      <c r="GX313" s="19"/>
      <c r="GY313" s="19"/>
      <c r="GZ313" s="19"/>
      <c r="HA313" s="19"/>
      <c r="HB313" s="19"/>
    </row>
    <row r="314" spans="1:210" x14ac:dyDescent="0.25">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c r="BE314" s="19"/>
      <c r="BF314" s="19"/>
      <c r="BG314" s="19"/>
      <c r="BH314" s="19"/>
      <c r="BI314" s="19"/>
      <c r="BJ314" s="19"/>
      <c r="BK314" s="19"/>
      <c r="BL314" s="19"/>
      <c r="BM314" s="19"/>
      <c r="BN314" s="19"/>
      <c r="BO314" s="19"/>
      <c r="BP314" s="19"/>
      <c r="BQ314" s="19"/>
      <c r="BR314" s="19"/>
      <c r="BS314" s="19"/>
      <c r="BT314" s="19"/>
      <c r="BU314" s="19"/>
      <c r="BV314" s="19"/>
      <c r="BW314" s="19"/>
      <c r="BX314" s="19"/>
      <c r="BY314" s="19"/>
      <c r="BZ314" s="19"/>
      <c r="CA314" s="19"/>
      <c r="CB314" s="19"/>
      <c r="CC314" s="19"/>
      <c r="CD314" s="19"/>
      <c r="CE314" s="19"/>
      <c r="CF314" s="19"/>
      <c r="CG314" s="19"/>
      <c r="CH314" s="19"/>
      <c r="CI314" s="19"/>
      <c r="CJ314" s="19"/>
      <c r="CK314" s="19"/>
      <c r="CL314" s="19"/>
      <c r="CM314" s="19"/>
      <c r="CN314" s="19"/>
      <c r="CO314" s="19"/>
      <c r="CP314" s="19"/>
      <c r="CQ314" s="19"/>
      <c r="CR314" s="19"/>
      <c r="CS314" s="19"/>
      <c r="CT314" s="19"/>
      <c r="CU314" s="19"/>
      <c r="CV314" s="19"/>
      <c r="CW314" s="19"/>
      <c r="CX314" s="19"/>
      <c r="CY314" s="19"/>
      <c r="CZ314" s="19"/>
      <c r="DA314" s="19"/>
      <c r="DB314" s="19"/>
      <c r="DC314" s="19"/>
      <c r="DD314" s="19"/>
      <c r="DE314" s="19"/>
      <c r="DF314" s="19"/>
      <c r="DG314" s="19"/>
      <c r="DH314" s="19"/>
      <c r="DI314" s="19"/>
      <c r="DJ314" s="19"/>
      <c r="DK314" s="19"/>
      <c r="DL314" s="19"/>
      <c r="DM314" s="19"/>
      <c r="DN314" s="19"/>
      <c r="DO314" s="19"/>
      <c r="DP314" s="19"/>
      <c r="DQ314" s="19"/>
      <c r="DR314" s="19"/>
      <c r="DS314" s="19"/>
      <c r="DT314" s="19"/>
      <c r="DU314" s="19"/>
      <c r="DV314" s="19"/>
      <c r="DW314" s="19"/>
      <c r="DX314" s="19"/>
      <c r="DY314" s="19"/>
      <c r="DZ314" s="19"/>
      <c r="EA314" s="19"/>
      <c r="EB314" s="19"/>
      <c r="EC314" s="19"/>
      <c r="ED314" s="19"/>
      <c r="EE314" s="19"/>
      <c r="EF314" s="19"/>
      <c r="EG314" s="19"/>
      <c r="EH314" s="19"/>
      <c r="EI314" s="19"/>
      <c r="EJ314" s="19"/>
      <c r="EK314" s="19"/>
      <c r="EL314" s="19"/>
      <c r="EM314" s="19"/>
      <c r="EN314" s="19"/>
      <c r="EO314" s="19"/>
      <c r="EP314" s="19"/>
      <c r="EQ314" s="19"/>
      <c r="ER314" s="19"/>
      <c r="ES314" s="19"/>
      <c r="ET314" s="19"/>
      <c r="EU314" s="19"/>
      <c r="EV314" s="19"/>
      <c r="EW314" s="19"/>
      <c r="EX314" s="19"/>
      <c r="EY314" s="19"/>
      <c r="EZ314" s="19"/>
      <c r="FA314" s="19"/>
      <c r="FB314" s="19"/>
      <c r="FC314" s="19"/>
      <c r="FD314" s="19"/>
      <c r="FE314" s="19"/>
      <c r="FF314" s="19"/>
      <c r="FG314" s="19"/>
      <c r="FH314" s="19"/>
      <c r="FI314" s="19"/>
      <c r="FJ314" s="19"/>
      <c r="FK314" s="19"/>
      <c r="FL314" s="19"/>
      <c r="FM314" s="19"/>
      <c r="FN314" s="19"/>
      <c r="FO314" s="19"/>
      <c r="FP314" s="19"/>
      <c r="FQ314" s="19"/>
      <c r="FR314" s="19"/>
      <c r="FS314" s="19"/>
      <c r="FT314" s="19"/>
      <c r="FU314" s="19"/>
      <c r="FV314" s="19"/>
      <c r="FW314" s="19"/>
      <c r="FX314" s="19"/>
      <c r="FY314" s="19"/>
      <c r="FZ314" s="19"/>
      <c r="GA314" s="19"/>
      <c r="GB314" s="19"/>
      <c r="GC314" s="19"/>
      <c r="GD314" s="19"/>
      <c r="GE314" s="19"/>
      <c r="GF314" s="19"/>
      <c r="GG314" s="19"/>
      <c r="GH314" s="19"/>
      <c r="GI314" s="19"/>
      <c r="GJ314" s="19"/>
      <c r="GK314" s="19"/>
      <c r="GL314" s="19"/>
      <c r="GM314" s="19"/>
      <c r="GN314" s="19"/>
      <c r="GO314" s="19"/>
      <c r="GP314" s="19"/>
      <c r="GQ314" s="19"/>
      <c r="GR314" s="19"/>
      <c r="GS314" s="19"/>
      <c r="GT314" s="19"/>
      <c r="GU314" s="19"/>
      <c r="GV314" s="19"/>
      <c r="GW314" s="19"/>
      <c r="GX314" s="19"/>
      <c r="GY314" s="19"/>
      <c r="GZ314" s="19"/>
      <c r="HA314" s="19"/>
      <c r="HB314" s="19"/>
    </row>
    <row r="315" spans="1:210" x14ac:dyDescent="0.25">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c r="BE315" s="19"/>
      <c r="BF315" s="19"/>
      <c r="BG315" s="19"/>
      <c r="BH315" s="19"/>
      <c r="BI315" s="19"/>
      <c r="BJ315" s="19"/>
      <c r="BK315" s="19"/>
      <c r="BL315" s="19"/>
      <c r="BM315" s="19"/>
      <c r="BN315" s="19"/>
      <c r="BO315" s="19"/>
      <c r="BP315" s="19"/>
      <c r="BQ315" s="19"/>
      <c r="BR315" s="19"/>
      <c r="BS315" s="19"/>
      <c r="BT315" s="19"/>
      <c r="BU315" s="19"/>
      <c r="BV315" s="19"/>
      <c r="BW315" s="19"/>
      <c r="BX315" s="19"/>
      <c r="BY315" s="19"/>
      <c r="BZ315" s="19"/>
      <c r="CA315" s="19"/>
      <c r="CB315" s="19"/>
      <c r="CC315" s="19"/>
      <c r="CD315" s="19"/>
      <c r="CE315" s="19"/>
      <c r="CF315" s="19"/>
      <c r="CG315" s="19"/>
      <c r="CH315" s="19"/>
      <c r="CI315" s="19"/>
      <c r="CJ315" s="19"/>
      <c r="CK315" s="19"/>
      <c r="CL315" s="19"/>
      <c r="CM315" s="19"/>
      <c r="CN315" s="19"/>
      <c r="CO315" s="19"/>
      <c r="CP315" s="19"/>
      <c r="CQ315" s="19"/>
      <c r="CR315" s="19"/>
      <c r="CS315" s="19"/>
      <c r="CT315" s="19"/>
      <c r="CU315" s="19"/>
      <c r="CV315" s="19"/>
      <c r="CW315" s="19"/>
      <c r="CX315" s="19"/>
      <c r="CY315" s="19"/>
      <c r="CZ315" s="19"/>
      <c r="DA315" s="19"/>
      <c r="DB315" s="19"/>
      <c r="DC315" s="19"/>
      <c r="DD315" s="19"/>
      <c r="DE315" s="19"/>
      <c r="DF315" s="19"/>
      <c r="DG315" s="19"/>
      <c r="DH315" s="19"/>
      <c r="DI315" s="19"/>
      <c r="DJ315" s="19"/>
      <c r="DK315" s="19"/>
      <c r="DL315" s="19"/>
      <c r="DM315" s="19"/>
      <c r="DN315" s="19"/>
      <c r="DO315" s="19"/>
      <c r="DP315" s="19"/>
      <c r="DQ315" s="19"/>
      <c r="DR315" s="19"/>
      <c r="DS315" s="19"/>
      <c r="DT315" s="19"/>
      <c r="DU315" s="19"/>
      <c r="DV315" s="19"/>
      <c r="DW315" s="19"/>
      <c r="DX315" s="19"/>
      <c r="DY315" s="19"/>
      <c r="DZ315" s="19"/>
      <c r="EA315" s="19"/>
      <c r="EB315" s="19"/>
      <c r="EC315" s="19"/>
      <c r="ED315" s="19"/>
      <c r="EE315" s="19"/>
      <c r="EF315" s="19"/>
      <c r="EG315" s="19"/>
      <c r="EH315" s="19"/>
      <c r="EI315" s="19"/>
      <c r="EJ315" s="19"/>
      <c r="EK315" s="19"/>
      <c r="EL315" s="19"/>
      <c r="EM315" s="19"/>
      <c r="EN315" s="19"/>
      <c r="EO315" s="19"/>
      <c r="EP315" s="19"/>
      <c r="EQ315" s="19"/>
      <c r="ER315" s="19"/>
      <c r="ES315" s="19"/>
      <c r="ET315" s="19"/>
      <c r="EU315" s="19"/>
      <c r="EV315" s="19"/>
      <c r="EW315" s="19"/>
      <c r="EX315" s="19"/>
      <c r="EY315" s="19"/>
      <c r="EZ315" s="19"/>
      <c r="FA315" s="19"/>
      <c r="FB315" s="19"/>
      <c r="FC315" s="19"/>
      <c r="FD315" s="19"/>
      <c r="FE315" s="19"/>
      <c r="FF315" s="19"/>
      <c r="FG315" s="19"/>
      <c r="FH315" s="19"/>
      <c r="FI315" s="19"/>
      <c r="FJ315" s="19"/>
      <c r="FK315" s="19"/>
      <c r="FL315" s="19"/>
      <c r="FM315" s="19"/>
      <c r="FN315" s="19"/>
      <c r="FO315" s="19"/>
      <c r="FP315" s="19"/>
      <c r="FQ315" s="19"/>
      <c r="FR315" s="19"/>
      <c r="FS315" s="19"/>
      <c r="FT315" s="19"/>
      <c r="FU315" s="19"/>
      <c r="FV315" s="19"/>
      <c r="FW315" s="19"/>
      <c r="FX315" s="19"/>
      <c r="FY315" s="19"/>
      <c r="FZ315" s="19"/>
      <c r="GA315" s="19"/>
      <c r="GB315" s="19"/>
      <c r="GC315" s="19"/>
      <c r="GD315" s="19"/>
      <c r="GE315" s="19"/>
      <c r="GF315" s="19"/>
      <c r="GG315" s="19"/>
      <c r="GH315" s="19"/>
      <c r="GI315" s="19"/>
      <c r="GJ315" s="19"/>
      <c r="GK315" s="19"/>
      <c r="GL315" s="19"/>
      <c r="GM315" s="19"/>
      <c r="GN315" s="19"/>
      <c r="GO315" s="19"/>
      <c r="GP315" s="19"/>
      <c r="GQ315" s="19"/>
      <c r="GR315" s="19"/>
      <c r="GS315" s="19"/>
      <c r="GT315" s="19"/>
      <c r="GU315" s="19"/>
      <c r="GV315" s="19"/>
      <c r="GW315" s="19"/>
      <c r="GX315" s="19"/>
      <c r="GY315" s="19"/>
      <c r="GZ315" s="19"/>
      <c r="HA315" s="19"/>
      <c r="HB315" s="19"/>
    </row>
    <row r="316" spans="1:210" x14ac:dyDescent="0.25">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c r="BE316" s="19"/>
      <c r="BF316" s="19"/>
      <c r="BG316" s="19"/>
      <c r="BH316" s="19"/>
      <c r="BI316" s="19"/>
      <c r="BJ316" s="19"/>
      <c r="BK316" s="19"/>
      <c r="BL316" s="19"/>
      <c r="BM316" s="19"/>
      <c r="BN316" s="19"/>
      <c r="BO316" s="19"/>
      <c r="BP316" s="19"/>
      <c r="BQ316" s="19"/>
      <c r="BR316" s="19"/>
      <c r="BS316" s="19"/>
      <c r="BT316" s="19"/>
      <c r="BU316" s="19"/>
      <c r="BV316" s="19"/>
      <c r="BW316" s="19"/>
      <c r="BX316" s="19"/>
      <c r="BY316" s="19"/>
      <c r="BZ316" s="19"/>
      <c r="CA316" s="19"/>
      <c r="CB316" s="19"/>
      <c r="CC316" s="19"/>
      <c r="CD316" s="19"/>
      <c r="CE316" s="19"/>
      <c r="CF316" s="19"/>
      <c r="CG316" s="19"/>
      <c r="CH316" s="19"/>
      <c r="CI316" s="19"/>
      <c r="CJ316" s="19"/>
      <c r="CK316" s="19"/>
      <c r="CL316" s="19"/>
      <c r="CM316" s="19"/>
      <c r="CN316" s="19"/>
      <c r="CO316" s="19"/>
      <c r="CP316" s="19"/>
      <c r="CQ316" s="19"/>
      <c r="CR316" s="19"/>
      <c r="CS316" s="19"/>
      <c r="CT316" s="19"/>
      <c r="CU316" s="19"/>
      <c r="CV316" s="19"/>
      <c r="CW316" s="19"/>
      <c r="CX316" s="19"/>
      <c r="CY316" s="19"/>
      <c r="CZ316" s="19"/>
      <c r="DA316" s="19"/>
      <c r="DB316" s="19"/>
      <c r="DC316" s="19"/>
      <c r="DD316" s="19"/>
      <c r="DE316" s="19"/>
      <c r="DF316" s="19"/>
      <c r="DG316" s="19"/>
      <c r="DH316" s="19"/>
      <c r="DI316" s="19"/>
      <c r="DJ316" s="19"/>
      <c r="DK316" s="19"/>
      <c r="DL316" s="19"/>
      <c r="DM316" s="19"/>
      <c r="DN316" s="19"/>
      <c r="DO316" s="19"/>
      <c r="DP316" s="19"/>
      <c r="DQ316" s="19"/>
      <c r="DR316" s="19"/>
      <c r="DS316" s="19"/>
      <c r="DT316" s="19"/>
      <c r="DU316" s="19"/>
      <c r="DV316" s="19"/>
      <c r="DW316" s="19"/>
      <c r="DX316" s="19"/>
      <c r="DY316" s="19"/>
      <c r="DZ316" s="19"/>
      <c r="EA316" s="19"/>
      <c r="EB316" s="19"/>
      <c r="EC316" s="19"/>
      <c r="ED316" s="19"/>
      <c r="EE316" s="19"/>
      <c r="EF316" s="19"/>
      <c r="EG316" s="19"/>
      <c r="EH316" s="19"/>
      <c r="EI316" s="19"/>
      <c r="EJ316" s="19"/>
      <c r="EK316" s="19"/>
      <c r="EL316" s="19"/>
      <c r="EM316" s="19"/>
      <c r="EN316" s="19"/>
      <c r="EO316" s="19"/>
      <c r="EP316" s="19"/>
      <c r="EQ316" s="19"/>
      <c r="ER316" s="19"/>
      <c r="ES316" s="19"/>
      <c r="ET316" s="19"/>
      <c r="EU316" s="19"/>
      <c r="EV316" s="19"/>
      <c r="EW316" s="19"/>
      <c r="EX316" s="19"/>
      <c r="EY316" s="19"/>
      <c r="EZ316" s="19"/>
      <c r="FA316" s="19"/>
      <c r="FB316" s="19"/>
      <c r="FC316" s="19"/>
      <c r="FD316" s="19"/>
      <c r="FE316" s="19"/>
      <c r="FF316" s="19"/>
      <c r="FG316" s="19"/>
      <c r="FH316" s="19"/>
      <c r="FI316" s="19"/>
      <c r="FJ316" s="19"/>
      <c r="FK316" s="19"/>
      <c r="FL316" s="19"/>
      <c r="FM316" s="19"/>
      <c r="FN316" s="19"/>
      <c r="FO316" s="19"/>
      <c r="FP316" s="19"/>
      <c r="FQ316" s="19"/>
      <c r="FR316" s="19"/>
      <c r="FS316" s="19"/>
      <c r="FT316" s="19"/>
      <c r="FU316" s="19"/>
      <c r="FV316" s="19"/>
      <c r="FW316" s="19"/>
      <c r="FX316" s="19"/>
      <c r="FY316" s="19"/>
      <c r="FZ316" s="19"/>
      <c r="GA316" s="19"/>
      <c r="GB316" s="19"/>
      <c r="GC316" s="19"/>
      <c r="GD316" s="19"/>
      <c r="GE316" s="19"/>
      <c r="GF316" s="19"/>
      <c r="GG316" s="19"/>
      <c r="GH316" s="19"/>
      <c r="GI316" s="19"/>
      <c r="GJ316" s="19"/>
      <c r="GK316" s="19"/>
      <c r="GL316" s="19"/>
      <c r="GM316" s="19"/>
      <c r="GN316" s="19"/>
      <c r="GO316" s="19"/>
      <c r="GP316" s="19"/>
      <c r="GQ316" s="19"/>
      <c r="GR316" s="19"/>
      <c r="GS316" s="19"/>
      <c r="GT316" s="19"/>
      <c r="GU316" s="19"/>
      <c r="GV316" s="19"/>
      <c r="GW316" s="19"/>
      <c r="GX316" s="19"/>
      <c r="GY316" s="19"/>
      <c r="GZ316" s="19"/>
      <c r="HA316" s="19"/>
      <c r="HB316" s="19"/>
    </row>
    <row r="317" spans="1:210" x14ac:dyDescent="0.25">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c r="BE317" s="19"/>
      <c r="BF317" s="19"/>
      <c r="BG317" s="19"/>
      <c r="BH317" s="19"/>
      <c r="BI317" s="19"/>
      <c r="BJ317" s="19"/>
      <c r="BK317" s="19"/>
      <c r="BL317" s="19"/>
      <c r="BM317" s="19"/>
      <c r="BN317" s="19"/>
      <c r="BO317" s="19"/>
      <c r="BP317" s="19"/>
      <c r="BQ317" s="19"/>
      <c r="BR317" s="19"/>
      <c r="BS317" s="19"/>
      <c r="BT317" s="19"/>
      <c r="BU317" s="19"/>
      <c r="BV317" s="19"/>
      <c r="BW317" s="19"/>
      <c r="BX317" s="19"/>
      <c r="BY317" s="19"/>
      <c r="BZ317" s="19"/>
      <c r="CA317" s="19"/>
      <c r="CB317" s="19"/>
      <c r="CC317" s="19"/>
      <c r="CD317" s="19"/>
      <c r="CE317" s="19"/>
      <c r="CF317" s="19"/>
      <c r="CG317" s="19"/>
      <c r="CH317" s="19"/>
      <c r="CI317" s="19"/>
      <c r="CJ317" s="19"/>
      <c r="CK317" s="19"/>
      <c r="CL317" s="19"/>
      <c r="CM317" s="19"/>
      <c r="CN317" s="19"/>
      <c r="CO317" s="19"/>
      <c r="CP317" s="19"/>
      <c r="CQ317" s="19"/>
      <c r="CR317" s="19"/>
      <c r="CS317" s="19"/>
      <c r="CT317" s="19"/>
      <c r="CU317" s="19"/>
      <c r="CV317" s="19"/>
      <c r="CW317" s="19"/>
      <c r="CX317" s="19"/>
      <c r="CY317" s="19"/>
      <c r="CZ317" s="19"/>
      <c r="DA317" s="19"/>
      <c r="DB317" s="19"/>
      <c r="DC317" s="19"/>
      <c r="DD317" s="19"/>
      <c r="DE317" s="19"/>
      <c r="DF317" s="19"/>
      <c r="DG317" s="19"/>
      <c r="DH317" s="19"/>
      <c r="DI317" s="19"/>
      <c r="DJ317" s="19"/>
      <c r="DK317" s="19"/>
      <c r="DL317" s="19"/>
      <c r="DM317" s="19"/>
      <c r="DN317" s="19"/>
      <c r="DO317" s="19"/>
      <c r="DP317" s="19"/>
      <c r="DQ317" s="19"/>
      <c r="DR317" s="19"/>
      <c r="DS317" s="19"/>
      <c r="DT317" s="19"/>
      <c r="DU317" s="19"/>
      <c r="DV317" s="19"/>
      <c r="DW317" s="19"/>
      <c r="DX317" s="19"/>
      <c r="DY317" s="19"/>
      <c r="DZ317" s="19"/>
      <c r="EA317" s="19"/>
      <c r="EB317" s="19"/>
      <c r="EC317" s="19"/>
      <c r="ED317" s="19"/>
      <c r="EE317" s="19"/>
      <c r="EF317" s="19"/>
      <c r="EG317" s="19"/>
      <c r="EH317" s="19"/>
      <c r="EI317" s="19"/>
      <c r="EJ317" s="19"/>
      <c r="EK317" s="19"/>
      <c r="EL317" s="19"/>
      <c r="EM317" s="19"/>
      <c r="EN317" s="19"/>
      <c r="EO317" s="19"/>
      <c r="EP317" s="19"/>
      <c r="EQ317" s="19"/>
      <c r="ER317" s="19"/>
      <c r="ES317" s="19"/>
      <c r="ET317" s="19"/>
      <c r="EU317" s="19"/>
      <c r="EV317" s="19"/>
      <c r="EW317" s="19"/>
      <c r="EX317" s="19"/>
      <c r="EY317" s="19"/>
      <c r="EZ317" s="19"/>
      <c r="FA317" s="19"/>
      <c r="FB317" s="19"/>
      <c r="FC317" s="19"/>
      <c r="FD317" s="19"/>
      <c r="FE317" s="19"/>
      <c r="FF317" s="19"/>
      <c r="FG317" s="19"/>
      <c r="FH317" s="19"/>
      <c r="FI317" s="19"/>
      <c r="FJ317" s="19"/>
      <c r="FK317" s="19"/>
      <c r="FL317" s="19"/>
      <c r="FM317" s="19"/>
      <c r="FN317" s="19"/>
      <c r="FO317" s="19"/>
      <c r="FP317" s="19"/>
      <c r="FQ317" s="19"/>
      <c r="FR317" s="19"/>
      <c r="FS317" s="19"/>
      <c r="FT317" s="19"/>
      <c r="FU317" s="19"/>
      <c r="FV317" s="19"/>
      <c r="FW317" s="19"/>
      <c r="FX317" s="19"/>
      <c r="FY317" s="19"/>
      <c r="FZ317" s="19"/>
      <c r="GA317" s="19"/>
      <c r="GB317" s="19"/>
      <c r="GC317" s="19"/>
      <c r="GD317" s="19"/>
      <c r="GE317" s="19"/>
      <c r="GF317" s="19"/>
      <c r="GG317" s="19"/>
      <c r="GH317" s="19"/>
      <c r="GI317" s="19"/>
      <c r="GJ317" s="19"/>
      <c r="GK317" s="19"/>
      <c r="GL317" s="19"/>
      <c r="GM317" s="19"/>
      <c r="GN317" s="19"/>
      <c r="GO317" s="19"/>
      <c r="GP317" s="19"/>
      <c r="GQ317" s="19"/>
      <c r="GR317" s="19"/>
      <c r="GS317" s="19"/>
      <c r="GT317" s="19"/>
      <c r="GU317" s="19"/>
      <c r="GV317" s="19"/>
      <c r="GW317" s="19"/>
      <c r="GX317" s="19"/>
      <c r="GY317" s="19"/>
      <c r="GZ317" s="19"/>
      <c r="HA317" s="19"/>
      <c r="HB317" s="19"/>
    </row>
    <row r="318" spans="1:210" x14ac:dyDescent="0.25">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c r="BE318" s="19"/>
      <c r="BF318" s="19"/>
      <c r="BG318" s="19"/>
      <c r="BH318" s="19"/>
      <c r="BI318" s="19"/>
      <c r="BJ318" s="19"/>
      <c r="BK318" s="19"/>
      <c r="BL318" s="19"/>
      <c r="BM318" s="19"/>
      <c r="BN318" s="19"/>
      <c r="BO318" s="19"/>
      <c r="BP318" s="19"/>
      <c r="BQ318" s="19"/>
      <c r="BR318" s="19"/>
      <c r="BS318" s="19"/>
      <c r="BT318" s="19"/>
      <c r="BU318" s="19"/>
      <c r="BV318" s="19"/>
      <c r="BW318" s="19"/>
      <c r="BX318" s="19"/>
      <c r="BY318" s="19"/>
      <c r="BZ318" s="19"/>
      <c r="CA318" s="19"/>
      <c r="CB318" s="19"/>
      <c r="CC318" s="19"/>
      <c r="CD318" s="19"/>
      <c r="CE318" s="19"/>
      <c r="CF318" s="19"/>
      <c r="CG318" s="19"/>
      <c r="CH318" s="19"/>
      <c r="CI318" s="19"/>
      <c r="CJ318" s="19"/>
      <c r="CK318" s="19"/>
      <c r="CL318" s="19"/>
      <c r="CM318" s="19"/>
      <c r="CN318" s="19"/>
      <c r="CO318" s="19"/>
      <c r="CP318" s="19"/>
      <c r="CQ318" s="19"/>
      <c r="CR318" s="19"/>
      <c r="CS318" s="19"/>
      <c r="CT318" s="19"/>
      <c r="CU318" s="19"/>
      <c r="CV318" s="19"/>
      <c r="CW318" s="19"/>
      <c r="CX318" s="19"/>
      <c r="CY318" s="19"/>
      <c r="CZ318" s="19"/>
      <c r="DA318" s="19"/>
      <c r="DB318" s="19"/>
      <c r="DC318" s="19"/>
      <c r="DD318" s="19"/>
      <c r="DE318" s="19"/>
      <c r="DF318" s="19"/>
      <c r="DG318" s="19"/>
      <c r="DH318" s="19"/>
      <c r="DI318" s="19"/>
      <c r="DJ318" s="19"/>
      <c r="DK318" s="19"/>
      <c r="DL318" s="19"/>
      <c r="DM318" s="19"/>
      <c r="DN318" s="19"/>
      <c r="DO318" s="19"/>
      <c r="DP318" s="19"/>
      <c r="DQ318" s="19"/>
      <c r="DR318" s="19"/>
      <c r="DS318" s="19"/>
      <c r="DT318" s="19"/>
      <c r="DU318" s="19"/>
      <c r="DV318" s="19"/>
      <c r="DW318" s="19"/>
      <c r="DX318" s="19"/>
      <c r="DY318" s="19"/>
      <c r="DZ318" s="19"/>
      <c r="EA318" s="19"/>
      <c r="EB318" s="19"/>
      <c r="EC318" s="19"/>
      <c r="ED318" s="19"/>
      <c r="EE318" s="19"/>
      <c r="EF318" s="19"/>
      <c r="EG318" s="19"/>
      <c r="EH318" s="19"/>
      <c r="EI318" s="19"/>
      <c r="EJ318" s="19"/>
      <c r="EK318" s="19"/>
      <c r="EL318" s="19"/>
      <c r="EM318" s="19"/>
      <c r="EN318" s="19"/>
      <c r="EO318" s="19"/>
      <c r="EP318" s="19"/>
      <c r="EQ318" s="19"/>
      <c r="ER318" s="19"/>
      <c r="ES318" s="19"/>
      <c r="ET318" s="19"/>
      <c r="EU318" s="19"/>
      <c r="EV318" s="19"/>
      <c r="EW318" s="19"/>
      <c r="EX318" s="19"/>
      <c r="EY318" s="19"/>
      <c r="EZ318" s="19"/>
      <c r="FA318" s="19"/>
      <c r="FB318" s="19"/>
      <c r="FC318" s="19"/>
      <c r="FD318" s="19"/>
      <c r="FE318" s="19"/>
      <c r="FF318" s="19"/>
      <c r="FG318" s="19"/>
      <c r="FH318" s="19"/>
      <c r="FI318" s="19"/>
      <c r="FJ318" s="19"/>
      <c r="FK318" s="19"/>
      <c r="FL318" s="19"/>
      <c r="FM318" s="19"/>
      <c r="FN318" s="19"/>
      <c r="FO318" s="19"/>
      <c r="FP318" s="19"/>
      <c r="FQ318" s="19"/>
      <c r="FR318" s="19"/>
      <c r="FS318" s="19"/>
      <c r="FT318" s="19"/>
      <c r="FU318" s="19"/>
      <c r="FV318" s="19"/>
      <c r="FW318" s="19"/>
      <c r="FX318" s="19"/>
      <c r="FY318" s="19"/>
      <c r="FZ318" s="19"/>
      <c r="GA318" s="19"/>
      <c r="GB318" s="19"/>
      <c r="GC318" s="19"/>
      <c r="GD318" s="19"/>
      <c r="GE318" s="19"/>
      <c r="GF318" s="19"/>
      <c r="GG318" s="19"/>
      <c r="GH318" s="19"/>
      <c r="GI318" s="19"/>
      <c r="GJ318" s="19"/>
      <c r="GK318" s="19"/>
      <c r="GL318" s="19"/>
      <c r="GM318" s="19"/>
      <c r="GN318" s="19"/>
      <c r="GO318" s="19"/>
      <c r="GP318" s="19"/>
      <c r="GQ318" s="19"/>
      <c r="GR318" s="19"/>
      <c r="GS318" s="19"/>
      <c r="GT318" s="19"/>
      <c r="GU318" s="19"/>
      <c r="GV318" s="19"/>
      <c r="GW318" s="19"/>
      <c r="GX318" s="19"/>
      <c r="GY318" s="19"/>
      <c r="GZ318" s="19"/>
      <c r="HA318" s="19"/>
      <c r="HB318" s="19"/>
    </row>
    <row r="319" spans="1:210" x14ac:dyDescent="0.25">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c r="BE319" s="19"/>
      <c r="BF319" s="19"/>
      <c r="BG319" s="19"/>
      <c r="BH319" s="19"/>
      <c r="BI319" s="19"/>
      <c r="BJ319" s="19"/>
      <c r="BK319" s="19"/>
      <c r="BL319" s="19"/>
      <c r="BM319" s="19"/>
      <c r="BN319" s="19"/>
      <c r="BO319" s="19"/>
      <c r="BP319" s="19"/>
      <c r="BQ319" s="19"/>
      <c r="BR319" s="19"/>
      <c r="BS319" s="19"/>
      <c r="BT319" s="19"/>
      <c r="BU319" s="19"/>
      <c r="BV319" s="19"/>
      <c r="BW319" s="19"/>
      <c r="BX319" s="19"/>
      <c r="BY319" s="19"/>
      <c r="BZ319" s="19"/>
      <c r="CA319" s="19"/>
      <c r="CB319" s="19"/>
      <c r="CC319" s="19"/>
      <c r="CD319" s="19"/>
      <c r="CE319" s="19"/>
      <c r="CF319" s="19"/>
      <c r="CG319" s="19"/>
      <c r="CH319" s="19"/>
      <c r="CI319" s="19"/>
      <c r="CJ319" s="19"/>
      <c r="CK319" s="19"/>
      <c r="CL319" s="19"/>
      <c r="CM319" s="19"/>
      <c r="CN319" s="19"/>
      <c r="CO319" s="19"/>
      <c r="CP319" s="19"/>
      <c r="CQ319" s="19"/>
      <c r="CR319" s="19"/>
      <c r="CS319" s="19"/>
      <c r="CT319" s="19"/>
      <c r="CU319" s="19"/>
      <c r="CV319" s="19"/>
      <c r="CW319" s="19"/>
      <c r="CX319" s="19"/>
      <c r="CY319" s="19"/>
      <c r="CZ319" s="19"/>
      <c r="DA319" s="19"/>
      <c r="DB319" s="19"/>
      <c r="DC319" s="19"/>
      <c r="DD319" s="19"/>
      <c r="DE319" s="19"/>
      <c r="DF319" s="19"/>
      <c r="DG319" s="19"/>
      <c r="DH319" s="19"/>
      <c r="DI319" s="19"/>
      <c r="DJ319" s="19"/>
      <c r="DK319" s="19"/>
      <c r="DL319" s="19"/>
      <c r="DM319" s="19"/>
      <c r="DN319" s="19"/>
      <c r="DO319" s="19"/>
      <c r="DP319" s="19"/>
      <c r="DQ319" s="19"/>
      <c r="DR319" s="19"/>
      <c r="DS319" s="19"/>
      <c r="DT319" s="19"/>
      <c r="DU319" s="19"/>
      <c r="DV319" s="19"/>
      <c r="DW319" s="19"/>
      <c r="DX319" s="19"/>
      <c r="DY319" s="19"/>
      <c r="DZ319" s="19"/>
      <c r="EA319" s="19"/>
      <c r="EB319" s="19"/>
      <c r="EC319" s="19"/>
      <c r="ED319" s="19"/>
      <c r="EE319" s="19"/>
      <c r="EF319" s="19"/>
      <c r="EG319" s="19"/>
      <c r="EH319" s="19"/>
      <c r="EI319" s="19"/>
      <c r="EJ319" s="19"/>
      <c r="EK319" s="19"/>
      <c r="EL319" s="19"/>
      <c r="EM319" s="19"/>
      <c r="EN319" s="19"/>
      <c r="EO319" s="19"/>
      <c r="EP319" s="19"/>
      <c r="EQ319" s="19"/>
      <c r="ER319" s="19"/>
      <c r="ES319" s="19"/>
      <c r="ET319" s="19"/>
      <c r="EU319" s="19"/>
      <c r="EV319" s="19"/>
      <c r="EW319" s="19"/>
      <c r="EX319" s="19"/>
      <c r="EY319" s="19"/>
      <c r="EZ319" s="19"/>
      <c r="FA319" s="19"/>
      <c r="FB319" s="19"/>
      <c r="FC319" s="19"/>
      <c r="FD319" s="19"/>
      <c r="FE319" s="19"/>
      <c r="FF319" s="19"/>
      <c r="FG319" s="19"/>
      <c r="FH319" s="19"/>
      <c r="FI319" s="19"/>
      <c r="FJ319" s="19"/>
      <c r="FK319" s="19"/>
      <c r="FL319" s="19"/>
      <c r="FM319" s="19"/>
      <c r="FN319" s="19"/>
      <c r="FO319" s="19"/>
      <c r="FP319" s="19"/>
      <c r="FQ319" s="19"/>
      <c r="FR319" s="19"/>
      <c r="FS319" s="19"/>
      <c r="FT319" s="19"/>
      <c r="FU319" s="19"/>
      <c r="FV319" s="19"/>
      <c r="FW319" s="19"/>
      <c r="FX319" s="19"/>
      <c r="FY319" s="19"/>
      <c r="FZ319" s="19"/>
      <c r="GA319" s="19"/>
      <c r="GB319" s="19"/>
      <c r="GC319" s="19"/>
      <c r="GD319" s="19"/>
      <c r="GE319" s="19"/>
      <c r="GF319" s="19"/>
      <c r="GG319" s="19"/>
      <c r="GH319" s="19"/>
      <c r="GI319" s="19"/>
      <c r="GJ319" s="19"/>
      <c r="GK319" s="19"/>
      <c r="GL319" s="19"/>
      <c r="GM319" s="19"/>
      <c r="GN319" s="19"/>
      <c r="GO319" s="19"/>
      <c r="GP319" s="19"/>
      <c r="GQ319" s="19"/>
      <c r="GR319" s="19"/>
      <c r="GS319" s="19"/>
      <c r="GT319" s="19"/>
      <c r="GU319" s="19"/>
      <c r="GV319" s="19"/>
      <c r="GW319" s="19"/>
      <c r="GX319" s="19"/>
      <c r="GY319" s="19"/>
      <c r="GZ319" s="19"/>
      <c r="HA319" s="19"/>
      <c r="HB319" s="19"/>
    </row>
    <row r="320" spans="1:210" x14ac:dyDescent="0.25">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c r="BE320" s="19"/>
      <c r="BF320" s="19"/>
      <c r="BG320" s="19"/>
      <c r="BH320" s="19"/>
      <c r="BI320" s="19"/>
      <c r="BJ320" s="19"/>
      <c r="BK320" s="19"/>
      <c r="BL320" s="19"/>
      <c r="BM320" s="19"/>
      <c r="BN320" s="19"/>
      <c r="BO320" s="19"/>
      <c r="BP320" s="19"/>
      <c r="BQ320" s="19"/>
      <c r="BR320" s="19"/>
      <c r="BS320" s="19"/>
      <c r="BT320" s="19"/>
      <c r="BU320" s="19"/>
      <c r="BV320" s="19"/>
      <c r="BW320" s="19"/>
      <c r="BX320" s="19"/>
      <c r="BY320" s="19"/>
      <c r="BZ320" s="19"/>
      <c r="CA320" s="19"/>
      <c r="CB320" s="19"/>
      <c r="CC320" s="19"/>
      <c r="CD320" s="19"/>
      <c r="CE320" s="19"/>
      <c r="CF320" s="19"/>
      <c r="CG320" s="19"/>
      <c r="CH320" s="19"/>
      <c r="CI320" s="19"/>
      <c r="CJ320" s="19"/>
      <c r="CK320" s="19"/>
      <c r="CL320" s="19"/>
      <c r="CM320" s="19"/>
      <c r="CN320" s="19"/>
      <c r="CO320" s="19"/>
      <c r="CP320" s="19"/>
      <c r="CQ320" s="19"/>
      <c r="CR320" s="19"/>
      <c r="CS320" s="19"/>
      <c r="CT320" s="19"/>
      <c r="CU320" s="19"/>
      <c r="CV320" s="19"/>
      <c r="CW320" s="19"/>
      <c r="CX320" s="19"/>
      <c r="CY320" s="19"/>
      <c r="CZ320" s="19"/>
      <c r="DA320" s="19"/>
      <c r="DB320" s="19"/>
      <c r="DC320" s="19"/>
      <c r="DD320" s="19"/>
      <c r="DE320" s="19"/>
      <c r="DF320" s="19"/>
      <c r="DG320" s="19"/>
      <c r="DH320" s="19"/>
      <c r="DI320" s="19"/>
      <c r="DJ320" s="19"/>
      <c r="DK320" s="19"/>
      <c r="DL320" s="19"/>
      <c r="DM320" s="19"/>
      <c r="DN320" s="19"/>
      <c r="DO320" s="19"/>
      <c r="DP320" s="19"/>
      <c r="DQ320" s="19"/>
      <c r="DR320" s="19"/>
      <c r="DS320" s="19"/>
      <c r="DT320" s="19"/>
      <c r="DU320" s="19"/>
      <c r="DV320" s="19"/>
      <c r="DW320" s="19"/>
      <c r="DX320" s="19"/>
      <c r="DY320" s="19"/>
      <c r="DZ320" s="19"/>
      <c r="EA320" s="19"/>
      <c r="EB320" s="19"/>
      <c r="EC320" s="19"/>
      <c r="ED320" s="19"/>
      <c r="EE320" s="19"/>
      <c r="EF320" s="19"/>
      <c r="EG320" s="19"/>
      <c r="EH320" s="19"/>
      <c r="EI320" s="19"/>
      <c r="EJ320" s="19"/>
      <c r="EK320" s="19"/>
      <c r="EL320" s="19"/>
      <c r="EM320" s="19"/>
      <c r="EN320" s="19"/>
      <c r="EO320" s="19"/>
      <c r="EP320" s="19"/>
      <c r="EQ320" s="19"/>
      <c r="ER320" s="19"/>
      <c r="ES320" s="19"/>
      <c r="ET320" s="19"/>
      <c r="EU320" s="19"/>
      <c r="EV320" s="19"/>
      <c r="EW320" s="19"/>
      <c r="EX320" s="19"/>
      <c r="EY320" s="19"/>
      <c r="EZ320" s="19"/>
      <c r="FA320" s="19"/>
      <c r="FB320" s="19"/>
      <c r="FC320" s="19"/>
      <c r="FD320" s="19"/>
      <c r="FE320" s="19"/>
      <c r="FF320" s="19"/>
      <c r="FG320" s="19"/>
      <c r="FH320" s="19"/>
      <c r="FI320" s="19"/>
      <c r="FJ320" s="19"/>
      <c r="FK320" s="19"/>
      <c r="FL320" s="19"/>
      <c r="FM320" s="19"/>
      <c r="FN320" s="19"/>
      <c r="FO320" s="19"/>
      <c r="FP320" s="19"/>
      <c r="FQ320" s="19"/>
      <c r="FR320" s="19"/>
      <c r="FS320" s="19"/>
      <c r="FT320" s="19"/>
      <c r="FU320" s="19"/>
      <c r="FV320" s="19"/>
      <c r="FW320" s="19"/>
      <c r="FX320" s="19"/>
      <c r="FY320" s="19"/>
      <c r="FZ320" s="19"/>
      <c r="GA320" s="19"/>
      <c r="GB320" s="19"/>
      <c r="GC320" s="19"/>
      <c r="GD320" s="19"/>
      <c r="GE320" s="19"/>
      <c r="GF320" s="19"/>
      <c r="GG320" s="19"/>
      <c r="GH320" s="19"/>
      <c r="GI320" s="19"/>
      <c r="GJ320" s="19"/>
      <c r="GK320" s="19"/>
      <c r="GL320" s="19"/>
      <c r="GM320" s="19"/>
      <c r="GN320" s="19"/>
      <c r="GO320" s="19"/>
      <c r="GP320" s="19"/>
      <c r="GQ320" s="19"/>
      <c r="GR320" s="19"/>
      <c r="GS320" s="19"/>
      <c r="GT320" s="19"/>
      <c r="GU320" s="19"/>
      <c r="GV320" s="19"/>
      <c r="GW320" s="19"/>
      <c r="GX320" s="19"/>
      <c r="GY320" s="19"/>
      <c r="GZ320" s="19"/>
      <c r="HA320" s="19"/>
      <c r="HB320" s="19"/>
    </row>
    <row r="321" spans="1:210" x14ac:dyDescent="0.25">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c r="BE321" s="19"/>
      <c r="BF321" s="19"/>
      <c r="BG321" s="19"/>
      <c r="BH321" s="19"/>
      <c r="BI321" s="19"/>
      <c r="BJ321" s="19"/>
      <c r="BK321" s="19"/>
      <c r="BL321" s="19"/>
      <c r="BM321" s="19"/>
      <c r="BN321" s="19"/>
      <c r="BO321" s="19"/>
      <c r="BP321" s="19"/>
      <c r="BQ321" s="19"/>
      <c r="BR321" s="19"/>
      <c r="BS321" s="19"/>
      <c r="BT321" s="19"/>
      <c r="BU321" s="19"/>
      <c r="BV321" s="19"/>
      <c r="BW321" s="19"/>
      <c r="BX321" s="19"/>
      <c r="BY321" s="19"/>
      <c r="BZ321" s="19"/>
      <c r="CA321" s="19"/>
      <c r="CB321" s="19"/>
      <c r="CC321" s="19"/>
      <c r="CD321" s="19"/>
      <c r="CE321" s="19"/>
      <c r="CF321" s="19"/>
      <c r="CG321" s="19"/>
      <c r="CH321" s="19"/>
      <c r="CI321" s="19"/>
      <c r="CJ321" s="19"/>
      <c r="CK321" s="19"/>
      <c r="CL321" s="19"/>
      <c r="CM321" s="19"/>
      <c r="CN321" s="19"/>
      <c r="CO321" s="19"/>
      <c r="CP321" s="19"/>
      <c r="CQ321" s="19"/>
      <c r="CR321" s="19"/>
      <c r="CS321" s="19"/>
      <c r="CT321" s="19"/>
      <c r="CU321" s="19"/>
      <c r="CV321" s="19"/>
      <c r="CW321" s="19"/>
      <c r="CX321" s="19"/>
      <c r="CY321" s="19"/>
      <c r="CZ321" s="19"/>
      <c r="DA321" s="19"/>
      <c r="DB321" s="19"/>
      <c r="DC321" s="19"/>
      <c r="DD321" s="19"/>
      <c r="DE321" s="19"/>
      <c r="DF321" s="19"/>
      <c r="DG321" s="19"/>
      <c r="DH321" s="19"/>
      <c r="DI321" s="19"/>
      <c r="DJ321" s="19"/>
      <c r="DK321" s="19"/>
      <c r="DL321" s="19"/>
      <c r="DM321" s="19"/>
      <c r="DN321" s="19"/>
      <c r="DO321" s="19"/>
      <c r="DP321" s="19"/>
      <c r="DQ321" s="19"/>
      <c r="DR321" s="19"/>
      <c r="DS321" s="19"/>
      <c r="DT321" s="19"/>
      <c r="DU321" s="19"/>
      <c r="DV321" s="19"/>
      <c r="DW321" s="19"/>
      <c r="DX321" s="19"/>
      <c r="DY321" s="19"/>
      <c r="DZ321" s="19"/>
      <c r="EA321" s="19"/>
      <c r="EB321" s="19"/>
      <c r="EC321" s="19"/>
      <c r="ED321" s="19"/>
      <c r="EE321" s="19"/>
      <c r="EF321" s="19"/>
      <c r="EG321" s="19"/>
      <c r="EH321" s="19"/>
      <c r="EI321" s="19"/>
      <c r="EJ321" s="19"/>
      <c r="EK321" s="19"/>
      <c r="EL321" s="19"/>
      <c r="EM321" s="19"/>
      <c r="EN321" s="19"/>
      <c r="EO321" s="19"/>
      <c r="EP321" s="19"/>
      <c r="EQ321" s="19"/>
      <c r="ER321" s="19"/>
      <c r="ES321" s="19"/>
      <c r="ET321" s="19"/>
      <c r="EU321" s="19"/>
      <c r="EV321" s="19"/>
      <c r="EW321" s="19"/>
      <c r="EX321" s="19"/>
      <c r="EY321" s="19"/>
      <c r="EZ321" s="19"/>
      <c r="FA321" s="19"/>
      <c r="FB321" s="19"/>
      <c r="FC321" s="19"/>
      <c r="FD321" s="19"/>
      <c r="FE321" s="19"/>
      <c r="FF321" s="19"/>
      <c r="FG321" s="19"/>
      <c r="FH321" s="19"/>
      <c r="FI321" s="19"/>
      <c r="FJ321" s="19"/>
      <c r="FK321" s="19"/>
      <c r="FL321" s="19"/>
      <c r="FM321" s="19"/>
      <c r="FN321" s="19"/>
      <c r="FO321" s="19"/>
      <c r="FP321" s="19"/>
      <c r="FQ321" s="19"/>
      <c r="FR321" s="19"/>
      <c r="FS321" s="19"/>
      <c r="FT321" s="19"/>
      <c r="FU321" s="19"/>
      <c r="FV321" s="19"/>
      <c r="FW321" s="19"/>
      <c r="FX321" s="19"/>
      <c r="FY321" s="19"/>
      <c r="FZ321" s="19"/>
      <c r="GA321" s="19"/>
      <c r="GB321" s="19"/>
      <c r="GC321" s="19"/>
      <c r="GD321" s="19"/>
      <c r="GE321" s="19"/>
      <c r="GF321" s="19"/>
      <c r="GG321" s="19"/>
      <c r="GH321" s="19"/>
      <c r="GI321" s="19"/>
      <c r="GJ321" s="19"/>
      <c r="GK321" s="19"/>
      <c r="GL321" s="19"/>
      <c r="GM321" s="19"/>
      <c r="GN321" s="19"/>
      <c r="GO321" s="19"/>
      <c r="GP321" s="19"/>
      <c r="GQ321" s="19"/>
      <c r="GR321" s="19"/>
      <c r="GS321" s="19"/>
      <c r="GT321" s="19"/>
      <c r="GU321" s="19"/>
      <c r="GV321" s="19"/>
      <c r="GW321" s="19"/>
      <c r="GX321" s="19"/>
      <c r="GY321" s="19"/>
      <c r="GZ321" s="19"/>
      <c r="HA321" s="19"/>
      <c r="HB321" s="19"/>
    </row>
    <row r="322" spans="1:210" x14ac:dyDescent="0.25">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c r="BE322" s="19"/>
      <c r="BF322" s="19"/>
      <c r="BG322" s="19"/>
      <c r="BH322" s="19"/>
      <c r="BI322" s="19"/>
      <c r="BJ322" s="19"/>
      <c r="BK322" s="19"/>
      <c r="BL322" s="19"/>
      <c r="BM322" s="19"/>
      <c r="BN322" s="19"/>
      <c r="BO322" s="19"/>
      <c r="BP322" s="19"/>
      <c r="BQ322" s="19"/>
      <c r="BR322" s="19"/>
      <c r="BS322" s="19"/>
      <c r="BT322" s="19"/>
      <c r="BU322" s="19"/>
      <c r="BV322" s="19"/>
      <c r="BW322" s="19"/>
      <c r="BX322" s="19"/>
      <c r="BY322" s="19"/>
      <c r="BZ322" s="19"/>
      <c r="CA322" s="19"/>
      <c r="CB322" s="19"/>
      <c r="CC322" s="19"/>
      <c r="CD322" s="19"/>
      <c r="CE322" s="19"/>
      <c r="CF322" s="19"/>
      <c r="CG322" s="19"/>
      <c r="CH322" s="19"/>
      <c r="CI322" s="19"/>
      <c r="CJ322" s="19"/>
      <c r="CK322" s="19"/>
      <c r="CL322" s="19"/>
      <c r="CM322" s="19"/>
      <c r="CN322" s="19"/>
      <c r="CO322" s="19"/>
      <c r="CP322" s="19"/>
      <c r="CQ322" s="19"/>
      <c r="CR322" s="19"/>
      <c r="CS322" s="19"/>
      <c r="CT322" s="19"/>
      <c r="CU322" s="19"/>
      <c r="CV322" s="19"/>
      <c r="CW322" s="19"/>
      <c r="CX322" s="19"/>
      <c r="CY322" s="19"/>
      <c r="CZ322" s="19"/>
      <c r="DA322" s="19"/>
      <c r="DB322" s="19"/>
      <c r="DC322" s="19"/>
      <c r="DD322" s="19"/>
      <c r="DE322" s="19"/>
      <c r="DF322" s="19"/>
      <c r="DG322" s="19"/>
      <c r="DH322" s="19"/>
      <c r="DI322" s="19"/>
      <c r="DJ322" s="19"/>
      <c r="DK322" s="19"/>
      <c r="DL322" s="19"/>
      <c r="DM322" s="19"/>
      <c r="DN322" s="19"/>
      <c r="DO322" s="19"/>
      <c r="DP322" s="19"/>
      <c r="DQ322" s="19"/>
      <c r="DR322" s="19"/>
      <c r="DS322" s="19"/>
      <c r="DT322" s="19"/>
      <c r="DU322" s="19"/>
      <c r="DV322" s="19"/>
      <c r="DW322" s="19"/>
      <c r="DX322" s="19"/>
      <c r="DY322" s="19"/>
      <c r="DZ322" s="19"/>
      <c r="EA322" s="19"/>
      <c r="EB322" s="19"/>
      <c r="EC322" s="19"/>
      <c r="ED322" s="19"/>
      <c r="EE322" s="19"/>
      <c r="EF322" s="19"/>
      <c r="EG322" s="19"/>
      <c r="EH322" s="19"/>
      <c r="EI322" s="19"/>
      <c r="EJ322" s="19"/>
      <c r="EK322" s="19"/>
      <c r="EL322" s="19"/>
      <c r="EM322" s="19"/>
      <c r="EN322" s="19"/>
      <c r="EO322" s="19"/>
      <c r="EP322" s="19"/>
      <c r="EQ322" s="19"/>
      <c r="ER322" s="19"/>
      <c r="ES322" s="19"/>
      <c r="ET322" s="19"/>
      <c r="EU322" s="19"/>
      <c r="EV322" s="19"/>
      <c r="EW322" s="19"/>
      <c r="EX322" s="19"/>
      <c r="EY322" s="19"/>
      <c r="EZ322" s="19"/>
      <c r="FA322" s="19"/>
      <c r="FB322" s="19"/>
      <c r="FC322" s="19"/>
      <c r="FD322" s="19"/>
      <c r="FE322" s="19"/>
      <c r="FF322" s="19"/>
      <c r="FG322" s="19"/>
      <c r="FH322" s="19"/>
      <c r="FI322" s="19"/>
      <c r="FJ322" s="19"/>
      <c r="FK322" s="19"/>
      <c r="FL322" s="19"/>
      <c r="FM322" s="19"/>
      <c r="FN322" s="19"/>
      <c r="FO322" s="19"/>
      <c r="FP322" s="19"/>
      <c r="FQ322" s="19"/>
      <c r="FR322" s="19"/>
      <c r="FS322" s="19"/>
      <c r="FT322" s="19"/>
      <c r="FU322" s="19"/>
      <c r="FV322" s="19"/>
      <c r="FW322" s="19"/>
      <c r="FX322" s="19"/>
      <c r="FY322" s="19"/>
      <c r="FZ322" s="19"/>
      <c r="GA322" s="19"/>
      <c r="GB322" s="19"/>
      <c r="GC322" s="19"/>
      <c r="GD322" s="19"/>
      <c r="GE322" s="19"/>
      <c r="GF322" s="19"/>
      <c r="GG322" s="19"/>
      <c r="GH322" s="19"/>
      <c r="GI322" s="19"/>
      <c r="GJ322" s="19"/>
      <c r="GK322" s="19"/>
      <c r="GL322" s="19"/>
      <c r="GM322" s="19"/>
      <c r="GN322" s="19"/>
      <c r="GO322" s="19"/>
      <c r="GP322" s="19"/>
      <c r="GQ322" s="19"/>
      <c r="GR322" s="19"/>
      <c r="GS322" s="19"/>
      <c r="GT322" s="19"/>
      <c r="GU322" s="19"/>
      <c r="GV322" s="19"/>
      <c r="GW322" s="19"/>
      <c r="GX322" s="19"/>
      <c r="GY322" s="19"/>
      <c r="GZ322" s="19"/>
      <c r="HA322" s="19"/>
      <c r="HB322" s="19"/>
    </row>
    <row r="323" spans="1:210" x14ac:dyDescent="0.25">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c r="BE323" s="19"/>
      <c r="BF323" s="19"/>
      <c r="BG323" s="19"/>
      <c r="BH323" s="19"/>
      <c r="BI323" s="19"/>
      <c r="BJ323" s="19"/>
      <c r="BK323" s="19"/>
      <c r="BL323" s="19"/>
      <c r="BM323" s="19"/>
      <c r="BN323" s="19"/>
      <c r="BO323" s="19"/>
      <c r="BP323" s="19"/>
      <c r="BQ323" s="19"/>
      <c r="BR323" s="19"/>
      <c r="BS323" s="19"/>
      <c r="BT323" s="19"/>
      <c r="BU323" s="19"/>
      <c r="BV323" s="19"/>
      <c r="BW323" s="19"/>
      <c r="BX323" s="19"/>
      <c r="BY323" s="19"/>
      <c r="BZ323" s="19"/>
      <c r="CA323" s="19"/>
      <c r="CB323" s="19"/>
      <c r="CC323" s="19"/>
      <c r="CD323" s="19"/>
      <c r="CE323" s="19"/>
      <c r="CF323" s="19"/>
      <c r="CG323" s="19"/>
      <c r="CH323" s="19"/>
      <c r="CI323" s="19"/>
      <c r="CJ323" s="19"/>
      <c r="CK323" s="19"/>
      <c r="CL323" s="19"/>
      <c r="CM323" s="19"/>
      <c r="CN323" s="19"/>
      <c r="CO323" s="19"/>
      <c r="CP323" s="19"/>
      <c r="CQ323" s="19"/>
      <c r="CR323" s="19"/>
      <c r="CS323" s="19"/>
      <c r="CT323" s="19"/>
      <c r="CU323" s="19"/>
      <c r="CV323" s="19"/>
      <c r="CW323" s="19"/>
      <c r="CX323" s="19"/>
      <c r="CY323" s="19"/>
      <c r="CZ323" s="19"/>
      <c r="DA323" s="19"/>
      <c r="DB323" s="19"/>
      <c r="DC323" s="19"/>
      <c r="DD323" s="19"/>
      <c r="DE323" s="19"/>
      <c r="DF323" s="19"/>
      <c r="DG323" s="19"/>
      <c r="DH323" s="19"/>
      <c r="DI323" s="19"/>
      <c r="DJ323" s="19"/>
      <c r="DK323" s="19"/>
      <c r="DL323" s="19"/>
      <c r="DM323" s="19"/>
      <c r="DN323" s="19"/>
      <c r="DO323" s="19"/>
      <c r="DP323" s="19"/>
      <c r="DQ323" s="19"/>
      <c r="DR323" s="19"/>
      <c r="DS323" s="19"/>
      <c r="DT323" s="19"/>
      <c r="DU323" s="19"/>
      <c r="DV323" s="19"/>
      <c r="DW323" s="19"/>
      <c r="DX323" s="19"/>
      <c r="DY323" s="19"/>
      <c r="DZ323" s="19"/>
      <c r="EA323" s="19"/>
      <c r="EB323" s="19"/>
      <c r="EC323" s="19"/>
      <c r="ED323" s="19"/>
      <c r="EE323" s="19"/>
      <c r="EF323" s="19"/>
      <c r="EG323" s="19"/>
      <c r="EH323" s="19"/>
      <c r="EI323" s="19"/>
      <c r="EJ323" s="19"/>
      <c r="EK323" s="19"/>
      <c r="EL323" s="19"/>
      <c r="EM323" s="19"/>
      <c r="EN323" s="19"/>
      <c r="EO323" s="19"/>
      <c r="EP323" s="19"/>
      <c r="EQ323" s="19"/>
      <c r="ER323" s="19"/>
      <c r="ES323" s="19"/>
      <c r="ET323" s="19"/>
      <c r="EU323" s="19"/>
      <c r="EV323" s="19"/>
      <c r="EW323" s="19"/>
      <c r="EX323" s="19"/>
      <c r="EY323" s="19"/>
      <c r="EZ323" s="19"/>
      <c r="FA323" s="19"/>
      <c r="FB323" s="19"/>
      <c r="FC323" s="19"/>
      <c r="FD323" s="19"/>
      <c r="FE323" s="19"/>
      <c r="FF323" s="19"/>
      <c r="FG323" s="19"/>
      <c r="FH323" s="19"/>
      <c r="FI323" s="19"/>
      <c r="FJ323" s="19"/>
      <c r="FK323" s="19"/>
      <c r="FL323" s="19"/>
      <c r="FM323" s="19"/>
      <c r="FN323" s="19"/>
      <c r="FO323" s="19"/>
      <c r="FP323" s="19"/>
      <c r="FQ323" s="19"/>
      <c r="FR323" s="19"/>
      <c r="FS323" s="19"/>
      <c r="FT323" s="19"/>
      <c r="FU323" s="19"/>
      <c r="FV323" s="19"/>
      <c r="FW323" s="19"/>
      <c r="FX323" s="19"/>
      <c r="FY323" s="19"/>
      <c r="FZ323" s="19"/>
      <c r="GA323" s="19"/>
      <c r="GB323" s="19"/>
      <c r="GC323" s="19"/>
      <c r="GD323" s="19"/>
      <c r="GE323" s="19"/>
      <c r="GF323" s="19"/>
      <c r="GG323" s="19"/>
      <c r="GH323" s="19"/>
      <c r="GI323" s="19"/>
      <c r="GJ323" s="19"/>
      <c r="GK323" s="19"/>
      <c r="GL323" s="19"/>
      <c r="GM323" s="19"/>
      <c r="GN323" s="19"/>
      <c r="GO323" s="19"/>
      <c r="GP323" s="19"/>
      <c r="GQ323" s="19"/>
      <c r="GR323" s="19"/>
      <c r="GS323" s="19"/>
      <c r="GT323" s="19"/>
      <c r="GU323" s="19"/>
      <c r="GV323" s="19"/>
      <c r="GW323" s="19"/>
      <c r="GX323" s="19"/>
      <c r="GY323" s="19"/>
      <c r="GZ323" s="19"/>
      <c r="HA323" s="19"/>
      <c r="HB323" s="19"/>
    </row>
    <row r="324" spans="1:210" x14ac:dyDescent="0.25">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c r="BE324" s="19"/>
      <c r="BF324" s="19"/>
      <c r="BG324" s="19"/>
      <c r="BH324" s="19"/>
      <c r="BI324" s="19"/>
      <c r="BJ324" s="19"/>
      <c r="BK324" s="19"/>
      <c r="BL324" s="19"/>
      <c r="BM324" s="19"/>
      <c r="BN324" s="19"/>
      <c r="BO324" s="19"/>
      <c r="BP324" s="19"/>
      <c r="BQ324" s="19"/>
      <c r="BR324" s="19"/>
      <c r="BS324" s="19"/>
      <c r="BT324" s="19"/>
      <c r="BU324" s="19"/>
      <c r="BV324" s="19"/>
      <c r="BW324" s="19"/>
      <c r="BX324" s="19"/>
      <c r="BY324" s="19"/>
      <c r="BZ324" s="19"/>
      <c r="CA324" s="19"/>
      <c r="CB324" s="19"/>
      <c r="CC324" s="19"/>
      <c r="CD324" s="19"/>
      <c r="CE324" s="19"/>
      <c r="CF324" s="19"/>
      <c r="CG324" s="19"/>
      <c r="CH324" s="19"/>
      <c r="CI324" s="19"/>
      <c r="CJ324" s="19"/>
      <c r="CK324" s="19"/>
      <c r="CL324" s="19"/>
      <c r="CM324" s="19"/>
      <c r="CN324" s="19"/>
      <c r="CO324" s="19"/>
      <c r="CP324" s="19"/>
      <c r="CQ324" s="19"/>
      <c r="CR324" s="19"/>
      <c r="CS324" s="19"/>
      <c r="CT324" s="19"/>
      <c r="CU324" s="19"/>
      <c r="CV324" s="19"/>
      <c r="CW324" s="19"/>
      <c r="CX324" s="19"/>
      <c r="CY324" s="19"/>
      <c r="CZ324" s="19"/>
      <c r="DA324" s="19"/>
      <c r="DB324" s="19"/>
      <c r="DC324" s="19"/>
      <c r="DD324" s="19"/>
      <c r="DE324" s="19"/>
      <c r="DF324" s="19"/>
      <c r="DG324" s="19"/>
      <c r="DH324" s="19"/>
      <c r="DI324" s="19"/>
      <c r="DJ324" s="19"/>
      <c r="DK324" s="19"/>
      <c r="DL324" s="19"/>
      <c r="DM324" s="19"/>
      <c r="DN324" s="19"/>
      <c r="DO324" s="19"/>
      <c r="DP324" s="19"/>
      <c r="DQ324" s="19"/>
      <c r="DR324" s="19"/>
      <c r="DS324" s="19"/>
      <c r="DT324" s="19"/>
      <c r="DU324" s="19"/>
      <c r="DV324" s="19"/>
      <c r="DW324" s="19"/>
      <c r="DX324" s="19"/>
      <c r="DY324" s="19"/>
      <c r="DZ324" s="19"/>
      <c r="EA324" s="19"/>
      <c r="EB324" s="19"/>
      <c r="EC324" s="19"/>
      <c r="ED324" s="19"/>
      <c r="EE324" s="19"/>
      <c r="EF324" s="19"/>
      <c r="EG324" s="19"/>
      <c r="EH324" s="19"/>
      <c r="EI324" s="19"/>
      <c r="EJ324" s="19"/>
      <c r="EK324" s="19"/>
      <c r="EL324" s="19"/>
      <c r="EM324" s="19"/>
      <c r="EN324" s="19"/>
      <c r="EO324" s="19"/>
      <c r="EP324" s="19"/>
      <c r="EQ324" s="19"/>
      <c r="ER324" s="19"/>
      <c r="ES324" s="19"/>
      <c r="ET324" s="19"/>
      <c r="EU324" s="19"/>
      <c r="EV324" s="19"/>
      <c r="EW324" s="19"/>
      <c r="EX324" s="19"/>
      <c r="EY324" s="19"/>
      <c r="EZ324" s="19"/>
      <c r="FA324" s="19"/>
      <c r="FB324" s="19"/>
      <c r="FC324" s="19"/>
      <c r="FD324" s="19"/>
      <c r="FE324" s="19"/>
      <c r="FF324" s="19"/>
      <c r="FG324" s="19"/>
      <c r="FH324" s="19"/>
      <c r="FI324" s="19"/>
      <c r="FJ324" s="19"/>
      <c r="FK324" s="19"/>
      <c r="FL324" s="19"/>
      <c r="FM324" s="19"/>
      <c r="FN324" s="19"/>
      <c r="FO324" s="19"/>
      <c r="FP324" s="19"/>
      <c r="FQ324" s="19"/>
      <c r="FR324" s="19"/>
      <c r="FS324" s="19"/>
      <c r="FT324" s="19"/>
      <c r="FU324" s="19"/>
      <c r="FV324" s="19"/>
      <c r="FW324" s="19"/>
      <c r="FX324" s="19"/>
      <c r="FY324" s="19"/>
      <c r="FZ324" s="19"/>
      <c r="GA324" s="19"/>
      <c r="GB324" s="19"/>
      <c r="GC324" s="19"/>
      <c r="GD324" s="19"/>
      <c r="GE324" s="19"/>
      <c r="GF324" s="19"/>
      <c r="GG324" s="19"/>
      <c r="GH324" s="19"/>
      <c r="GI324" s="19"/>
      <c r="GJ324" s="19"/>
      <c r="GK324" s="19"/>
      <c r="GL324" s="19"/>
      <c r="GM324" s="19"/>
      <c r="GN324" s="19"/>
      <c r="GO324" s="19"/>
      <c r="GP324" s="19"/>
      <c r="GQ324" s="19"/>
      <c r="GR324" s="19"/>
      <c r="GS324" s="19"/>
      <c r="GT324" s="19"/>
      <c r="GU324" s="19"/>
      <c r="GV324" s="19"/>
      <c r="GW324" s="19"/>
      <c r="GX324" s="19"/>
      <c r="GY324" s="19"/>
      <c r="GZ324" s="19"/>
      <c r="HA324" s="19"/>
      <c r="HB324" s="19"/>
    </row>
    <row r="325" spans="1:210" x14ac:dyDescent="0.25">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c r="BE325" s="19"/>
      <c r="BF325" s="19"/>
      <c r="BG325" s="19"/>
      <c r="BH325" s="19"/>
      <c r="BI325" s="19"/>
      <c r="BJ325" s="19"/>
      <c r="BK325" s="19"/>
      <c r="BL325" s="19"/>
      <c r="BM325" s="19"/>
      <c r="BN325" s="19"/>
      <c r="BO325" s="19"/>
      <c r="BP325" s="19"/>
      <c r="BQ325" s="19"/>
      <c r="BR325" s="19"/>
      <c r="BS325" s="19"/>
      <c r="BT325" s="19"/>
      <c r="BU325" s="19"/>
      <c r="BV325" s="19"/>
      <c r="BW325" s="19"/>
      <c r="BX325" s="19"/>
      <c r="BY325" s="19"/>
      <c r="BZ325" s="19"/>
      <c r="CA325" s="19"/>
      <c r="CB325" s="19"/>
      <c r="CC325" s="19"/>
      <c r="CD325" s="19"/>
      <c r="CE325" s="19"/>
      <c r="CF325" s="19"/>
      <c r="CG325" s="19"/>
      <c r="CH325" s="19"/>
      <c r="CI325" s="19"/>
      <c r="CJ325" s="19"/>
      <c r="CK325" s="19"/>
      <c r="CL325" s="19"/>
      <c r="CM325" s="19"/>
      <c r="CN325" s="19"/>
      <c r="CO325" s="19"/>
      <c r="CP325" s="19"/>
      <c r="CQ325" s="19"/>
      <c r="CR325" s="19"/>
      <c r="CS325" s="19"/>
      <c r="CT325" s="19"/>
      <c r="CU325" s="19"/>
      <c r="CV325" s="19"/>
      <c r="CW325" s="19"/>
      <c r="CX325" s="19"/>
      <c r="CY325" s="19"/>
      <c r="CZ325" s="19"/>
      <c r="DA325" s="19"/>
      <c r="DB325" s="19"/>
      <c r="DC325" s="19"/>
      <c r="DD325" s="19"/>
      <c r="DE325" s="19"/>
      <c r="DF325" s="19"/>
      <c r="DG325" s="19"/>
      <c r="DH325" s="19"/>
      <c r="DI325" s="19"/>
      <c r="DJ325" s="19"/>
      <c r="DK325" s="19"/>
      <c r="DL325" s="19"/>
      <c r="DM325" s="19"/>
      <c r="DN325" s="19"/>
      <c r="DO325" s="19"/>
      <c r="DP325" s="19"/>
      <c r="DQ325" s="19"/>
      <c r="DR325" s="19"/>
      <c r="DS325" s="19"/>
      <c r="DT325" s="19"/>
      <c r="DU325" s="19"/>
      <c r="DV325" s="19"/>
      <c r="DW325" s="19"/>
      <c r="DX325" s="19"/>
      <c r="DY325" s="19"/>
      <c r="DZ325" s="19"/>
      <c r="EA325" s="19"/>
      <c r="EB325" s="19"/>
      <c r="EC325" s="19"/>
      <c r="ED325" s="19"/>
      <c r="EE325" s="19"/>
      <c r="EF325" s="19"/>
      <c r="EG325" s="19"/>
      <c r="EH325" s="19"/>
      <c r="EI325" s="19"/>
      <c r="EJ325" s="19"/>
      <c r="EK325" s="19"/>
      <c r="EL325" s="19"/>
      <c r="EM325" s="19"/>
      <c r="EN325" s="19"/>
      <c r="EO325" s="19"/>
      <c r="EP325" s="19"/>
      <c r="EQ325" s="19"/>
      <c r="ER325" s="19"/>
      <c r="ES325" s="19"/>
      <c r="ET325" s="19"/>
      <c r="EU325" s="19"/>
      <c r="EV325" s="19"/>
      <c r="EW325" s="19"/>
      <c r="EX325" s="19"/>
      <c r="EY325" s="19"/>
      <c r="EZ325" s="19"/>
      <c r="FA325" s="19"/>
      <c r="FB325" s="19"/>
      <c r="FC325" s="19"/>
      <c r="FD325" s="19"/>
      <c r="FE325" s="19"/>
      <c r="FF325" s="19"/>
      <c r="FG325" s="19"/>
      <c r="FH325" s="19"/>
      <c r="FI325" s="19"/>
      <c r="FJ325" s="19"/>
      <c r="FK325" s="19"/>
      <c r="FL325" s="19"/>
      <c r="FM325" s="19"/>
      <c r="FN325" s="19"/>
      <c r="FO325" s="19"/>
      <c r="FP325" s="19"/>
      <c r="FQ325" s="19"/>
      <c r="FR325" s="19"/>
      <c r="FS325" s="19"/>
      <c r="FT325" s="19"/>
      <c r="FU325" s="19"/>
      <c r="FV325" s="19"/>
      <c r="FW325" s="19"/>
      <c r="FX325" s="19"/>
      <c r="FY325" s="19"/>
      <c r="FZ325" s="19"/>
      <c r="GA325" s="19"/>
      <c r="GB325" s="19"/>
      <c r="GC325" s="19"/>
      <c r="GD325" s="19"/>
      <c r="GE325" s="19"/>
      <c r="GF325" s="19"/>
      <c r="GG325" s="19"/>
      <c r="GH325" s="19"/>
      <c r="GI325" s="19"/>
      <c r="GJ325" s="19"/>
      <c r="GK325" s="19"/>
      <c r="GL325" s="19"/>
      <c r="GM325" s="19"/>
      <c r="GN325" s="19"/>
      <c r="GO325" s="19"/>
      <c r="GP325" s="19"/>
      <c r="GQ325" s="19"/>
      <c r="GR325" s="19"/>
      <c r="GS325" s="19"/>
      <c r="GT325" s="19"/>
      <c r="GU325" s="19"/>
      <c r="GV325" s="19"/>
      <c r="GW325" s="19"/>
      <c r="GX325" s="19"/>
      <c r="GY325" s="19"/>
      <c r="GZ325" s="19"/>
      <c r="HA325" s="19"/>
      <c r="HB325" s="19"/>
    </row>
    <row r="326" spans="1:210" x14ac:dyDescent="0.25">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c r="BE326" s="19"/>
      <c r="BF326" s="19"/>
      <c r="BG326" s="19"/>
      <c r="BH326" s="19"/>
      <c r="BI326" s="19"/>
      <c r="BJ326" s="19"/>
      <c r="BK326" s="19"/>
      <c r="BL326" s="19"/>
      <c r="BM326" s="19"/>
      <c r="BN326" s="19"/>
      <c r="BO326" s="19"/>
      <c r="BP326" s="19"/>
      <c r="BQ326" s="19"/>
      <c r="BR326" s="19"/>
      <c r="BS326" s="19"/>
      <c r="BT326" s="19"/>
      <c r="BU326" s="19"/>
      <c r="BV326" s="19"/>
      <c r="BW326" s="19"/>
      <c r="BX326" s="19"/>
      <c r="BY326" s="19"/>
      <c r="BZ326" s="19"/>
      <c r="CA326" s="19"/>
      <c r="CB326" s="19"/>
      <c r="CC326" s="19"/>
      <c r="CD326" s="19"/>
      <c r="CE326" s="19"/>
      <c r="CF326" s="19"/>
      <c r="CG326" s="19"/>
      <c r="CH326" s="19"/>
      <c r="CI326" s="19"/>
      <c r="CJ326" s="19"/>
      <c r="CK326" s="19"/>
      <c r="CL326" s="19"/>
      <c r="CM326" s="19"/>
      <c r="CN326" s="19"/>
      <c r="CO326" s="19"/>
      <c r="CP326" s="19"/>
      <c r="CQ326" s="19"/>
      <c r="CR326" s="19"/>
      <c r="CS326" s="19"/>
      <c r="CT326" s="19"/>
      <c r="CU326" s="19"/>
      <c r="CV326" s="19"/>
      <c r="CW326" s="19"/>
      <c r="CX326" s="19"/>
      <c r="CY326" s="19"/>
      <c r="CZ326" s="19"/>
      <c r="DA326" s="19"/>
      <c r="DB326" s="19"/>
      <c r="DC326" s="19"/>
      <c r="DD326" s="19"/>
      <c r="DE326" s="19"/>
      <c r="DF326" s="19"/>
      <c r="DG326" s="19"/>
      <c r="DH326" s="19"/>
      <c r="DI326" s="19"/>
      <c r="DJ326" s="19"/>
      <c r="DK326" s="19"/>
      <c r="DL326" s="19"/>
      <c r="DM326" s="19"/>
      <c r="DN326" s="19"/>
      <c r="DO326" s="19"/>
      <c r="DP326" s="19"/>
      <c r="DQ326" s="19"/>
      <c r="DR326" s="19"/>
      <c r="DS326" s="19"/>
      <c r="DT326" s="19"/>
      <c r="DU326" s="19"/>
      <c r="DV326" s="19"/>
      <c r="DW326" s="19"/>
      <c r="DX326" s="19"/>
      <c r="DY326" s="19"/>
      <c r="DZ326" s="19"/>
      <c r="EA326" s="19"/>
      <c r="EB326" s="19"/>
      <c r="EC326" s="19"/>
      <c r="ED326" s="19"/>
      <c r="EE326" s="19"/>
      <c r="EF326" s="19"/>
      <c r="EG326" s="19"/>
      <c r="EH326" s="19"/>
      <c r="EI326" s="19"/>
      <c r="EJ326" s="19"/>
      <c r="EK326" s="19"/>
      <c r="EL326" s="19"/>
      <c r="EM326" s="19"/>
      <c r="EN326" s="19"/>
      <c r="EO326" s="19"/>
      <c r="EP326" s="19"/>
      <c r="EQ326" s="19"/>
      <c r="ER326" s="19"/>
      <c r="ES326" s="19"/>
      <c r="ET326" s="19"/>
      <c r="EU326" s="19"/>
      <c r="EV326" s="19"/>
      <c r="EW326" s="19"/>
      <c r="EX326" s="19"/>
      <c r="EY326" s="19"/>
      <c r="EZ326" s="19"/>
      <c r="FA326" s="19"/>
      <c r="FB326" s="19"/>
      <c r="FC326" s="19"/>
      <c r="FD326" s="19"/>
      <c r="FE326" s="19"/>
      <c r="FF326" s="19"/>
      <c r="FG326" s="19"/>
      <c r="FH326" s="19"/>
      <c r="FI326" s="19"/>
      <c r="FJ326" s="19"/>
      <c r="FK326" s="19"/>
      <c r="FL326" s="19"/>
      <c r="FM326" s="19"/>
      <c r="FN326" s="19"/>
      <c r="FO326" s="19"/>
      <c r="FP326" s="19"/>
      <c r="FQ326" s="19"/>
      <c r="FR326" s="19"/>
      <c r="FS326" s="19"/>
      <c r="FT326" s="19"/>
      <c r="FU326" s="19"/>
      <c r="FV326" s="19"/>
      <c r="FW326" s="19"/>
      <c r="FX326" s="19"/>
      <c r="FY326" s="19"/>
      <c r="FZ326" s="19"/>
      <c r="GA326" s="19"/>
      <c r="GB326" s="19"/>
      <c r="GC326" s="19"/>
      <c r="GD326" s="19"/>
      <c r="GE326" s="19"/>
      <c r="GF326" s="19"/>
      <c r="GG326" s="19"/>
      <c r="GH326" s="19"/>
      <c r="GI326" s="19"/>
      <c r="GJ326" s="19"/>
      <c r="GK326" s="19"/>
      <c r="GL326" s="19"/>
      <c r="GM326" s="19"/>
      <c r="GN326" s="19"/>
      <c r="GO326" s="19"/>
      <c r="GP326" s="19"/>
      <c r="GQ326" s="19"/>
      <c r="GR326" s="19"/>
      <c r="GS326" s="19"/>
      <c r="GT326" s="19"/>
      <c r="GU326" s="19"/>
      <c r="GV326" s="19"/>
      <c r="GW326" s="19"/>
      <c r="GX326" s="19"/>
      <c r="GY326" s="19"/>
      <c r="GZ326" s="19"/>
      <c r="HA326" s="19"/>
      <c r="HB326" s="19"/>
    </row>
    <row r="327" spans="1:210" x14ac:dyDescent="0.25">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c r="BE327" s="19"/>
      <c r="BF327" s="19"/>
      <c r="BG327" s="19"/>
      <c r="BH327" s="19"/>
      <c r="BI327" s="19"/>
      <c r="BJ327" s="19"/>
      <c r="BK327" s="19"/>
      <c r="BL327" s="19"/>
      <c r="BM327" s="19"/>
      <c r="BN327" s="19"/>
      <c r="BO327" s="19"/>
      <c r="BP327" s="19"/>
      <c r="BQ327" s="19"/>
      <c r="BR327" s="19"/>
      <c r="BS327" s="19"/>
      <c r="BT327" s="19"/>
      <c r="BU327" s="19"/>
      <c r="BV327" s="19"/>
      <c r="BW327" s="19"/>
      <c r="BX327" s="19"/>
      <c r="BY327" s="19"/>
      <c r="BZ327" s="19"/>
      <c r="CA327" s="19"/>
      <c r="CB327" s="19"/>
      <c r="CC327" s="19"/>
      <c r="CD327" s="19"/>
      <c r="CE327" s="19"/>
      <c r="CF327" s="19"/>
      <c r="CG327" s="19"/>
      <c r="CH327" s="19"/>
      <c r="CI327" s="19"/>
      <c r="CJ327" s="19"/>
      <c r="CK327" s="19"/>
      <c r="CL327" s="19"/>
      <c r="CM327" s="19"/>
      <c r="CN327" s="19"/>
      <c r="CO327" s="19"/>
      <c r="CP327" s="19"/>
      <c r="CQ327" s="19"/>
      <c r="CR327" s="19"/>
      <c r="CS327" s="19"/>
      <c r="CT327" s="19"/>
      <c r="CU327" s="19"/>
      <c r="CV327" s="19"/>
      <c r="CW327" s="19"/>
      <c r="CX327" s="19"/>
      <c r="CY327" s="19"/>
      <c r="CZ327" s="19"/>
      <c r="DA327" s="19"/>
      <c r="DB327" s="19"/>
      <c r="DC327" s="19"/>
      <c r="DD327" s="19"/>
      <c r="DE327" s="19"/>
      <c r="DF327" s="19"/>
      <c r="DG327" s="19"/>
      <c r="DH327" s="19"/>
      <c r="DI327" s="19"/>
      <c r="DJ327" s="19"/>
      <c r="DK327" s="19"/>
      <c r="DL327" s="19"/>
      <c r="DM327" s="19"/>
      <c r="DN327" s="19"/>
      <c r="DO327" s="19"/>
      <c r="DP327" s="19"/>
      <c r="DQ327" s="19"/>
      <c r="DR327" s="19"/>
      <c r="DS327" s="19"/>
      <c r="DT327" s="19"/>
      <c r="DU327" s="19"/>
      <c r="DV327" s="19"/>
      <c r="DW327" s="19"/>
      <c r="DX327" s="19"/>
      <c r="DY327" s="19"/>
      <c r="DZ327" s="19"/>
      <c r="EA327" s="19"/>
      <c r="EB327" s="19"/>
      <c r="EC327" s="19"/>
      <c r="ED327" s="19"/>
      <c r="EE327" s="19"/>
      <c r="EF327" s="19"/>
      <c r="EG327" s="19"/>
      <c r="EH327" s="19"/>
      <c r="EI327" s="19"/>
      <c r="EJ327" s="19"/>
      <c r="EK327" s="19"/>
      <c r="EL327" s="19"/>
      <c r="EM327" s="19"/>
      <c r="EN327" s="19"/>
      <c r="EO327" s="19"/>
      <c r="EP327" s="19"/>
      <c r="EQ327" s="19"/>
      <c r="ER327" s="19"/>
      <c r="ES327" s="19"/>
      <c r="ET327" s="19"/>
      <c r="EU327" s="19"/>
      <c r="EV327" s="19"/>
      <c r="EW327" s="19"/>
      <c r="EX327" s="19"/>
      <c r="EY327" s="19"/>
      <c r="EZ327" s="19"/>
      <c r="FA327" s="19"/>
      <c r="FB327" s="19"/>
      <c r="FC327" s="19"/>
      <c r="FD327" s="19"/>
      <c r="FE327" s="19"/>
      <c r="FF327" s="19"/>
      <c r="FG327" s="19"/>
      <c r="FH327" s="19"/>
      <c r="FI327" s="19"/>
      <c r="FJ327" s="19"/>
      <c r="FK327" s="19"/>
      <c r="FL327" s="19"/>
      <c r="FM327" s="19"/>
      <c r="FN327" s="19"/>
      <c r="FO327" s="19"/>
      <c r="FP327" s="19"/>
      <c r="FQ327" s="19"/>
      <c r="FR327" s="19"/>
      <c r="FS327" s="19"/>
      <c r="FT327" s="19"/>
      <c r="FU327" s="19"/>
      <c r="FV327" s="19"/>
      <c r="FW327" s="19"/>
      <c r="FX327" s="19"/>
      <c r="FY327" s="19"/>
      <c r="FZ327" s="19"/>
      <c r="GA327" s="19"/>
      <c r="GB327" s="19"/>
      <c r="GC327" s="19"/>
      <c r="GD327" s="19"/>
      <c r="GE327" s="19"/>
      <c r="GF327" s="19"/>
      <c r="GG327" s="19"/>
      <c r="GH327" s="19"/>
      <c r="GI327" s="19"/>
      <c r="GJ327" s="19"/>
      <c r="GK327" s="19"/>
      <c r="GL327" s="19"/>
      <c r="GM327" s="19"/>
      <c r="GN327" s="19"/>
      <c r="GO327" s="19"/>
      <c r="GP327" s="19"/>
      <c r="GQ327" s="19"/>
      <c r="GR327" s="19"/>
      <c r="GS327" s="19"/>
      <c r="GT327" s="19"/>
      <c r="GU327" s="19"/>
      <c r="GV327" s="19"/>
      <c r="GW327" s="19"/>
      <c r="GX327" s="19"/>
      <c r="GY327" s="19"/>
      <c r="GZ327" s="19"/>
      <c r="HA327" s="19"/>
      <c r="HB327" s="19"/>
    </row>
    <row r="328" spans="1:210" x14ac:dyDescent="0.25">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c r="BE328" s="19"/>
      <c r="BF328" s="19"/>
      <c r="BG328" s="19"/>
      <c r="BH328" s="19"/>
      <c r="BI328" s="19"/>
      <c r="BJ328" s="19"/>
      <c r="BK328" s="19"/>
      <c r="BL328" s="19"/>
      <c r="BM328" s="19"/>
      <c r="BN328" s="19"/>
      <c r="BO328" s="19"/>
      <c r="BP328" s="19"/>
      <c r="BQ328" s="19"/>
      <c r="BR328" s="19"/>
      <c r="BS328" s="19"/>
      <c r="BT328" s="19"/>
      <c r="BU328" s="19"/>
      <c r="BV328" s="19"/>
      <c r="BW328" s="19"/>
      <c r="BX328" s="19"/>
      <c r="BY328" s="19"/>
      <c r="BZ328" s="19"/>
      <c r="CA328" s="19"/>
      <c r="CB328" s="19"/>
      <c r="CC328" s="19"/>
      <c r="CD328" s="19"/>
      <c r="CE328" s="19"/>
      <c r="CF328" s="19"/>
      <c r="CG328" s="19"/>
      <c r="CH328" s="19"/>
      <c r="CI328" s="19"/>
      <c r="CJ328" s="19"/>
      <c r="CK328" s="19"/>
      <c r="CL328" s="19"/>
      <c r="CM328" s="19"/>
      <c r="CN328" s="19"/>
      <c r="CO328" s="19"/>
      <c r="CP328" s="19"/>
      <c r="CQ328" s="19"/>
      <c r="CR328" s="19"/>
      <c r="CS328" s="19"/>
      <c r="CT328" s="19"/>
      <c r="CU328" s="19"/>
      <c r="CV328" s="19"/>
      <c r="CW328" s="19"/>
      <c r="CX328" s="19"/>
      <c r="CY328" s="19"/>
      <c r="CZ328" s="19"/>
      <c r="DA328" s="19"/>
      <c r="DB328" s="19"/>
      <c r="DC328" s="19"/>
      <c r="DD328" s="19"/>
      <c r="DE328" s="19"/>
      <c r="DF328" s="19"/>
      <c r="DG328" s="19"/>
      <c r="DH328" s="19"/>
      <c r="DI328" s="19"/>
      <c r="DJ328" s="19"/>
      <c r="DK328" s="19"/>
      <c r="DL328" s="19"/>
      <c r="DM328" s="19"/>
      <c r="DN328" s="19"/>
      <c r="DO328" s="19"/>
      <c r="DP328" s="19"/>
      <c r="DQ328" s="19"/>
      <c r="DR328" s="19"/>
      <c r="DS328" s="19"/>
      <c r="DT328" s="19"/>
      <c r="DU328" s="19"/>
      <c r="DV328" s="19"/>
      <c r="DW328" s="19"/>
      <c r="DX328" s="19"/>
      <c r="DY328" s="19"/>
      <c r="DZ328" s="19"/>
      <c r="EA328" s="19"/>
      <c r="EB328" s="19"/>
      <c r="EC328" s="19"/>
      <c r="ED328" s="19"/>
      <c r="EE328" s="19"/>
      <c r="EF328" s="19"/>
      <c r="EG328" s="19"/>
      <c r="EH328" s="19"/>
      <c r="EI328" s="19"/>
      <c r="EJ328" s="19"/>
      <c r="EK328" s="19"/>
      <c r="EL328" s="19"/>
      <c r="EM328" s="19"/>
      <c r="EN328" s="19"/>
      <c r="EO328" s="19"/>
      <c r="EP328" s="19"/>
      <c r="EQ328" s="19"/>
      <c r="ER328" s="19"/>
      <c r="ES328" s="19"/>
      <c r="ET328" s="19"/>
      <c r="EU328" s="19"/>
      <c r="EV328" s="19"/>
      <c r="EW328" s="19"/>
      <c r="EX328" s="19"/>
      <c r="EY328" s="19"/>
      <c r="EZ328" s="19"/>
      <c r="FA328" s="19"/>
      <c r="FB328" s="19"/>
      <c r="FC328" s="19"/>
      <c r="FD328" s="19"/>
      <c r="FE328" s="19"/>
      <c r="FF328" s="19"/>
      <c r="FG328" s="19"/>
      <c r="FH328" s="19"/>
      <c r="FI328" s="19"/>
      <c r="FJ328" s="19"/>
      <c r="FK328" s="19"/>
      <c r="FL328" s="19"/>
      <c r="FM328" s="19"/>
      <c r="FN328" s="19"/>
      <c r="FO328" s="19"/>
      <c r="FP328" s="19"/>
      <c r="FQ328" s="19"/>
      <c r="FR328" s="19"/>
      <c r="FS328" s="19"/>
      <c r="FT328" s="19"/>
      <c r="FU328" s="19"/>
      <c r="FV328" s="19"/>
      <c r="FW328" s="19"/>
      <c r="FX328" s="19"/>
      <c r="FY328" s="19"/>
      <c r="FZ328" s="19"/>
      <c r="GA328" s="19"/>
      <c r="GB328" s="19"/>
      <c r="GC328" s="19"/>
      <c r="GD328" s="19"/>
      <c r="GE328" s="19"/>
      <c r="GF328" s="19"/>
      <c r="GG328" s="19"/>
      <c r="GH328" s="19"/>
      <c r="GI328" s="19"/>
      <c r="GJ328" s="19"/>
      <c r="GK328" s="19"/>
      <c r="GL328" s="19"/>
      <c r="GM328" s="19"/>
      <c r="GN328" s="19"/>
      <c r="GO328" s="19"/>
      <c r="GP328" s="19"/>
      <c r="GQ328" s="19"/>
      <c r="GR328" s="19"/>
      <c r="GS328" s="19"/>
      <c r="GT328" s="19"/>
      <c r="GU328" s="19"/>
      <c r="GV328" s="19"/>
      <c r="GW328" s="19"/>
      <c r="GX328" s="19"/>
      <c r="GY328" s="19"/>
      <c r="GZ328" s="19"/>
      <c r="HA328" s="19"/>
      <c r="HB328" s="19"/>
    </row>
    <row r="329" spans="1:210" x14ac:dyDescent="0.25">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c r="BE329" s="19"/>
      <c r="BF329" s="19"/>
      <c r="BG329" s="19"/>
      <c r="BH329" s="19"/>
      <c r="BI329" s="19"/>
      <c r="BJ329" s="19"/>
      <c r="BK329" s="19"/>
      <c r="BL329" s="19"/>
      <c r="BM329" s="19"/>
      <c r="BN329" s="19"/>
      <c r="BO329" s="19"/>
      <c r="BP329" s="19"/>
      <c r="BQ329" s="19"/>
      <c r="BR329" s="19"/>
      <c r="BS329" s="19"/>
      <c r="BT329" s="19"/>
      <c r="BU329" s="19"/>
      <c r="BV329" s="19"/>
      <c r="BW329" s="19"/>
      <c r="BX329" s="19"/>
      <c r="BY329" s="19"/>
      <c r="BZ329" s="19"/>
      <c r="CA329" s="19"/>
      <c r="CB329" s="19"/>
      <c r="CC329" s="19"/>
      <c r="CD329" s="19"/>
      <c r="CE329" s="19"/>
      <c r="CF329" s="19"/>
      <c r="CG329" s="19"/>
      <c r="CH329" s="19"/>
      <c r="CI329" s="19"/>
      <c r="CJ329" s="19"/>
      <c r="CK329" s="19"/>
      <c r="CL329" s="19"/>
      <c r="CM329" s="19"/>
      <c r="CN329" s="19"/>
      <c r="CO329" s="19"/>
      <c r="CP329" s="19"/>
      <c r="CQ329" s="19"/>
      <c r="CR329" s="19"/>
      <c r="CS329" s="19"/>
      <c r="CT329" s="19"/>
      <c r="CU329" s="19"/>
      <c r="CV329" s="19"/>
      <c r="CW329" s="19"/>
      <c r="CX329" s="19"/>
      <c r="CY329" s="19"/>
      <c r="CZ329" s="19"/>
      <c r="DA329" s="19"/>
      <c r="DB329" s="19"/>
      <c r="DC329" s="19"/>
      <c r="DD329" s="19"/>
      <c r="DE329" s="19"/>
      <c r="DF329" s="19"/>
      <c r="DG329" s="19"/>
      <c r="DH329" s="19"/>
      <c r="DI329" s="19"/>
      <c r="DJ329" s="19"/>
      <c r="DK329" s="19"/>
      <c r="DL329" s="19"/>
      <c r="DM329" s="19"/>
      <c r="DN329" s="19"/>
      <c r="DO329" s="19"/>
      <c r="DP329" s="19"/>
      <c r="DQ329" s="19"/>
      <c r="DR329" s="19"/>
      <c r="DS329" s="19"/>
      <c r="DT329" s="19"/>
      <c r="DU329" s="19"/>
      <c r="DV329" s="19"/>
      <c r="DW329" s="19"/>
      <c r="DX329" s="19"/>
      <c r="DY329" s="19"/>
      <c r="DZ329" s="19"/>
      <c r="EA329" s="19"/>
      <c r="EB329" s="19"/>
      <c r="EC329" s="19"/>
      <c r="ED329" s="19"/>
      <c r="EE329" s="19"/>
      <c r="EF329" s="19"/>
      <c r="EG329" s="19"/>
      <c r="EH329" s="19"/>
      <c r="EI329" s="19"/>
      <c r="EJ329" s="19"/>
      <c r="EK329" s="19"/>
      <c r="EL329" s="19"/>
      <c r="EM329" s="19"/>
      <c r="EN329" s="19"/>
      <c r="EO329" s="19"/>
      <c r="EP329" s="19"/>
      <c r="EQ329" s="19"/>
      <c r="ER329" s="19"/>
      <c r="ES329" s="19"/>
      <c r="ET329" s="19"/>
      <c r="EU329" s="19"/>
      <c r="EV329" s="19"/>
      <c r="EW329" s="19"/>
      <c r="EX329" s="19"/>
      <c r="EY329" s="19"/>
      <c r="EZ329" s="19"/>
      <c r="FA329" s="19"/>
      <c r="FB329" s="19"/>
      <c r="FC329" s="19"/>
      <c r="FD329" s="19"/>
      <c r="FE329" s="19"/>
      <c r="FF329" s="19"/>
      <c r="FG329" s="19"/>
      <c r="FH329" s="19"/>
      <c r="FI329" s="19"/>
      <c r="FJ329" s="19"/>
      <c r="FK329" s="19"/>
      <c r="FL329" s="19"/>
      <c r="FM329" s="19"/>
      <c r="FN329" s="19"/>
      <c r="FO329" s="19"/>
      <c r="FP329" s="19"/>
      <c r="FQ329" s="19"/>
      <c r="FR329" s="19"/>
      <c r="FS329" s="19"/>
      <c r="FT329" s="19"/>
      <c r="FU329" s="19"/>
      <c r="FV329" s="19"/>
      <c r="FW329" s="19"/>
      <c r="FX329" s="19"/>
      <c r="FY329" s="19"/>
      <c r="FZ329" s="19"/>
      <c r="GA329" s="19"/>
      <c r="GB329" s="19"/>
      <c r="GC329" s="19"/>
      <c r="GD329" s="19"/>
      <c r="GE329" s="19"/>
      <c r="GF329" s="19"/>
      <c r="GG329" s="19"/>
      <c r="GH329" s="19"/>
      <c r="GI329" s="19"/>
      <c r="GJ329" s="19"/>
      <c r="GK329" s="19"/>
      <c r="GL329" s="19"/>
      <c r="GM329" s="19"/>
      <c r="GN329" s="19"/>
      <c r="GO329" s="19"/>
      <c r="GP329" s="19"/>
      <c r="GQ329" s="19"/>
      <c r="GR329" s="19"/>
      <c r="GS329" s="19"/>
      <c r="GT329" s="19"/>
      <c r="GU329" s="19"/>
      <c r="GV329" s="19"/>
      <c r="GW329" s="19"/>
      <c r="GX329" s="19"/>
      <c r="GY329" s="19"/>
      <c r="GZ329" s="19"/>
      <c r="HA329" s="19"/>
      <c r="HB329" s="19"/>
    </row>
    <row r="330" spans="1:210" x14ac:dyDescent="0.25">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c r="BE330" s="19"/>
      <c r="BF330" s="19"/>
      <c r="BG330" s="19"/>
      <c r="BH330" s="19"/>
      <c r="BI330" s="19"/>
      <c r="BJ330" s="19"/>
      <c r="BK330" s="19"/>
      <c r="BL330" s="19"/>
      <c r="BM330" s="19"/>
      <c r="BN330" s="19"/>
      <c r="BO330" s="19"/>
      <c r="BP330" s="19"/>
      <c r="BQ330" s="19"/>
      <c r="BR330" s="19"/>
      <c r="BS330" s="19"/>
      <c r="BT330" s="19"/>
      <c r="BU330" s="19"/>
      <c r="BV330" s="19"/>
      <c r="BW330" s="19"/>
      <c r="BX330" s="19"/>
      <c r="BY330" s="19"/>
      <c r="BZ330" s="19"/>
      <c r="CA330" s="19"/>
      <c r="CB330" s="19"/>
      <c r="CC330" s="19"/>
      <c r="CD330" s="19"/>
      <c r="CE330" s="19"/>
      <c r="CF330" s="19"/>
      <c r="CG330" s="19"/>
      <c r="CH330" s="19"/>
      <c r="CI330" s="19"/>
      <c r="CJ330" s="19"/>
      <c r="CK330" s="19"/>
      <c r="CL330" s="19"/>
      <c r="CM330" s="19"/>
      <c r="CN330" s="19"/>
      <c r="CO330" s="19"/>
      <c r="CP330" s="19"/>
      <c r="CQ330" s="19"/>
      <c r="CR330" s="19"/>
      <c r="CS330" s="19"/>
      <c r="CT330" s="19"/>
      <c r="CU330" s="19"/>
      <c r="CV330" s="19"/>
      <c r="CW330" s="19"/>
      <c r="CX330" s="19"/>
      <c r="CY330" s="19"/>
      <c r="CZ330" s="19"/>
      <c r="DA330" s="19"/>
      <c r="DB330" s="19"/>
      <c r="DC330" s="19"/>
      <c r="DD330" s="19"/>
      <c r="DE330" s="19"/>
      <c r="DF330" s="19"/>
      <c r="DG330" s="19"/>
      <c r="DH330" s="19"/>
      <c r="DI330" s="19"/>
      <c r="DJ330" s="19"/>
      <c r="DK330" s="19"/>
      <c r="DL330" s="19"/>
      <c r="DM330" s="19"/>
      <c r="DN330" s="19"/>
      <c r="DO330" s="19"/>
      <c r="DP330" s="19"/>
      <c r="DQ330" s="19"/>
      <c r="DR330" s="19"/>
      <c r="DS330" s="19"/>
      <c r="DT330" s="19"/>
      <c r="DU330" s="19"/>
      <c r="DV330" s="19"/>
      <c r="DW330" s="19"/>
      <c r="DX330" s="19"/>
      <c r="DY330" s="19"/>
      <c r="DZ330" s="19"/>
      <c r="EA330" s="19"/>
      <c r="EB330" s="19"/>
      <c r="EC330" s="19"/>
      <c r="ED330" s="19"/>
      <c r="EE330" s="19"/>
      <c r="EF330" s="19"/>
      <c r="EG330" s="19"/>
      <c r="EH330" s="19"/>
      <c r="EI330" s="19"/>
      <c r="EJ330" s="19"/>
      <c r="EK330" s="19"/>
      <c r="EL330" s="19"/>
      <c r="EM330" s="19"/>
      <c r="EN330" s="19"/>
      <c r="EO330" s="19"/>
      <c r="EP330" s="19"/>
      <c r="EQ330" s="19"/>
      <c r="ER330" s="19"/>
      <c r="ES330" s="19"/>
      <c r="ET330" s="19"/>
      <c r="EU330" s="19"/>
      <c r="EV330" s="19"/>
      <c r="EW330" s="19"/>
      <c r="EX330" s="19"/>
      <c r="EY330" s="19"/>
      <c r="EZ330" s="19"/>
      <c r="FA330" s="19"/>
      <c r="FB330" s="19"/>
      <c r="FC330" s="19"/>
      <c r="FD330" s="19"/>
      <c r="FE330" s="19"/>
      <c r="FF330" s="19"/>
      <c r="FG330" s="19"/>
      <c r="FH330" s="19"/>
      <c r="FI330" s="19"/>
      <c r="FJ330" s="19"/>
      <c r="FK330" s="19"/>
      <c r="FL330" s="19"/>
      <c r="FM330" s="19"/>
      <c r="FN330" s="19"/>
      <c r="FO330" s="19"/>
      <c r="FP330" s="19"/>
      <c r="FQ330" s="19"/>
      <c r="FR330" s="19"/>
      <c r="FS330" s="19"/>
      <c r="FT330" s="19"/>
      <c r="FU330" s="19"/>
      <c r="FV330" s="19"/>
      <c r="FW330" s="19"/>
      <c r="FX330" s="19"/>
      <c r="FY330" s="19"/>
      <c r="FZ330" s="19"/>
      <c r="GA330" s="19"/>
      <c r="GB330" s="19"/>
      <c r="GC330" s="19"/>
      <c r="GD330" s="19"/>
      <c r="GE330" s="19"/>
      <c r="GF330" s="19"/>
      <c r="GG330" s="19"/>
      <c r="GH330" s="19"/>
      <c r="GI330" s="19"/>
      <c r="GJ330" s="19"/>
      <c r="GK330" s="19"/>
      <c r="GL330" s="19"/>
      <c r="GM330" s="19"/>
      <c r="GN330" s="19"/>
      <c r="GO330" s="19"/>
      <c r="GP330" s="19"/>
      <c r="GQ330" s="19"/>
      <c r="GR330" s="19"/>
      <c r="GS330" s="19"/>
      <c r="GT330" s="19"/>
      <c r="GU330" s="19"/>
      <c r="GV330" s="19"/>
      <c r="GW330" s="19"/>
      <c r="GX330" s="19"/>
      <c r="GY330" s="19"/>
      <c r="GZ330" s="19"/>
      <c r="HA330" s="19"/>
      <c r="HB330" s="19"/>
    </row>
    <row r="331" spans="1:210" x14ac:dyDescent="0.25">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c r="BE331" s="19"/>
      <c r="BF331" s="19"/>
      <c r="BG331" s="19"/>
      <c r="BH331" s="19"/>
      <c r="BI331" s="19"/>
      <c r="BJ331" s="19"/>
      <c r="BK331" s="19"/>
      <c r="BL331" s="19"/>
      <c r="BM331" s="19"/>
      <c r="BN331" s="19"/>
      <c r="BO331" s="19"/>
      <c r="BP331" s="19"/>
      <c r="BQ331" s="19"/>
      <c r="BR331" s="19"/>
      <c r="BS331" s="19"/>
      <c r="BT331" s="19"/>
      <c r="BU331" s="19"/>
      <c r="BV331" s="19"/>
      <c r="BW331" s="19"/>
      <c r="BX331" s="19"/>
      <c r="BY331" s="19"/>
      <c r="BZ331" s="19"/>
      <c r="CA331" s="19"/>
      <c r="CB331" s="19"/>
      <c r="CC331" s="19"/>
      <c r="CD331" s="19"/>
      <c r="CE331" s="19"/>
      <c r="CF331" s="19"/>
      <c r="CG331" s="19"/>
      <c r="CH331" s="19"/>
      <c r="CI331" s="19"/>
      <c r="CJ331" s="19"/>
      <c r="CK331" s="19"/>
      <c r="CL331" s="19"/>
      <c r="CM331" s="19"/>
      <c r="CN331" s="19"/>
      <c r="CO331" s="19"/>
      <c r="CP331" s="19"/>
      <c r="CQ331" s="19"/>
      <c r="CR331" s="19"/>
      <c r="CS331" s="19"/>
      <c r="CT331" s="19"/>
      <c r="CU331" s="19"/>
      <c r="CV331" s="19"/>
      <c r="CW331" s="19"/>
      <c r="CX331" s="19"/>
      <c r="CY331" s="19"/>
      <c r="CZ331" s="19"/>
      <c r="DA331" s="19"/>
      <c r="DB331" s="19"/>
      <c r="DC331" s="19"/>
      <c r="DD331" s="19"/>
      <c r="DE331" s="19"/>
      <c r="DF331" s="19"/>
      <c r="DG331" s="19"/>
      <c r="DH331" s="19"/>
      <c r="DI331" s="19"/>
      <c r="DJ331" s="19"/>
      <c r="DK331" s="19"/>
      <c r="DL331" s="19"/>
      <c r="DM331" s="19"/>
      <c r="DN331" s="19"/>
      <c r="DO331" s="19"/>
      <c r="DP331" s="19"/>
      <c r="DQ331" s="19"/>
      <c r="DR331" s="19"/>
      <c r="DS331" s="19"/>
      <c r="DT331" s="19"/>
      <c r="DU331" s="19"/>
      <c r="DV331" s="19"/>
      <c r="DW331" s="19"/>
      <c r="DX331" s="19"/>
      <c r="DY331" s="19"/>
      <c r="DZ331" s="19"/>
      <c r="EA331" s="19"/>
      <c r="EB331" s="19"/>
      <c r="EC331" s="19"/>
      <c r="ED331" s="19"/>
      <c r="EE331" s="19"/>
      <c r="EF331" s="19"/>
      <c r="EG331" s="19"/>
      <c r="EH331" s="19"/>
      <c r="EI331" s="19"/>
      <c r="EJ331" s="19"/>
      <c r="EK331" s="19"/>
      <c r="EL331" s="19"/>
      <c r="EM331" s="19"/>
      <c r="EN331" s="19"/>
      <c r="EO331" s="19"/>
      <c r="EP331" s="19"/>
      <c r="EQ331" s="19"/>
      <c r="ER331" s="19"/>
      <c r="ES331" s="19"/>
      <c r="ET331" s="19"/>
      <c r="EU331" s="19"/>
      <c r="EV331" s="19"/>
      <c r="EW331" s="19"/>
      <c r="EX331" s="19"/>
      <c r="EY331" s="19"/>
      <c r="EZ331" s="19"/>
      <c r="FA331" s="19"/>
      <c r="FB331" s="19"/>
      <c r="FC331" s="19"/>
      <c r="FD331" s="19"/>
      <c r="FE331" s="19"/>
      <c r="FF331" s="19"/>
      <c r="FG331" s="19"/>
      <c r="FH331" s="19"/>
      <c r="FI331" s="19"/>
      <c r="FJ331" s="19"/>
      <c r="FK331" s="19"/>
      <c r="FL331" s="19"/>
      <c r="FM331" s="19"/>
      <c r="FN331" s="19"/>
      <c r="FO331" s="19"/>
      <c r="FP331" s="19"/>
      <c r="FQ331" s="19"/>
      <c r="FR331" s="19"/>
      <c r="FS331" s="19"/>
      <c r="FT331" s="19"/>
      <c r="FU331" s="19"/>
      <c r="FV331" s="19"/>
      <c r="FW331" s="19"/>
      <c r="FX331" s="19"/>
      <c r="FY331" s="19"/>
      <c r="FZ331" s="19"/>
      <c r="GA331" s="19"/>
      <c r="GB331" s="19"/>
      <c r="GC331" s="19"/>
      <c r="GD331" s="19"/>
      <c r="GE331" s="19"/>
      <c r="GF331" s="19"/>
      <c r="GG331" s="19"/>
      <c r="GH331" s="19"/>
      <c r="GI331" s="19"/>
      <c r="GJ331" s="19"/>
      <c r="GK331" s="19"/>
      <c r="GL331" s="19"/>
      <c r="GM331" s="19"/>
      <c r="GN331" s="19"/>
      <c r="GO331" s="19"/>
      <c r="GP331" s="19"/>
      <c r="GQ331" s="19"/>
      <c r="GR331" s="19"/>
      <c r="GS331" s="19"/>
      <c r="GT331" s="19"/>
      <c r="GU331" s="19"/>
      <c r="GV331" s="19"/>
      <c r="GW331" s="19"/>
      <c r="GX331" s="19"/>
      <c r="GY331" s="19"/>
      <c r="GZ331" s="19"/>
      <c r="HA331" s="19"/>
      <c r="HB331" s="19"/>
    </row>
    <row r="332" spans="1:210" x14ac:dyDescent="0.25">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c r="BE332" s="19"/>
      <c r="BF332" s="19"/>
      <c r="BG332" s="19"/>
      <c r="BH332" s="19"/>
      <c r="BI332" s="19"/>
      <c r="BJ332" s="19"/>
      <c r="BK332" s="19"/>
      <c r="BL332" s="19"/>
      <c r="BM332" s="19"/>
      <c r="BN332" s="19"/>
      <c r="BO332" s="19"/>
      <c r="BP332" s="19"/>
      <c r="BQ332" s="19"/>
      <c r="BR332" s="19"/>
      <c r="BS332" s="19"/>
      <c r="BT332" s="19"/>
      <c r="BU332" s="19"/>
      <c r="BV332" s="19"/>
      <c r="BW332" s="19"/>
      <c r="BX332" s="19"/>
      <c r="BY332" s="19"/>
      <c r="BZ332" s="19"/>
      <c r="CA332" s="19"/>
      <c r="CB332" s="19"/>
      <c r="CC332" s="19"/>
      <c r="CD332" s="19"/>
      <c r="CE332" s="19"/>
      <c r="CF332" s="19"/>
      <c r="CG332" s="19"/>
      <c r="CH332" s="19"/>
      <c r="CI332" s="19"/>
      <c r="CJ332" s="19"/>
      <c r="CK332" s="19"/>
      <c r="CL332" s="19"/>
      <c r="CM332" s="19"/>
      <c r="CN332" s="19"/>
      <c r="CO332" s="19"/>
      <c r="CP332" s="19"/>
      <c r="CQ332" s="19"/>
      <c r="CR332" s="19"/>
      <c r="CS332" s="19"/>
      <c r="CT332" s="19"/>
      <c r="CU332" s="19"/>
      <c r="CV332" s="19"/>
      <c r="CW332" s="19"/>
      <c r="CX332" s="19"/>
      <c r="CY332" s="19"/>
      <c r="CZ332" s="19"/>
      <c r="DA332" s="19"/>
      <c r="DB332" s="19"/>
      <c r="DC332" s="19"/>
      <c r="DD332" s="19"/>
      <c r="DE332" s="19"/>
      <c r="DF332" s="19"/>
      <c r="DG332" s="19"/>
      <c r="DH332" s="19"/>
      <c r="DI332" s="19"/>
      <c r="DJ332" s="19"/>
      <c r="DK332" s="19"/>
      <c r="DL332" s="19"/>
      <c r="DM332" s="19"/>
      <c r="DN332" s="19"/>
      <c r="DO332" s="19"/>
      <c r="DP332" s="19"/>
      <c r="DQ332" s="19"/>
      <c r="DR332" s="19"/>
      <c r="DS332" s="19"/>
      <c r="DT332" s="19"/>
      <c r="DU332" s="19"/>
      <c r="DV332" s="19"/>
      <c r="DW332" s="19"/>
      <c r="DX332" s="19"/>
      <c r="DY332" s="19"/>
      <c r="DZ332" s="19"/>
      <c r="EA332" s="19"/>
      <c r="EB332" s="19"/>
      <c r="EC332" s="19"/>
      <c r="ED332" s="19"/>
      <c r="EE332" s="19"/>
      <c r="EF332" s="19"/>
      <c r="EG332" s="19"/>
      <c r="EH332" s="19"/>
      <c r="EI332" s="19"/>
      <c r="EJ332" s="19"/>
      <c r="EK332" s="19"/>
      <c r="EL332" s="19"/>
      <c r="EM332" s="19"/>
      <c r="EN332" s="19"/>
      <c r="EO332" s="19"/>
      <c r="EP332" s="19"/>
      <c r="EQ332" s="19"/>
      <c r="ER332" s="19"/>
      <c r="ES332" s="19"/>
      <c r="ET332" s="19"/>
      <c r="EU332" s="19"/>
      <c r="EV332" s="19"/>
      <c r="EW332" s="19"/>
      <c r="EX332" s="19"/>
      <c r="EY332" s="19"/>
      <c r="EZ332" s="19"/>
      <c r="FA332" s="19"/>
      <c r="FB332" s="19"/>
      <c r="FC332" s="19"/>
      <c r="FD332" s="19"/>
      <c r="FE332" s="19"/>
      <c r="FF332" s="19"/>
      <c r="FG332" s="19"/>
      <c r="FH332" s="19"/>
      <c r="FI332" s="19"/>
      <c r="FJ332" s="19"/>
      <c r="FK332" s="19"/>
      <c r="FL332" s="19"/>
      <c r="FM332" s="19"/>
      <c r="FN332" s="19"/>
      <c r="FO332" s="19"/>
      <c r="FP332" s="19"/>
      <c r="FQ332" s="19"/>
      <c r="FR332" s="19"/>
      <c r="FS332" s="19"/>
      <c r="FT332" s="19"/>
      <c r="FU332" s="19"/>
      <c r="FV332" s="19"/>
      <c r="FW332" s="19"/>
      <c r="FX332" s="19"/>
      <c r="FY332" s="19"/>
      <c r="FZ332" s="19"/>
      <c r="GA332" s="19"/>
      <c r="GB332" s="19"/>
      <c r="GC332" s="19"/>
      <c r="GD332" s="19"/>
      <c r="GE332" s="19"/>
      <c r="GF332" s="19"/>
      <c r="GG332" s="19"/>
      <c r="GH332" s="19"/>
      <c r="GI332" s="19"/>
      <c r="GJ332" s="19"/>
      <c r="GK332" s="19"/>
      <c r="GL332" s="19"/>
      <c r="GM332" s="19"/>
      <c r="GN332" s="19"/>
      <c r="GO332" s="19"/>
      <c r="GP332" s="19"/>
      <c r="GQ332" s="19"/>
      <c r="GR332" s="19"/>
      <c r="GS332" s="19"/>
      <c r="GT332" s="19"/>
      <c r="GU332" s="19"/>
      <c r="GV332" s="19"/>
      <c r="GW332" s="19"/>
      <c r="GX332" s="19"/>
      <c r="GY332" s="19"/>
      <c r="GZ332" s="19"/>
      <c r="HA332" s="19"/>
      <c r="HB332" s="19"/>
    </row>
    <row r="333" spans="1:210" x14ac:dyDescent="0.25">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c r="BE333" s="19"/>
      <c r="BF333" s="19"/>
      <c r="BG333" s="19"/>
      <c r="BH333" s="19"/>
      <c r="BI333" s="19"/>
      <c r="BJ333" s="19"/>
      <c r="BK333" s="19"/>
      <c r="BL333" s="19"/>
      <c r="BM333" s="19"/>
      <c r="BN333" s="19"/>
      <c r="BO333" s="19"/>
      <c r="BP333" s="19"/>
      <c r="BQ333" s="19"/>
      <c r="BR333" s="19"/>
      <c r="BS333" s="19"/>
      <c r="BT333" s="19"/>
      <c r="BU333" s="19"/>
      <c r="BV333" s="19"/>
      <c r="BW333" s="19"/>
      <c r="BX333" s="19"/>
      <c r="BY333" s="19"/>
      <c r="BZ333" s="19"/>
      <c r="CA333" s="19"/>
      <c r="CB333" s="19"/>
      <c r="CC333" s="19"/>
      <c r="CD333" s="19"/>
      <c r="CE333" s="19"/>
      <c r="CF333" s="19"/>
      <c r="CG333" s="19"/>
      <c r="CH333" s="19"/>
      <c r="CI333" s="19"/>
      <c r="CJ333" s="19"/>
      <c r="CK333" s="19"/>
      <c r="CL333" s="19"/>
      <c r="CM333" s="19"/>
      <c r="CN333" s="19"/>
      <c r="CO333" s="19"/>
      <c r="CP333" s="19"/>
      <c r="CQ333" s="19"/>
      <c r="CR333" s="19"/>
      <c r="CS333" s="19"/>
      <c r="CT333" s="19"/>
      <c r="CU333" s="19"/>
      <c r="CV333" s="19"/>
      <c r="CW333" s="19"/>
      <c r="CX333" s="19"/>
      <c r="CY333" s="19"/>
      <c r="CZ333" s="19"/>
      <c r="DA333" s="19"/>
      <c r="DB333" s="19"/>
      <c r="DC333" s="19"/>
      <c r="DD333" s="19"/>
      <c r="DE333" s="19"/>
      <c r="DF333" s="19"/>
      <c r="DG333" s="19"/>
      <c r="DH333" s="19"/>
      <c r="DI333" s="19"/>
      <c r="DJ333" s="19"/>
      <c r="DK333" s="19"/>
      <c r="DL333" s="19"/>
      <c r="DM333" s="19"/>
      <c r="DN333" s="19"/>
      <c r="DO333" s="19"/>
      <c r="DP333" s="19"/>
      <c r="DQ333" s="19"/>
      <c r="DR333" s="19"/>
      <c r="DS333" s="19"/>
      <c r="DT333" s="19"/>
      <c r="DU333" s="19"/>
      <c r="DV333" s="19"/>
      <c r="DW333" s="19"/>
      <c r="DX333" s="19"/>
      <c r="DY333" s="19"/>
      <c r="DZ333" s="19"/>
      <c r="EA333" s="19"/>
      <c r="EB333" s="19"/>
      <c r="EC333" s="19"/>
      <c r="ED333" s="19"/>
      <c r="EE333" s="19"/>
      <c r="EF333" s="19"/>
      <c r="EG333" s="19"/>
      <c r="EH333" s="19"/>
      <c r="EI333" s="19"/>
      <c r="EJ333" s="19"/>
      <c r="EK333" s="19"/>
      <c r="EL333" s="19"/>
      <c r="EM333" s="19"/>
      <c r="EN333" s="19"/>
      <c r="EO333" s="19"/>
      <c r="EP333" s="19"/>
      <c r="EQ333" s="19"/>
      <c r="ER333" s="19"/>
      <c r="ES333" s="19"/>
      <c r="ET333" s="19"/>
      <c r="EU333" s="19"/>
      <c r="EV333" s="19"/>
      <c r="EW333" s="19"/>
      <c r="EX333" s="19"/>
      <c r="EY333" s="19"/>
      <c r="EZ333" s="19"/>
      <c r="FA333" s="19"/>
      <c r="FB333" s="19"/>
      <c r="FC333" s="19"/>
      <c r="FD333" s="19"/>
      <c r="FE333" s="19"/>
      <c r="FF333" s="19"/>
      <c r="FG333" s="19"/>
      <c r="FH333" s="19"/>
      <c r="FI333" s="19"/>
      <c r="FJ333" s="19"/>
      <c r="FK333" s="19"/>
      <c r="FL333" s="19"/>
      <c r="FM333" s="19"/>
      <c r="FN333" s="19"/>
      <c r="FO333" s="19"/>
      <c r="FP333" s="19"/>
      <c r="FQ333" s="19"/>
      <c r="FR333" s="19"/>
      <c r="FS333" s="19"/>
      <c r="FT333" s="19"/>
      <c r="FU333" s="19"/>
      <c r="FV333" s="19"/>
      <c r="FW333" s="19"/>
      <c r="FX333" s="19"/>
      <c r="FY333" s="19"/>
      <c r="FZ333" s="19"/>
      <c r="GA333" s="19"/>
      <c r="GB333" s="19"/>
      <c r="GC333" s="19"/>
      <c r="GD333" s="19"/>
      <c r="GE333" s="19"/>
      <c r="GF333" s="19"/>
      <c r="GG333" s="19"/>
      <c r="GH333" s="19"/>
      <c r="GI333" s="19"/>
      <c r="GJ333" s="19"/>
      <c r="GK333" s="19"/>
      <c r="GL333" s="19"/>
      <c r="GM333" s="19"/>
      <c r="GN333" s="19"/>
      <c r="GO333" s="19"/>
      <c r="GP333" s="19"/>
      <c r="GQ333" s="19"/>
      <c r="GR333" s="19"/>
      <c r="GS333" s="19"/>
      <c r="GT333" s="19"/>
      <c r="GU333" s="19"/>
      <c r="GV333" s="19"/>
      <c r="GW333" s="19"/>
      <c r="GX333" s="19"/>
      <c r="GY333" s="19"/>
      <c r="GZ333" s="19"/>
      <c r="HA333" s="19"/>
      <c r="HB333" s="19"/>
    </row>
    <row r="334" spans="1:210" x14ac:dyDescent="0.25">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c r="BE334" s="19"/>
      <c r="BF334" s="19"/>
      <c r="BG334" s="19"/>
      <c r="BH334" s="19"/>
      <c r="BI334" s="19"/>
      <c r="BJ334" s="19"/>
      <c r="BK334" s="19"/>
      <c r="BL334" s="19"/>
      <c r="BM334" s="19"/>
      <c r="BN334" s="19"/>
      <c r="BO334" s="19"/>
      <c r="BP334" s="19"/>
      <c r="BQ334" s="19"/>
      <c r="BR334" s="19"/>
      <c r="BS334" s="19"/>
      <c r="BT334" s="19"/>
      <c r="BU334" s="19"/>
      <c r="BV334" s="19"/>
      <c r="BW334" s="19"/>
      <c r="BX334" s="19"/>
      <c r="BY334" s="19"/>
      <c r="BZ334" s="19"/>
      <c r="CA334" s="19"/>
      <c r="CB334" s="19"/>
      <c r="CC334" s="19"/>
      <c r="CD334" s="19"/>
      <c r="CE334" s="19"/>
      <c r="CF334" s="19"/>
      <c r="CG334" s="19"/>
      <c r="CH334" s="19"/>
      <c r="CI334" s="19"/>
      <c r="CJ334" s="19"/>
      <c r="CK334" s="19"/>
      <c r="CL334" s="19"/>
      <c r="CM334" s="19"/>
      <c r="CN334" s="19"/>
      <c r="CO334" s="19"/>
      <c r="CP334" s="19"/>
      <c r="CQ334" s="19"/>
      <c r="CR334" s="19"/>
      <c r="CS334" s="19"/>
      <c r="CT334" s="19"/>
      <c r="CU334" s="19"/>
      <c r="CV334" s="19"/>
      <c r="CW334" s="19"/>
      <c r="CX334" s="19"/>
      <c r="CY334" s="19"/>
      <c r="CZ334" s="19"/>
      <c r="DA334" s="19"/>
      <c r="DB334" s="19"/>
      <c r="DC334" s="19"/>
      <c r="DD334" s="19"/>
      <c r="DE334" s="19"/>
      <c r="DF334" s="19"/>
      <c r="DG334" s="19"/>
      <c r="DH334" s="19"/>
      <c r="DI334" s="19"/>
      <c r="DJ334" s="19"/>
      <c r="DK334" s="19"/>
      <c r="DL334" s="19"/>
      <c r="DM334" s="19"/>
      <c r="DN334" s="19"/>
      <c r="DO334" s="19"/>
      <c r="DP334" s="19"/>
      <c r="DQ334" s="19"/>
      <c r="DR334" s="19"/>
      <c r="DS334" s="19"/>
      <c r="DT334" s="19"/>
      <c r="DU334" s="19"/>
      <c r="DV334" s="19"/>
      <c r="DW334" s="19"/>
      <c r="DX334" s="19"/>
      <c r="DY334" s="19"/>
      <c r="DZ334" s="19"/>
      <c r="EA334" s="19"/>
      <c r="EB334" s="19"/>
      <c r="EC334" s="19"/>
      <c r="ED334" s="19"/>
      <c r="EE334" s="19"/>
      <c r="EF334" s="19"/>
      <c r="EG334" s="19"/>
      <c r="EH334" s="19"/>
      <c r="EI334" s="19"/>
      <c r="EJ334" s="19"/>
      <c r="EK334" s="19"/>
      <c r="EL334" s="19"/>
      <c r="EM334" s="19"/>
      <c r="EN334" s="19"/>
      <c r="EO334" s="19"/>
      <c r="EP334" s="19"/>
      <c r="EQ334" s="19"/>
      <c r="ER334" s="19"/>
      <c r="ES334" s="19"/>
      <c r="ET334" s="19"/>
      <c r="EU334" s="19"/>
      <c r="EV334" s="19"/>
      <c r="EW334" s="19"/>
      <c r="EX334" s="19"/>
      <c r="EY334" s="19"/>
      <c r="EZ334" s="19"/>
      <c r="FA334" s="19"/>
      <c r="FB334" s="19"/>
      <c r="FC334" s="19"/>
      <c r="FD334" s="19"/>
      <c r="FE334" s="19"/>
      <c r="FF334" s="19"/>
      <c r="FG334" s="19"/>
      <c r="FH334" s="19"/>
      <c r="FI334" s="19"/>
      <c r="FJ334" s="19"/>
      <c r="FK334" s="19"/>
      <c r="FL334" s="19"/>
      <c r="FM334" s="19"/>
      <c r="FN334" s="19"/>
      <c r="FO334" s="19"/>
      <c r="FP334" s="19"/>
      <c r="FQ334" s="19"/>
      <c r="FR334" s="19"/>
      <c r="FS334" s="19"/>
      <c r="FT334" s="19"/>
      <c r="FU334" s="19"/>
      <c r="FV334" s="19"/>
      <c r="FW334" s="19"/>
      <c r="FX334" s="19"/>
      <c r="FY334" s="19"/>
      <c r="FZ334" s="19"/>
      <c r="GA334" s="19"/>
      <c r="GB334" s="19"/>
      <c r="GC334" s="19"/>
      <c r="GD334" s="19"/>
      <c r="GE334" s="19"/>
      <c r="GF334" s="19"/>
      <c r="GG334" s="19"/>
      <c r="GH334" s="19"/>
      <c r="GI334" s="19"/>
      <c r="GJ334" s="19"/>
      <c r="GK334" s="19"/>
      <c r="GL334" s="19"/>
      <c r="GM334" s="19"/>
      <c r="GN334" s="19"/>
      <c r="GO334" s="19"/>
      <c r="GP334" s="19"/>
      <c r="GQ334" s="19"/>
      <c r="GR334" s="19"/>
      <c r="GS334" s="19"/>
      <c r="GT334" s="19"/>
      <c r="GU334" s="19"/>
      <c r="GV334" s="19"/>
      <c r="GW334" s="19"/>
      <c r="GX334" s="19"/>
      <c r="GY334" s="19"/>
      <c r="GZ334" s="19"/>
      <c r="HA334" s="19"/>
      <c r="HB334" s="19"/>
    </row>
    <row r="335" spans="1:210" x14ac:dyDescent="0.25">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c r="BE335" s="19"/>
      <c r="BF335" s="19"/>
      <c r="BG335" s="19"/>
      <c r="BH335" s="19"/>
      <c r="BI335" s="19"/>
      <c r="BJ335" s="19"/>
      <c r="BK335" s="19"/>
      <c r="BL335" s="19"/>
      <c r="BM335" s="19"/>
      <c r="BN335" s="19"/>
      <c r="BO335" s="19"/>
      <c r="BP335" s="19"/>
      <c r="BQ335" s="19"/>
      <c r="BR335" s="19"/>
      <c r="BS335" s="19"/>
      <c r="BT335" s="19"/>
      <c r="BU335" s="19"/>
      <c r="BV335" s="19"/>
      <c r="BW335" s="19"/>
      <c r="BX335" s="19"/>
      <c r="BY335" s="19"/>
      <c r="BZ335" s="19"/>
      <c r="CA335" s="19"/>
      <c r="CB335" s="19"/>
      <c r="CC335" s="19"/>
      <c r="CD335" s="19"/>
      <c r="CE335" s="19"/>
      <c r="CF335" s="19"/>
      <c r="CG335" s="19"/>
      <c r="CH335" s="19"/>
      <c r="CI335" s="19"/>
      <c r="CJ335" s="19"/>
      <c r="CK335" s="19"/>
      <c r="CL335" s="19"/>
      <c r="CM335" s="19"/>
      <c r="CN335" s="19"/>
      <c r="CO335" s="19"/>
      <c r="CP335" s="19"/>
      <c r="CQ335" s="19"/>
      <c r="CR335" s="19"/>
      <c r="CS335" s="19"/>
      <c r="CT335" s="19"/>
      <c r="CU335" s="19"/>
      <c r="CV335" s="19"/>
      <c r="CW335" s="19"/>
      <c r="CX335" s="19"/>
      <c r="CY335" s="19"/>
      <c r="CZ335" s="19"/>
      <c r="DA335" s="19"/>
      <c r="DB335" s="19"/>
      <c r="DC335" s="19"/>
      <c r="DD335" s="19"/>
      <c r="DE335" s="19"/>
      <c r="DF335" s="19"/>
      <c r="DG335" s="19"/>
      <c r="DH335" s="19"/>
      <c r="DI335" s="19"/>
      <c r="DJ335" s="19"/>
      <c r="DK335" s="19"/>
      <c r="DL335" s="19"/>
      <c r="DM335" s="19"/>
      <c r="DN335" s="19"/>
      <c r="DO335" s="19"/>
      <c r="DP335" s="19"/>
      <c r="DQ335" s="19"/>
      <c r="DR335" s="19"/>
      <c r="DS335" s="19"/>
      <c r="DT335" s="19"/>
      <c r="DU335" s="19"/>
      <c r="DV335" s="19"/>
      <c r="DW335" s="19"/>
      <c r="DX335" s="19"/>
      <c r="DY335" s="19"/>
      <c r="DZ335" s="19"/>
      <c r="EA335" s="19"/>
      <c r="EB335" s="19"/>
      <c r="EC335" s="19"/>
      <c r="ED335" s="19"/>
      <c r="EE335" s="19"/>
      <c r="EF335" s="19"/>
      <c r="EG335" s="19"/>
      <c r="EH335" s="19"/>
      <c r="EI335" s="19"/>
      <c r="EJ335" s="19"/>
      <c r="EK335" s="19"/>
      <c r="EL335" s="19"/>
      <c r="EM335" s="19"/>
      <c r="EN335" s="19"/>
      <c r="EO335" s="19"/>
      <c r="EP335" s="19"/>
      <c r="EQ335" s="19"/>
      <c r="ER335" s="19"/>
      <c r="ES335" s="19"/>
      <c r="ET335" s="19"/>
      <c r="EU335" s="19"/>
      <c r="EV335" s="19"/>
      <c r="EW335" s="19"/>
      <c r="EX335" s="19"/>
      <c r="EY335" s="19"/>
      <c r="EZ335" s="19"/>
      <c r="FA335" s="19"/>
      <c r="FB335" s="19"/>
      <c r="FC335" s="19"/>
      <c r="FD335" s="19"/>
      <c r="FE335" s="19"/>
      <c r="FF335" s="19"/>
      <c r="FG335" s="19"/>
      <c r="FH335" s="19"/>
      <c r="FI335" s="19"/>
      <c r="FJ335" s="19"/>
      <c r="FK335" s="19"/>
      <c r="FL335" s="19"/>
      <c r="FM335" s="19"/>
      <c r="FN335" s="19"/>
      <c r="FO335" s="19"/>
      <c r="FP335" s="19"/>
      <c r="FQ335" s="19"/>
      <c r="FR335" s="19"/>
      <c r="FS335" s="19"/>
      <c r="FT335" s="19"/>
      <c r="FU335" s="19"/>
      <c r="FV335" s="19"/>
      <c r="FW335" s="19"/>
      <c r="FX335" s="19"/>
      <c r="FY335" s="19"/>
      <c r="FZ335" s="19"/>
      <c r="GA335" s="19"/>
      <c r="GB335" s="19"/>
      <c r="GC335" s="19"/>
      <c r="GD335" s="19"/>
      <c r="GE335" s="19"/>
      <c r="GF335" s="19"/>
      <c r="GG335" s="19"/>
      <c r="GH335" s="19"/>
      <c r="GI335" s="19"/>
      <c r="GJ335" s="19"/>
      <c r="GK335" s="19"/>
      <c r="GL335" s="19"/>
      <c r="GM335" s="19"/>
      <c r="GN335" s="19"/>
      <c r="GO335" s="19"/>
      <c r="GP335" s="19"/>
      <c r="GQ335" s="19"/>
      <c r="GR335" s="19"/>
      <c r="GS335" s="19"/>
      <c r="GT335" s="19"/>
      <c r="GU335" s="19"/>
      <c r="GV335" s="19"/>
      <c r="GW335" s="19"/>
      <c r="GX335" s="19"/>
      <c r="GY335" s="19"/>
      <c r="GZ335" s="19"/>
      <c r="HA335" s="19"/>
      <c r="HB335" s="19"/>
    </row>
    <row r="336" spans="1:210" x14ac:dyDescent="0.25">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c r="BE336" s="19"/>
      <c r="BF336" s="19"/>
      <c r="BG336" s="19"/>
      <c r="BH336" s="19"/>
      <c r="BI336" s="19"/>
      <c r="BJ336" s="19"/>
      <c r="BK336" s="19"/>
      <c r="BL336" s="19"/>
      <c r="BM336" s="19"/>
      <c r="BN336" s="19"/>
      <c r="BO336" s="19"/>
      <c r="BP336" s="19"/>
      <c r="BQ336" s="19"/>
      <c r="BR336" s="19"/>
      <c r="BS336" s="19"/>
      <c r="BT336" s="19"/>
      <c r="BU336" s="19"/>
      <c r="BV336" s="19"/>
      <c r="BW336" s="19"/>
      <c r="BX336" s="19"/>
      <c r="BY336" s="19"/>
      <c r="BZ336" s="19"/>
      <c r="CA336" s="19"/>
      <c r="CB336" s="19"/>
      <c r="CC336" s="19"/>
      <c r="CD336" s="19"/>
      <c r="CE336" s="19"/>
      <c r="CF336" s="19"/>
      <c r="CG336" s="19"/>
      <c r="CH336" s="19"/>
      <c r="CI336" s="19"/>
      <c r="CJ336" s="19"/>
      <c r="CK336" s="19"/>
      <c r="CL336" s="19"/>
      <c r="CM336" s="19"/>
      <c r="CN336" s="19"/>
      <c r="CO336" s="19"/>
      <c r="CP336" s="19"/>
      <c r="CQ336" s="19"/>
      <c r="CR336" s="19"/>
      <c r="CS336" s="19"/>
      <c r="CT336" s="19"/>
      <c r="CU336" s="19"/>
      <c r="CV336" s="19"/>
      <c r="CW336" s="19"/>
      <c r="CX336" s="19"/>
      <c r="CY336" s="19"/>
      <c r="CZ336" s="19"/>
      <c r="DA336" s="19"/>
      <c r="DB336" s="19"/>
      <c r="DC336" s="19"/>
      <c r="DD336" s="19"/>
      <c r="DE336" s="19"/>
      <c r="DF336" s="19"/>
      <c r="DG336" s="19"/>
      <c r="DH336" s="19"/>
      <c r="DI336" s="19"/>
      <c r="DJ336" s="19"/>
      <c r="DK336" s="19"/>
      <c r="DL336" s="19"/>
      <c r="DM336" s="19"/>
      <c r="DN336" s="19"/>
      <c r="DO336" s="19"/>
      <c r="DP336" s="19"/>
      <c r="DQ336" s="19"/>
      <c r="DR336" s="19"/>
      <c r="DS336" s="19"/>
      <c r="DT336" s="19"/>
      <c r="DU336" s="19"/>
      <c r="DV336" s="19"/>
      <c r="DW336" s="19"/>
      <c r="DX336" s="19"/>
      <c r="DY336" s="19"/>
      <c r="DZ336" s="19"/>
      <c r="EA336" s="19"/>
      <c r="EB336" s="19"/>
      <c r="EC336" s="19"/>
      <c r="ED336" s="19"/>
      <c r="EE336" s="19"/>
      <c r="EF336" s="19"/>
      <c r="EG336" s="19"/>
      <c r="EH336" s="19"/>
      <c r="EI336" s="19"/>
      <c r="EJ336" s="19"/>
      <c r="EK336" s="19"/>
      <c r="EL336" s="19"/>
      <c r="EM336" s="19"/>
      <c r="EN336" s="19"/>
      <c r="EO336" s="19"/>
      <c r="EP336" s="19"/>
      <c r="EQ336" s="19"/>
      <c r="ER336" s="19"/>
      <c r="ES336" s="19"/>
      <c r="ET336" s="19"/>
      <c r="EU336" s="19"/>
      <c r="EV336" s="19"/>
      <c r="EW336" s="19"/>
      <c r="EX336" s="19"/>
      <c r="EY336" s="19"/>
      <c r="EZ336" s="19"/>
      <c r="FA336" s="19"/>
      <c r="FB336" s="19"/>
      <c r="FC336" s="19"/>
      <c r="FD336" s="19"/>
      <c r="FE336" s="19"/>
      <c r="FF336" s="19"/>
      <c r="FG336" s="19"/>
      <c r="FH336" s="19"/>
      <c r="FI336" s="19"/>
      <c r="FJ336" s="19"/>
      <c r="FK336" s="19"/>
      <c r="FL336" s="19"/>
      <c r="FM336" s="19"/>
      <c r="FN336" s="19"/>
      <c r="FO336" s="19"/>
      <c r="FP336" s="19"/>
      <c r="FQ336" s="19"/>
      <c r="FR336" s="19"/>
      <c r="FS336" s="19"/>
      <c r="FT336" s="19"/>
      <c r="FU336" s="19"/>
      <c r="FV336" s="19"/>
      <c r="FW336" s="19"/>
      <c r="FX336" s="19"/>
      <c r="FY336" s="19"/>
      <c r="FZ336" s="19"/>
      <c r="GA336" s="19"/>
      <c r="GB336" s="19"/>
      <c r="GC336" s="19"/>
      <c r="GD336" s="19"/>
      <c r="GE336" s="19"/>
      <c r="GF336" s="19"/>
      <c r="GG336" s="19"/>
      <c r="GH336" s="19"/>
      <c r="GI336" s="19"/>
      <c r="GJ336" s="19"/>
      <c r="GK336" s="19"/>
      <c r="GL336" s="19"/>
      <c r="GM336" s="19"/>
      <c r="GN336" s="19"/>
      <c r="GO336" s="19"/>
      <c r="GP336" s="19"/>
      <c r="GQ336" s="19"/>
      <c r="GR336" s="19"/>
      <c r="GS336" s="19"/>
      <c r="GT336" s="19"/>
      <c r="GU336" s="19"/>
      <c r="GV336" s="19"/>
      <c r="GW336" s="19"/>
      <c r="GX336" s="19"/>
      <c r="GY336" s="19"/>
      <c r="GZ336" s="19"/>
      <c r="HA336" s="19"/>
      <c r="HB336" s="19"/>
    </row>
    <row r="337" spans="1:210" x14ac:dyDescent="0.25">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c r="BE337" s="19"/>
      <c r="BF337" s="19"/>
      <c r="BG337" s="19"/>
      <c r="BH337" s="19"/>
      <c r="BI337" s="19"/>
      <c r="BJ337" s="19"/>
      <c r="BK337" s="19"/>
      <c r="BL337" s="19"/>
      <c r="BM337" s="19"/>
      <c r="BN337" s="19"/>
      <c r="BO337" s="19"/>
      <c r="BP337" s="19"/>
      <c r="BQ337" s="19"/>
      <c r="BR337" s="19"/>
      <c r="BS337" s="19"/>
      <c r="BT337" s="19"/>
      <c r="BU337" s="19"/>
      <c r="BV337" s="19"/>
      <c r="BW337" s="19"/>
      <c r="BX337" s="19"/>
      <c r="BY337" s="19"/>
      <c r="BZ337" s="19"/>
      <c r="CA337" s="19"/>
      <c r="CB337" s="19"/>
      <c r="CC337" s="19"/>
      <c r="CD337" s="19"/>
      <c r="CE337" s="19"/>
      <c r="CF337" s="19"/>
      <c r="CG337" s="19"/>
      <c r="CH337" s="19"/>
      <c r="CI337" s="19"/>
      <c r="CJ337" s="19"/>
      <c r="CK337" s="19"/>
      <c r="CL337" s="19"/>
      <c r="CM337" s="19"/>
      <c r="CN337" s="19"/>
      <c r="CO337" s="19"/>
      <c r="CP337" s="19"/>
      <c r="CQ337" s="19"/>
      <c r="CR337" s="19"/>
      <c r="CS337" s="19"/>
      <c r="CT337" s="19"/>
      <c r="CU337" s="19"/>
      <c r="CV337" s="19"/>
      <c r="CW337" s="19"/>
      <c r="CX337" s="19"/>
      <c r="CY337" s="19"/>
      <c r="CZ337" s="19"/>
      <c r="DA337" s="19"/>
      <c r="DB337" s="19"/>
      <c r="DC337" s="19"/>
      <c r="DD337" s="19"/>
      <c r="DE337" s="19"/>
      <c r="DF337" s="19"/>
      <c r="DG337" s="19"/>
      <c r="DH337" s="19"/>
      <c r="DI337" s="19"/>
      <c r="DJ337" s="19"/>
      <c r="DK337" s="19"/>
      <c r="DL337" s="19"/>
      <c r="DM337" s="19"/>
      <c r="DN337" s="19"/>
      <c r="DO337" s="19"/>
      <c r="DP337" s="19"/>
      <c r="DQ337" s="19"/>
      <c r="DR337" s="19"/>
      <c r="DS337" s="19"/>
      <c r="DT337" s="19"/>
      <c r="DU337" s="19"/>
      <c r="DV337" s="19"/>
      <c r="DW337" s="19"/>
      <c r="DX337" s="19"/>
      <c r="DY337" s="19"/>
      <c r="DZ337" s="19"/>
      <c r="EA337" s="19"/>
      <c r="EB337" s="19"/>
      <c r="EC337" s="19"/>
      <c r="ED337" s="19"/>
      <c r="EE337" s="19"/>
      <c r="EF337" s="19"/>
      <c r="EG337" s="19"/>
      <c r="EH337" s="19"/>
      <c r="EI337" s="19"/>
      <c r="EJ337" s="19"/>
      <c r="EK337" s="19"/>
      <c r="EL337" s="19"/>
      <c r="EM337" s="19"/>
      <c r="EN337" s="19"/>
      <c r="EO337" s="19"/>
      <c r="EP337" s="19"/>
      <c r="EQ337" s="19"/>
      <c r="ER337" s="19"/>
      <c r="ES337" s="19"/>
      <c r="ET337" s="19"/>
      <c r="EU337" s="19"/>
      <c r="EV337" s="19"/>
      <c r="EW337" s="19"/>
      <c r="EX337" s="19"/>
      <c r="EY337" s="19"/>
      <c r="EZ337" s="19"/>
      <c r="FA337" s="19"/>
      <c r="FB337" s="19"/>
      <c r="FC337" s="19"/>
      <c r="FD337" s="19"/>
      <c r="FE337" s="19"/>
      <c r="FF337" s="19"/>
      <c r="FG337" s="19"/>
      <c r="FH337" s="19"/>
      <c r="FI337" s="19"/>
      <c r="FJ337" s="19"/>
      <c r="FK337" s="19"/>
      <c r="FL337" s="19"/>
      <c r="FM337" s="19"/>
      <c r="FN337" s="19"/>
      <c r="FO337" s="19"/>
      <c r="FP337" s="19"/>
      <c r="FQ337" s="19"/>
      <c r="FR337" s="19"/>
      <c r="FS337" s="19"/>
      <c r="FT337" s="19"/>
      <c r="FU337" s="19"/>
      <c r="FV337" s="19"/>
      <c r="FW337" s="19"/>
      <c r="FX337" s="19"/>
      <c r="FY337" s="19"/>
      <c r="FZ337" s="19"/>
      <c r="GA337" s="19"/>
      <c r="GB337" s="19"/>
      <c r="GC337" s="19"/>
      <c r="GD337" s="19"/>
      <c r="GE337" s="19"/>
      <c r="GF337" s="19"/>
      <c r="GG337" s="19"/>
      <c r="GH337" s="19"/>
      <c r="GI337" s="19"/>
      <c r="GJ337" s="19"/>
      <c r="GK337" s="19"/>
      <c r="GL337" s="19"/>
      <c r="GM337" s="19"/>
      <c r="GN337" s="19"/>
      <c r="GO337" s="19"/>
      <c r="GP337" s="19"/>
      <c r="GQ337" s="19"/>
      <c r="GR337" s="19"/>
      <c r="GS337" s="19"/>
      <c r="GT337" s="19"/>
      <c r="GU337" s="19"/>
      <c r="GV337" s="19"/>
      <c r="GW337" s="19"/>
      <c r="GX337" s="19"/>
      <c r="GY337" s="19"/>
      <c r="GZ337" s="19"/>
      <c r="HA337" s="19"/>
      <c r="HB337" s="19"/>
    </row>
    <row r="338" spans="1:210" x14ac:dyDescent="0.25">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c r="BE338" s="19"/>
      <c r="BF338" s="19"/>
      <c r="BG338" s="19"/>
      <c r="BH338" s="19"/>
      <c r="BI338" s="19"/>
      <c r="BJ338" s="19"/>
      <c r="BK338" s="19"/>
      <c r="BL338" s="19"/>
      <c r="BM338" s="19"/>
      <c r="BN338" s="19"/>
      <c r="BO338" s="19"/>
      <c r="BP338" s="19"/>
      <c r="BQ338" s="19"/>
      <c r="BR338" s="19"/>
      <c r="BS338" s="19"/>
      <c r="BT338" s="19"/>
      <c r="BU338" s="19"/>
      <c r="BV338" s="19"/>
      <c r="BW338" s="19"/>
      <c r="BX338" s="19"/>
      <c r="BY338" s="19"/>
      <c r="BZ338" s="19"/>
      <c r="CA338" s="19"/>
      <c r="CB338" s="19"/>
      <c r="CC338" s="19"/>
      <c r="CD338" s="19"/>
      <c r="CE338" s="19"/>
      <c r="CF338" s="19"/>
      <c r="CG338" s="19"/>
      <c r="CH338" s="19"/>
      <c r="CI338" s="19"/>
      <c r="CJ338" s="19"/>
      <c r="CK338" s="19"/>
      <c r="CL338" s="19"/>
      <c r="CM338" s="19"/>
      <c r="CN338" s="19"/>
      <c r="CO338" s="19"/>
      <c r="CP338" s="19"/>
      <c r="CQ338" s="19"/>
      <c r="CR338" s="19"/>
      <c r="CS338" s="19"/>
      <c r="CT338" s="19"/>
      <c r="CU338" s="19"/>
      <c r="CV338" s="19"/>
      <c r="CW338" s="19"/>
      <c r="CX338" s="19"/>
      <c r="CY338" s="19"/>
      <c r="CZ338" s="19"/>
      <c r="DA338" s="19"/>
      <c r="DB338" s="19"/>
      <c r="DC338" s="19"/>
      <c r="DD338" s="19"/>
      <c r="DE338" s="19"/>
      <c r="DF338" s="19"/>
      <c r="DG338" s="19"/>
      <c r="DH338" s="19"/>
      <c r="DI338" s="19"/>
      <c r="DJ338" s="19"/>
      <c r="DK338" s="19"/>
      <c r="DL338" s="19"/>
      <c r="DM338" s="19"/>
      <c r="DN338" s="19"/>
      <c r="DO338" s="19"/>
      <c r="DP338" s="19"/>
      <c r="DQ338" s="19"/>
      <c r="DR338" s="19"/>
      <c r="DS338" s="19"/>
      <c r="DT338" s="19"/>
      <c r="DU338" s="19"/>
      <c r="DV338" s="19"/>
      <c r="DW338" s="19"/>
      <c r="DX338" s="19"/>
      <c r="DY338" s="19"/>
      <c r="DZ338" s="19"/>
      <c r="EA338" s="19"/>
      <c r="EB338" s="19"/>
      <c r="EC338" s="19"/>
      <c r="ED338" s="19"/>
      <c r="EE338" s="19"/>
      <c r="EF338" s="19"/>
      <c r="EG338" s="19"/>
      <c r="EH338" s="19"/>
      <c r="EI338" s="19"/>
      <c r="EJ338" s="19"/>
      <c r="EK338" s="19"/>
      <c r="EL338" s="19"/>
      <c r="EM338" s="19"/>
      <c r="EN338" s="19"/>
      <c r="EO338" s="19"/>
      <c r="EP338" s="19"/>
      <c r="EQ338" s="19"/>
      <c r="ER338" s="19"/>
      <c r="ES338" s="19"/>
      <c r="ET338" s="19"/>
      <c r="EU338" s="19"/>
      <c r="EV338" s="19"/>
      <c r="EW338" s="19"/>
      <c r="EX338" s="19"/>
      <c r="EY338" s="19"/>
      <c r="EZ338" s="19"/>
      <c r="FA338" s="19"/>
      <c r="FB338" s="19"/>
      <c r="FC338" s="19"/>
      <c r="FD338" s="19"/>
      <c r="FE338" s="19"/>
      <c r="FF338" s="19"/>
      <c r="FG338" s="19"/>
      <c r="FH338" s="19"/>
      <c r="FI338" s="19"/>
      <c r="FJ338" s="19"/>
      <c r="FK338" s="19"/>
      <c r="FL338" s="19"/>
      <c r="FM338" s="19"/>
      <c r="FN338" s="19"/>
      <c r="FO338" s="19"/>
      <c r="FP338" s="19"/>
      <c r="FQ338" s="19"/>
      <c r="FR338" s="19"/>
      <c r="FS338" s="19"/>
      <c r="FT338" s="19"/>
      <c r="FU338" s="19"/>
      <c r="FV338" s="19"/>
      <c r="FW338" s="19"/>
      <c r="FX338" s="19"/>
      <c r="FY338" s="19"/>
      <c r="FZ338" s="19"/>
      <c r="GA338" s="19"/>
      <c r="GB338" s="19"/>
      <c r="GC338" s="19"/>
      <c r="GD338" s="19"/>
      <c r="GE338" s="19"/>
      <c r="GF338" s="19"/>
      <c r="GG338" s="19"/>
      <c r="GH338" s="19"/>
      <c r="GI338" s="19"/>
      <c r="GJ338" s="19"/>
      <c r="GK338" s="19"/>
      <c r="GL338" s="19"/>
      <c r="GM338" s="19"/>
      <c r="GN338" s="19"/>
      <c r="GO338" s="19"/>
      <c r="GP338" s="19"/>
      <c r="GQ338" s="19"/>
      <c r="GR338" s="19"/>
      <c r="GS338" s="19"/>
      <c r="GT338" s="19"/>
      <c r="GU338" s="19"/>
      <c r="GV338" s="19"/>
      <c r="GW338" s="19"/>
      <c r="GX338" s="19"/>
      <c r="GY338" s="19"/>
      <c r="GZ338" s="19"/>
      <c r="HA338" s="19"/>
      <c r="HB338" s="19"/>
    </row>
    <row r="339" spans="1:210" x14ac:dyDescent="0.25">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c r="BE339" s="19"/>
      <c r="BF339" s="19"/>
      <c r="BG339" s="19"/>
      <c r="BH339" s="19"/>
      <c r="BI339" s="19"/>
      <c r="BJ339" s="19"/>
      <c r="BK339" s="19"/>
      <c r="BL339" s="19"/>
      <c r="BM339" s="19"/>
      <c r="BN339" s="19"/>
      <c r="BO339" s="19"/>
      <c r="BP339" s="19"/>
      <c r="BQ339" s="19"/>
      <c r="BR339" s="19"/>
      <c r="BS339" s="19"/>
      <c r="BT339" s="19"/>
      <c r="BU339" s="19"/>
      <c r="BV339" s="19"/>
      <c r="BW339" s="19"/>
      <c r="BX339" s="19"/>
      <c r="BY339" s="19"/>
      <c r="BZ339" s="19"/>
      <c r="CA339" s="19"/>
      <c r="CB339" s="19"/>
      <c r="CC339" s="19"/>
      <c r="CD339" s="19"/>
      <c r="CE339" s="19"/>
      <c r="CF339" s="19"/>
      <c r="CG339" s="19"/>
      <c r="CH339" s="19"/>
      <c r="CI339" s="19"/>
      <c r="CJ339" s="19"/>
      <c r="CK339" s="19"/>
      <c r="CL339" s="19"/>
      <c r="CM339" s="19"/>
      <c r="CN339" s="19"/>
      <c r="CO339" s="19"/>
      <c r="CP339" s="19"/>
      <c r="CQ339" s="19"/>
      <c r="CR339" s="19"/>
      <c r="CS339" s="19"/>
      <c r="CT339" s="19"/>
      <c r="CU339" s="19"/>
      <c r="CV339" s="19"/>
      <c r="CW339" s="19"/>
      <c r="CX339" s="19"/>
      <c r="CY339" s="19"/>
      <c r="CZ339" s="19"/>
      <c r="DA339" s="19"/>
      <c r="DB339" s="19"/>
      <c r="DC339" s="19"/>
      <c r="DD339" s="19"/>
      <c r="DE339" s="19"/>
      <c r="DF339" s="19"/>
      <c r="DG339" s="19"/>
      <c r="DH339" s="19"/>
      <c r="DI339" s="19"/>
      <c r="DJ339" s="19"/>
      <c r="DK339" s="19"/>
      <c r="DL339" s="19"/>
      <c r="DM339" s="19"/>
      <c r="DN339" s="19"/>
      <c r="DO339" s="19"/>
      <c r="DP339" s="19"/>
      <c r="DQ339" s="19"/>
      <c r="DR339" s="19"/>
      <c r="DS339" s="19"/>
      <c r="DT339" s="19"/>
      <c r="DU339" s="19"/>
      <c r="DV339" s="19"/>
      <c r="DW339" s="19"/>
      <c r="DX339" s="19"/>
      <c r="DY339" s="19"/>
      <c r="DZ339" s="19"/>
      <c r="EA339" s="19"/>
      <c r="EB339" s="19"/>
      <c r="EC339" s="19"/>
      <c r="ED339" s="19"/>
      <c r="EE339" s="19"/>
      <c r="EF339" s="19"/>
      <c r="EG339" s="19"/>
      <c r="EH339" s="19"/>
      <c r="EI339" s="19"/>
      <c r="EJ339" s="19"/>
      <c r="EK339" s="19"/>
      <c r="EL339" s="19"/>
      <c r="EM339" s="19"/>
      <c r="EN339" s="19"/>
      <c r="EO339" s="19"/>
      <c r="EP339" s="19"/>
      <c r="EQ339" s="19"/>
      <c r="ER339" s="19"/>
      <c r="ES339" s="19"/>
      <c r="ET339" s="19"/>
      <c r="EU339" s="19"/>
      <c r="EV339" s="19"/>
      <c r="EW339" s="19"/>
      <c r="EX339" s="19"/>
      <c r="EY339" s="19"/>
      <c r="EZ339" s="19"/>
      <c r="FA339" s="19"/>
      <c r="FB339" s="19"/>
      <c r="FC339" s="19"/>
      <c r="FD339" s="19"/>
      <c r="FE339" s="19"/>
      <c r="FF339" s="19"/>
      <c r="FG339" s="19"/>
      <c r="FH339" s="19"/>
      <c r="FI339" s="19"/>
      <c r="FJ339" s="19"/>
      <c r="FK339" s="19"/>
      <c r="FL339" s="19"/>
      <c r="FM339" s="19"/>
      <c r="FN339" s="19"/>
      <c r="FO339" s="19"/>
      <c r="FP339" s="19"/>
      <c r="FQ339" s="19"/>
      <c r="FR339" s="19"/>
      <c r="FS339" s="19"/>
      <c r="FT339" s="19"/>
      <c r="FU339" s="19"/>
      <c r="FV339" s="19"/>
      <c r="FW339" s="19"/>
      <c r="FX339" s="19"/>
      <c r="FY339" s="19"/>
      <c r="FZ339" s="19"/>
      <c r="GA339" s="19"/>
      <c r="GB339" s="19"/>
      <c r="GC339" s="19"/>
      <c r="GD339" s="19"/>
      <c r="GE339" s="19"/>
      <c r="GF339" s="19"/>
      <c r="GG339" s="19"/>
      <c r="GH339" s="19"/>
      <c r="GI339" s="19"/>
      <c r="GJ339" s="19"/>
      <c r="GK339" s="19"/>
      <c r="GL339" s="19"/>
      <c r="GM339" s="19"/>
      <c r="GN339" s="19"/>
      <c r="GO339" s="19"/>
      <c r="GP339" s="19"/>
      <c r="GQ339" s="19"/>
      <c r="GR339" s="19"/>
      <c r="GS339" s="19"/>
      <c r="GT339" s="19"/>
      <c r="GU339" s="19"/>
      <c r="GV339" s="19"/>
      <c r="GW339" s="19"/>
      <c r="GX339" s="19"/>
      <c r="GY339" s="19"/>
      <c r="GZ339" s="19"/>
      <c r="HA339" s="19"/>
      <c r="HB339" s="19"/>
    </row>
    <row r="340" spans="1:210" x14ac:dyDescent="0.25">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c r="BE340" s="19"/>
      <c r="BF340" s="19"/>
      <c r="BG340" s="19"/>
      <c r="BH340" s="19"/>
      <c r="BI340" s="19"/>
      <c r="BJ340" s="19"/>
      <c r="BK340" s="19"/>
      <c r="BL340" s="19"/>
      <c r="BM340" s="19"/>
      <c r="BN340" s="19"/>
      <c r="BO340" s="19"/>
      <c r="BP340" s="19"/>
      <c r="BQ340" s="19"/>
      <c r="BR340" s="19"/>
      <c r="BS340" s="19"/>
      <c r="BT340" s="19"/>
      <c r="BU340" s="19"/>
      <c r="BV340" s="19"/>
      <c r="BW340" s="19"/>
      <c r="BX340" s="19"/>
      <c r="BY340" s="19"/>
      <c r="BZ340" s="19"/>
      <c r="CA340" s="19"/>
      <c r="CB340" s="19"/>
      <c r="CC340" s="19"/>
      <c r="CD340" s="19"/>
      <c r="CE340" s="19"/>
      <c r="CF340" s="19"/>
      <c r="CG340" s="19"/>
      <c r="CH340" s="19"/>
      <c r="CI340" s="19"/>
      <c r="CJ340" s="19"/>
      <c r="CK340" s="19"/>
      <c r="CL340" s="19"/>
      <c r="CM340" s="19"/>
      <c r="CN340" s="19"/>
      <c r="CO340" s="19"/>
      <c r="CP340" s="19"/>
      <c r="CQ340" s="19"/>
      <c r="CR340" s="19"/>
      <c r="CS340" s="19"/>
      <c r="CT340" s="19"/>
      <c r="CU340" s="19"/>
      <c r="CV340" s="19"/>
      <c r="CW340" s="19"/>
      <c r="CX340" s="19"/>
      <c r="CY340" s="19"/>
      <c r="CZ340" s="19"/>
      <c r="DA340" s="19"/>
      <c r="DB340" s="19"/>
      <c r="DC340" s="19"/>
      <c r="DD340" s="19"/>
      <c r="DE340" s="19"/>
      <c r="DF340" s="19"/>
      <c r="DG340" s="19"/>
      <c r="DH340" s="19"/>
      <c r="DI340" s="19"/>
      <c r="DJ340" s="19"/>
      <c r="DK340" s="19"/>
      <c r="DL340" s="19"/>
      <c r="DM340" s="19"/>
      <c r="DN340" s="19"/>
      <c r="DO340" s="19"/>
      <c r="DP340" s="19"/>
      <c r="DQ340" s="19"/>
      <c r="DR340" s="19"/>
      <c r="DS340" s="19"/>
      <c r="DT340" s="19"/>
      <c r="DU340" s="19"/>
      <c r="DV340" s="19"/>
      <c r="DW340" s="19"/>
      <c r="DX340" s="19"/>
      <c r="DY340" s="19"/>
      <c r="DZ340" s="19"/>
      <c r="EA340" s="19"/>
      <c r="EB340" s="19"/>
      <c r="EC340" s="19"/>
      <c r="ED340" s="19"/>
      <c r="EE340" s="19"/>
      <c r="EF340" s="19"/>
      <c r="EG340" s="19"/>
      <c r="EH340" s="19"/>
      <c r="EI340" s="19"/>
      <c r="EJ340" s="19"/>
      <c r="EK340" s="19"/>
      <c r="EL340" s="19"/>
      <c r="EM340" s="19"/>
      <c r="EN340" s="19"/>
      <c r="EO340" s="19"/>
      <c r="EP340" s="19"/>
      <c r="EQ340" s="19"/>
      <c r="ER340" s="19"/>
      <c r="ES340" s="19"/>
      <c r="ET340" s="19"/>
      <c r="EU340" s="19"/>
      <c r="EV340" s="19"/>
      <c r="EW340" s="19"/>
      <c r="EX340" s="19"/>
      <c r="EY340" s="19"/>
      <c r="EZ340" s="19"/>
      <c r="FA340" s="19"/>
      <c r="FB340" s="19"/>
      <c r="FC340" s="19"/>
      <c r="FD340" s="19"/>
      <c r="FE340" s="19"/>
      <c r="FF340" s="19"/>
      <c r="FG340" s="19"/>
      <c r="FH340" s="19"/>
      <c r="FI340" s="19"/>
      <c r="FJ340" s="19"/>
      <c r="FK340" s="19"/>
      <c r="FL340" s="19"/>
      <c r="FM340" s="19"/>
      <c r="FN340" s="19"/>
      <c r="FO340" s="19"/>
      <c r="FP340" s="19"/>
      <c r="FQ340" s="19"/>
      <c r="FR340" s="19"/>
      <c r="FS340" s="19"/>
      <c r="FT340" s="19"/>
      <c r="FU340" s="19"/>
      <c r="FV340" s="19"/>
      <c r="FW340" s="19"/>
      <c r="FX340" s="19"/>
      <c r="FY340" s="19"/>
      <c r="FZ340" s="19"/>
      <c r="GA340" s="19"/>
      <c r="GB340" s="19"/>
      <c r="GC340" s="19"/>
      <c r="GD340" s="19"/>
      <c r="GE340" s="19"/>
      <c r="GF340" s="19"/>
      <c r="GG340" s="19"/>
      <c r="GH340" s="19"/>
      <c r="GI340" s="19"/>
      <c r="GJ340" s="19"/>
      <c r="GK340" s="19"/>
      <c r="GL340" s="19"/>
      <c r="GM340" s="19"/>
      <c r="GN340" s="19"/>
      <c r="GO340" s="19"/>
      <c r="GP340" s="19"/>
      <c r="GQ340" s="19"/>
      <c r="GR340" s="19"/>
      <c r="GS340" s="19"/>
      <c r="GT340" s="19"/>
      <c r="GU340" s="19"/>
      <c r="GV340" s="19"/>
      <c r="GW340" s="19"/>
      <c r="GX340" s="19"/>
      <c r="GY340" s="19"/>
      <c r="GZ340" s="19"/>
      <c r="HA340" s="19"/>
      <c r="HB340" s="19"/>
    </row>
    <row r="341" spans="1:210" x14ac:dyDescent="0.25">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c r="BE341" s="19"/>
      <c r="BF341" s="19"/>
      <c r="BG341" s="19"/>
      <c r="BH341" s="19"/>
      <c r="BI341" s="19"/>
      <c r="BJ341" s="19"/>
      <c r="BK341" s="19"/>
      <c r="BL341" s="19"/>
      <c r="BM341" s="19"/>
      <c r="BN341" s="19"/>
      <c r="BO341" s="19"/>
      <c r="BP341" s="19"/>
      <c r="BQ341" s="19"/>
      <c r="BR341" s="19"/>
      <c r="BS341" s="19"/>
      <c r="BT341" s="19"/>
      <c r="BU341" s="19"/>
      <c r="BV341" s="19"/>
      <c r="BW341" s="19"/>
      <c r="BX341" s="19"/>
      <c r="BY341" s="19"/>
      <c r="BZ341" s="19"/>
      <c r="CA341" s="19"/>
      <c r="CB341" s="19"/>
      <c r="CC341" s="19"/>
      <c r="CD341" s="19"/>
      <c r="CE341" s="19"/>
      <c r="CF341" s="19"/>
      <c r="CG341" s="19"/>
      <c r="CH341" s="19"/>
      <c r="CI341" s="19"/>
      <c r="CJ341" s="19"/>
      <c r="CK341" s="19"/>
      <c r="CL341" s="19"/>
      <c r="CM341" s="19"/>
      <c r="CN341" s="19"/>
      <c r="CO341" s="19"/>
      <c r="CP341" s="19"/>
      <c r="CQ341" s="19"/>
      <c r="CR341" s="19"/>
      <c r="CS341" s="19"/>
      <c r="CT341" s="19"/>
      <c r="CU341" s="19"/>
      <c r="CV341" s="19"/>
      <c r="CW341" s="19"/>
      <c r="CX341" s="19"/>
      <c r="CY341" s="19"/>
      <c r="CZ341" s="19"/>
      <c r="DA341" s="19"/>
      <c r="DB341" s="19"/>
      <c r="DC341" s="19"/>
      <c r="DD341" s="19"/>
      <c r="DE341" s="19"/>
      <c r="DF341" s="19"/>
      <c r="DG341" s="19"/>
      <c r="DH341" s="19"/>
      <c r="DI341" s="19"/>
      <c r="DJ341" s="19"/>
      <c r="DK341" s="19"/>
      <c r="DL341" s="19"/>
      <c r="DM341" s="19"/>
      <c r="DN341" s="19"/>
      <c r="DO341" s="19"/>
      <c r="DP341" s="19"/>
      <c r="DQ341" s="19"/>
      <c r="DR341" s="19"/>
      <c r="DS341" s="19"/>
      <c r="DT341" s="19"/>
      <c r="DU341" s="19"/>
      <c r="DV341" s="19"/>
      <c r="DW341" s="19"/>
      <c r="DX341" s="19"/>
      <c r="DY341" s="19"/>
      <c r="DZ341" s="19"/>
      <c r="EA341" s="19"/>
      <c r="EB341" s="19"/>
      <c r="EC341" s="19"/>
      <c r="ED341" s="19"/>
      <c r="EE341" s="19"/>
      <c r="EF341" s="19"/>
      <c r="EG341" s="19"/>
      <c r="EH341" s="19"/>
      <c r="EI341" s="19"/>
      <c r="EJ341" s="19"/>
      <c r="EK341" s="19"/>
      <c r="EL341" s="19"/>
      <c r="EM341" s="19"/>
      <c r="EN341" s="19"/>
      <c r="EO341" s="19"/>
      <c r="EP341" s="19"/>
      <c r="EQ341" s="19"/>
      <c r="ER341" s="19"/>
      <c r="ES341" s="19"/>
      <c r="ET341" s="19"/>
      <c r="EU341" s="19"/>
      <c r="EV341" s="19"/>
      <c r="EW341" s="19"/>
      <c r="EX341" s="19"/>
      <c r="EY341" s="19"/>
      <c r="EZ341" s="19"/>
      <c r="FA341" s="19"/>
      <c r="FB341" s="19"/>
      <c r="FC341" s="19"/>
      <c r="FD341" s="19"/>
      <c r="FE341" s="19"/>
      <c r="FF341" s="19"/>
      <c r="FG341" s="19"/>
      <c r="FH341" s="19"/>
      <c r="FI341" s="19"/>
      <c r="FJ341" s="19"/>
      <c r="FK341" s="19"/>
      <c r="FL341" s="19"/>
      <c r="FM341" s="19"/>
      <c r="FN341" s="19"/>
      <c r="FO341" s="19"/>
      <c r="FP341" s="19"/>
      <c r="FQ341" s="19"/>
      <c r="FR341" s="19"/>
      <c r="FS341" s="19"/>
      <c r="FT341" s="19"/>
      <c r="FU341" s="19"/>
      <c r="FV341" s="19"/>
      <c r="FW341" s="19"/>
      <c r="FX341" s="19"/>
      <c r="FY341" s="19"/>
      <c r="FZ341" s="19"/>
      <c r="GA341" s="19"/>
      <c r="GB341" s="19"/>
      <c r="GC341" s="19"/>
      <c r="GD341" s="19"/>
      <c r="GE341" s="19"/>
      <c r="GF341" s="19"/>
      <c r="GG341" s="19"/>
      <c r="GH341" s="19"/>
      <c r="GI341" s="19"/>
      <c r="GJ341" s="19"/>
      <c r="GK341" s="19"/>
      <c r="GL341" s="19"/>
      <c r="GM341" s="19"/>
      <c r="GN341" s="19"/>
      <c r="GO341" s="19"/>
      <c r="GP341" s="19"/>
      <c r="GQ341" s="19"/>
      <c r="GR341" s="19"/>
      <c r="GS341" s="19"/>
      <c r="GT341" s="19"/>
      <c r="GU341" s="19"/>
      <c r="GV341" s="19"/>
      <c r="GW341" s="19"/>
      <c r="GX341" s="19"/>
      <c r="GY341" s="19"/>
      <c r="GZ341" s="19"/>
      <c r="HA341" s="19"/>
      <c r="HB341" s="19"/>
    </row>
    <row r="342" spans="1:210" x14ac:dyDescent="0.25">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c r="BE342" s="19"/>
      <c r="BF342" s="19"/>
      <c r="BG342" s="19"/>
      <c r="BH342" s="19"/>
      <c r="BI342" s="19"/>
      <c r="BJ342" s="19"/>
      <c r="BK342" s="19"/>
      <c r="BL342" s="19"/>
      <c r="BM342" s="19"/>
      <c r="BN342" s="19"/>
      <c r="BO342" s="19"/>
      <c r="BP342" s="19"/>
      <c r="BQ342" s="19"/>
      <c r="BR342" s="19"/>
      <c r="BS342" s="19"/>
      <c r="BT342" s="19"/>
      <c r="BU342" s="19"/>
      <c r="BV342" s="19"/>
      <c r="BW342" s="19"/>
      <c r="BX342" s="19"/>
      <c r="BY342" s="19"/>
      <c r="BZ342" s="19"/>
      <c r="CA342" s="19"/>
      <c r="CB342" s="19"/>
      <c r="CC342" s="19"/>
      <c r="CD342" s="19"/>
      <c r="CE342" s="19"/>
      <c r="CF342" s="19"/>
      <c r="CG342" s="19"/>
      <c r="CH342" s="19"/>
      <c r="CI342" s="19"/>
      <c r="CJ342" s="19"/>
      <c r="CK342" s="19"/>
      <c r="CL342" s="19"/>
      <c r="CM342" s="19"/>
      <c r="CN342" s="19"/>
      <c r="CO342" s="19"/>
      <c r="CP342" s="19"/>
      <c r="CQ342" s="19"/>
      <c r="CR342" s="19"/>
      <c r="CS342" s="19"/>
      <c r="CT342" s="19"/>
      <c r="CU342" s="19"/>
      <c r="CV342" s="19"/>
      <c r="CW342" s="19"/>
      <c r="CX342" s="19"/>
      <c r="CY342" s="19"/>
      <c r="CZ342" s="19"/>
      <c r="DA342" s="19"/>
      <c r="DB342" s="19"/>
      <c r="DC342" s="19"/>
      <c r="DD342" s="19"/>
      <c r="DE342" s="19"/>
      <c r="DF342" s="19"/>
      <c r="DG342" s="19"/>
      <c r="DH342" s="19"/>
      <c r="DI342" s="19"/>
      <c r="DJ342" s="19"/>
      <c r="DK342" s="19"/>
      <c r="DL342" s="19"/>
      <c r="DM342" s="19"/>
      <c r="DN342" s="19"/>
      <c r="DO342" s="19"/>
      <c r="DP342" s="19"/>
      <c r="DQ342" s="19"/>
      <c r="DR342" s="19"/>
      <c r="DS342" s="19"/>
      <c r="DT342" s="19"/>
      <c r="DU342" s="19"/>
      <c r="DV342" s="19"/>
      <c r="DW342" s="19"/>
      <c r="DX342" s="19"/>
      <c r="DY342" s="19"/>
      <c r="DZ342" s="19"/>
      <c r="EA342" s="19"/>
      <c r="EB342" s="19"/>
      <c r="EC342" s="19"/>
      <c r="ED342" s="19"/>
      <c r="EE342" s="19"/>
      <c r="EF342" s="19"/>
      <c r="EG342" s="19"/>
      <c r="EH342" s="19"/>
      <c r="EI342" s="19"/>
      <c r="EJ342" s="19"/>
      <c r="EK342" s="19"/>
      <c r="EL342" s="19"/>
      <c r="EM342" s="19"/>
      <c r="EN342" s="19"/>
      <c r="EO342" s="19"/>
      <c r="EP342" s="19"/>
      <c r="EQ342" s="19"/>
      <c r="ER342" s="19"/>
      <c r="ES342" s="19"/>
      <c r="ET342" s="19"/>
      <c r="EU342" s="19"/>
      <c r="EV342" s="19"/>
      <c r="EW342" s="19"/>
      <c r="EX342" s="19"/>
      <c r="EY342" s="19"/>
      <c r="EZ342" s="19"/>
      <c r="FA342" s="19"/>
      <c r="FB342" s="19"/>
      <c r="FC342" s="19"/>
      <c r="FD342" s="19"/>
      <c r="FE342" s="19"/>
      <c r="FF342" s="19"/>
      <c r="FG342" s="19"/>
      <c r="FH342" s="19"/>
      <c r="FI342" s="19"/>
      <c r="FJ342" s="19"/>
      <c r="FK342" s="19"/>
      <c r="FL342" s="19"/>
      <c r="FM342" s="19"/>
      <c r="FN342" s="19"/>
      <c r="FO342" s="19"/>
      <c r="FP342" s="19"/>
      <c r="FQ342" s="19"/>
      <c r="FR342" s="19"/>
      <c r="FS342" s="19"/>
      <c r="FT342" s="19"/>
      <c r="FU342" s="19"/>
      <c r="FV342" s="19"/>
      <c r="FW342" s="19"/>
      <c r="FX342" s="19"/>
      <c r="FY342" s="19"/>
      <c r="FZ342" s="19"/>
      <c r="GA342" s="19"/>
      <c r="GB342" s="19"/>
      <c r="GC342" s="19"/>
      <c r="GD342" s="19"/>
      <c r="GE342" s="19"/>
      <c r="GF342" s="19"/>
      <c r="GG342" s="19"/>
      <c r="GH342" s="19"/>
      <c r="GI342" s="19"/>
      <c r="GJ342" s="19"/>
      <c r="GK342" s="19"/>
      <c r="GL342" s="19"/>
      <c r="GM342" s="19"/>
      <c r="GN342" s="19"/>
      <c r="GO342" s="19"/>
      <c r="GP342" s="19"/>
      <c r="GQ342" s="19"/>
      <c r="GR342" s="19"/>
      <c r="GS342" s="19"/>
      <c r="GT342" s="19"/>
      <c r="GU342" s="19"/>
      <c r="GV342" s="19"/>
      <c r="GW342" s="19"/>
      <c r="GX342" s="19"/>
      <c r="GY342" s="19"/>
      <c r="GZ342" s="19"/>
      <c r="HA342" s="19"/>
      <c r="HB342" s="19"/>
    </row>
    <row r="343" spans="1:210" x14ac:dyDescent="0.25">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c r="BE343" s="19"/>
      <c r="BF343" s="19"/>
      <c r="BG343" s="19"/>
      <c r="BH343" s="19"/>
      <c r="BI343" s="19"/>
      <c r="BJ343" s="19"/>
      <c r="BK343" s="19"/>
      <c r="BL343" s="19"/>
      <c r="BM343" s="19"/>
      <c r="BN343" s="19"/>
      <c r="BO343" s="19"/>
      <c r="BP343" s="19"/>
      <c r="BQ343" s="19"/>
      <c r="BR343" s="19"/>
      <c r="BS343" s="19"/>
      <c r="BT343" s="19"/>
      <c r="BU343" s="19"/>
      <c r="BV343" s="19"/>
      <c r="BW343" s="19"/>
      <c r="BX343" s="19"/>
      <c r="BY343" s="19"/>
      <c r="BZ343" s="19"/>
      <c r="CA343" s="19"/>
      <c r="CB343" s="19"/>
      <c r="CC343" s="19"/>
      <c r="CD343" s="19"/>
      <c r="CE343" s="19"/>
      <c r="CF343" s="19"/>
      <c r="CG343" s="19"/>
      <c r="CH343" s="19"/>
      <c r="CI343" s="19"/>
      <c r="CJ343" s="19"/>
      <c r="CK343" s="19"/>
      <c r="CL343" s="19"/>
      <c r="CM343" s="19"/>
      <c r="CN343" s="19"/>
      <c r="CO343" s="19"/>
      <c r="CP343" s="19"/>
      <c r="CQ343" s="19"/>
      <c r="CR343" s="19"/>
      <c r="CS343" s="19"/>
      <c r="CT343" s="19"/>
      <c r="CU343" s="19"/>
      <c r="CV343" s="19"/>
      <c r="CW343" s="19"/>
      <c r="CX343" s="19"/>
      <c r="CY343" s="19"/>
      <c r="CZ343" s="19"/>
      <c r="DA343" s="19"/>
      <c r="DB343" s="19"/>
      <c r="DC343" s="19"/>
      <c r="DD343" s="19"/>
      <c r="DE343" s="19"/>
      <c r="DF343" s="19"/>
      <c r="DG343" s="19"/>
      <c r="DH343" s="19"/>
      <c r="DI343" s="19"/>
      <c r="DJ343" s="19"/>
      <c r="DK343" s="19"/>
      <c r="DL343" s="19"/>
      <c r="DM343" s="19"/>
      <c r="DN343" s="19"/>
      <c r="DO343" s="19"/>
      <c r="DP343" s="19"/>
      <c r="DQ343" s="19"/>
      <c r="DR343" s="19"/>
      <c r="DS343" s="19"/>
      <c r="DT343" s="19"/>
      <c r="DU343" s="19"/>
      <c r="DV343" s="19"/>
      <c r="DW343" s="19"/>
      <c r="DX343" s="19"/>
      <c r="DY343" s="19"/>
      <c r="DZ343" s="19"/>
      <c r="EA343" s="19"/>
      <c r="EB343" s="19"/>
      <c r="EC343" s="19"/>
      <c r="ED343" s="19"/>
      <c r="EE343" s="19"/>
      <c r="EF343" s="19"/>
      <c r="EG343" s="19"/>
      <c r="EH343" s="19"/>
      <c r="EI343" s="19"/>
      <c r="EJ343" s="19"/>
      <c r="EK343" s="19"/>
      <c r="EL343" s="19"/>
      <c r="EM343" s="19"/>
      <c r="EN343" s="19"/>
      <c r="EO343" s="19"/>
      <c r="EP343" s="19"/>
      <c r="EQ343" s="19"/>
      <c r="ER343" s="19"/>
      <c r="ES343" s="19"/>
      <c r="ET343" s="19"/>
      <c r="EU343" s="19"/>
      <c r="EV343" s="19"/>
      <c r="EW343" s="19"/>
      <c r="EX343" s="19"/>
      <c r="EY343" s="19"/>
      <c r="EZ343" s="19"/>
      <c r="FA343" s="19"/>
      <c r="FB343" s="19"/>
      <c r="FC343" s="19"/>
      <c r="FD343" s="19"/>
      <c r="FE343" s="19"/>
      <c r="FF343" s="19"/>
      <c r="FG343" s="19"/>
      <c r="FH343" s="19"/>
      <c r="FI343" s="19"/>
      <c r="FJ343" s="19"/>
      <c r="FK343" s="19"/>
      <c r="FL343" s="19"/>
      <c r="FM343" s="19"/>
      <c r="FN343" s="19"/>
      <c r="FO343" s="19"/>
      <c r="FP343" s="19"/>
      <c r="FQ343" s="19"/>
      <c r="FR343" s="19"/>
      <c r="FS343" s="19"/>
      <c r="FT343" s="19"/>
      <c r="FU343" s="19"/>
      <c r="FV343" s="19"/>
      <c r="FW343" s="19"/>
      <c r="FX343" s="19"/>
      <c r="FY343" s="19"/>
      <c r="FZ343" s="19"/>
      <c r="GA343" s="19"/>
      <c r="GB343" s="19"/>
      <c r="GC343" s="19"/>
      <c r="GD343" s="19"/>
      <c r="GE343" s="19"/>
      <c r="GF343" s="19"/>
      <c r="GG343" s="19"/>
      <c r="GH343" s="19"/>
      <c r="GI343" s="19"/>
      <c r="GJ343" s="19"/>
      <c r="GK343" s="19"/>
      <c r="GL343" s="19"/>
      <c r="GM343" s="19"/>
      <c r="GN343" s="19"/>
      <c r="GO343" s="19"/>
      <c r="GP343" s="19"/>
      <c r="GQ343" s="19"/>
      <c r="GR343" s="19"/>
      <c r="GS343" s="19"/>
      <c r="GT343" s="19"/>
      <c r="GU343" s="19"/>
      <c r="GV343" s="19"/>
      <c r="GW343" s="19"/>
      <c r="GX343" s="19"/>
      <c r="GY343" s="19"/>
      <c r="GZ343" s="19"/>
      <c r="HA343" s="19"/>
      <c r="HB343" s="19"/>
    </row>
    <row r="344" spans="1:210" x14ac:dyDescent="0.25">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c r="BE344" s="19"/>
      <c r="BF344" s="19"/>
      <c r="BG344" s="19"/>
      <c r="BH344" s="19"/>
      <c r="BI344" s="19"/>
      <c r="BJ344" s="19"/>
      <c r="BK344" s="19"/>
      <c r="BL344" s="19"/>
      <c r="BM344" s="19"/>
      <c r="BN344" s="19"/>
      <c r="BO344" s="19"/>
      <c r="BP344" s="19"/>
      <c r="BQ344" s="19"/>
      <c r="BR344" s="19"/>
      <c r="BS344" s="19"/>
      <c r="BT344" s="19"/>
      <c r="BU344" s="19"/>
      <c r="BV344" s="19"/>
      <c r="BW344" s="19"/>
      <c r="BX344" s="19"/>
      <c r="BY344" s="19"/>
      <c r="BZ344" s="19"/>
      <c r="CA344" s="19"/>
      <c r="CB344" s="19"/>
      <c r="CC344" s="19"/>
      <c r="CD344" s="19"/>
      <c r="CE344" s="19"/>
      <c r="CF344" s="19"/>
      <c r="CG344" s="19"/>
      <c r="CH344" s="19"/>
      <c r="CI344" s="19"/>
      <c r="CJ344" s="19"/>
      <c r="CK344" s="19"/>
      <c r="CL344" s="19"/>
      <c r="CM344" s="19"/>
      <c r="CN344" s="19"/>
      <c r="CO344" s="19"/>
      <c r="CP344" s="19"/>
      <c r="CQ344" s="19"/>
      <c r="CR344" s="19"/>
      <c r="CS344" s="19"/>
      <c r="CT344" s="19"/>
      <c r="CU344" s="19"/>
      <c r="CV344" s="19"/>
      <c r="CW344" s="19"/>
      <c r="CX344" s="19"/>
      <c r="CY344" s="19"/>
      <c r="CZ344" s="19"/>
      <c r="DA344" s="19"/>
      <c r="DB344" s="19"/>
      <c r="DC344" s="19"/>
      <c r="DD344" s="19"/>
      <c r="DE344" s="19"/>
      <c r="DF344" s="19"/>
      <c r="DG344" s="19"/>
      <c r="DH344" s="19"/>
      <c r="DI344" s="19"/>
      <c r="DJ344" s="19"/>
      <c r="DK344" s="19"/>
      <c r="DL344" s="19"/>
      <c r="DM344" s="19"/>
      <c r="DN344" s="19"/>
      <c r="DO344" s="19"/>
      <c r="DP344" s="19"/>
      <c r="DQ344" s="19"/>
      <c r="DR344" s="19"/>
      <c r="DS344" s="19"/>
      <c r="DT344" s="19"/>
      <c r="DU344" s="19"/>
      <c r="DV344" s="19"/>
      <c r="DW344" s="19"/>
      <c r="DX344" s="19"/>
      <c r="DY344" s="19"/>
      <c r="DZ344" s="19"/>
      <c r="EA344" s="19"/>
      <c r="EB344" s="19"/>
      <c r="EC344" s="19"/>
      <c r="ED344" s="19"/>
      <c r="EE344" s="19"/>
      <c r="EF344" s="19"/>
      <c r="EG344" s="19"/>
      <c r="EH344" s="19"/>
      <c r="EI344" s="19"/>
      <c r="EJ344" s="19"/>
      <c r="EK344" s="19"/>
      <c r="EL344" s="19"/>
      <c r="EM344" s="19"/>
      <c r="EN344" s="19"/>
      <c r="EO344" s="19"/>
      <c r="EP344" s="19"/>
      <c r="EQ344" s="19"/>
      <c r="ER344" s="19"/>
      <c r="ES344" s="19"/>
      <c r="ET344" s="19"/>
      <c r="EU344" s="19"/>
      <c r="EV344" s="19"/>
      <c r="EW344" s="19"/>
      <c r="EX344" s="19"/>
      <c r="EY344" s="19"/>
      <c r="EZ344" s="19"/>
      <c r="FA344" s="19"/>
      <c r="FB344" s="19"/>
      <c r="FC344" s="19"/>
      <c r="FD344" s="19"/>
      <c r="FE344" s="19"/>
      <c r="FF344" s="19"/>
      <c r="FG344" s="19"/>
      <c r="FH344" s="19"/>
      <c r="FI344" s="19"/>
      <c r="FJ344" s="19"/>
      <c r="FK344" s="19"/>
      <c r="FL344" s="19"/>
      <c r="FM344" s="19"/>
      <c r="FN344" s="19"/>
      <c r="FO344" s="19"/>
      <c r="FP344" s="19"/>
      <c r="FQ344" s="19"/>
      <c r="FR344" s="19"/>
      <c r="FS344" s="19"/>
      <c r="FT344" s="19"/>
      <c r="FU344" s="19"/>
      <c r="FV344" s="19"/>
      <c r="FW344" s="19"/>
      <c r="FX344" s="19"/>
      <c r="FY344" s="19"/>
      <c r="FZ344" s="19"/>
      <c r="GA344" s="19"/>
      <c r="GB344" s="19"/>
      <c r="GC344" s="19"/>
      <c r="GD344" s="19"/>
      <c r="GE344" s="19"/>
      <c r="GF344" s="19"/>
      <c r="GG344" s="19"/>
      <c r="GH344" s="19"/>
      <c r="GI344" s="19"/>
      <c r="GJ344" s="19"/>
      <c r="GK344" s="19"/>
      <c r="GL344" s="19"/>
      <c r="GM344" s="19"/>
      <c r="GN344" s="19"/>
      <c r="GO344" s="19"/>
      <c r="GP344" s="19"/>
      <c r="GQ344" s="19"/>
      <c r="GR344" s="19"/>
      <c r="GS344" s="19"/>
      <c r="GT344" s="19"/>
      <c r="GU344" s="19"/>
      <c r="GV344" s="19"/>
      <c r="GW344" s="19"/>
      <c r="GX344" s="19"/>
      <c r="GY344" s="19"/>
      <c r="GZ344" s="19"/>
      <c r="HA344" s="19"/>
      <c r="HB344" s="19"/>
    </row>
    <row r="345" spans="1:210" x14ac:dyDescent="0.25">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c r="BE345" s="19"/>
      <c r="BF345" s="19"/>
      <c r="BG345" s="19"/>
      <c r="BH345" s="19"/>
      <c r="BI345" s="19"/>
      <c r="BJ345" s="19"/>
      <c r="BK345" s="19"/>
      <c r="BL345" s="19"/>
      <c r="BM345" s="19"/>
      <c r="BN345" s="19"/>
      <c r="BO345" s="19"/>
      <c r="BP345" s="19"/>
      <c r="BQ345" s="19"/>
      <c r="BR345" s="19"/>
      <c r="BS345" s="19"/>
      <c r="BT345" s="19"/>
      <c r="BU345" s="19"/>
      <c r="BV345" s="19"/>
      <c r="BW345" s="19"/>
      <c r="BX345" s="19"/>
      <c r="BY345" s="19"/>
      <c r="BZ345" s="19"/>
      <c r="CA345" s="19"/>
      <c r="CB345" s="19"/>
      <c r="CC345" s="19"/>
      <c r="CD345" s="19"/>
      <c r="CE345" s="19"/>
      <c r="CF345" s="19"/>
      <c r="CG345" s="19"/>
      <c r="CH345" s="19"/>
      <c r="CI345" s="19"/>
      <c r="CJ345" s="19"/>
      <c r="CK345" s="19"/>
      <c r="CL345" s="19"/>
      <c r="CM345" s="19"/>
      <c r="CN345" s="19"/>
      <c r="CO345" s="19"/>
      <c r="CP345" s="19"/>
      <c r="CQ345" s="19"/>
      <c r="CR345" s="19"/>
      <c r="CS345" s="19"/>
      <c r="CT345" s="19"/>
      <c r="CU345" s="19"/>
      <c r="CV345" s="19"/>
      <c r="CW345" s="19"/>
      <c r="CX345" s="19"/>
      <c r="CY345" s="19"/>
      <c r="CZ345" s="19"/>
      <c r="DA345" s="19"/>
      <c r="DB345" s="19"/>
      <c r="DC345" s="19"/>
      <c r="DD345" s="19"/>
      <c r="DE345" s="19"/>
      <c r="DF345" s="19"/>
      <c r="DG345" s="19"/>
      <c r="DH345" s="19"/>
      <c r="DI345" s="19"/>
      <c r="DJ345" s="19"/>
      <c r="DK345" s="19"/>
      <c r="DL345" s="19"/>
      <c r="DM345" s="19"/>
      <c r="DN345" s="19"/>
      <c r="DO345" s="19"/>
      <c r="DP345" s="19"/>
      <c r="DQ345" s="19"/>
      <c r="DR345" s="19"/>
      <c r="DS345" s="19"/>
      <c r="DT345" s="19"/>
      <c r="DU345" s="19"/>
      <c r="DV345" s="19"/>
      <c r="DW345" s="19"/>
      <c r="DX345" s="19"/>
      <c r="DY345" s="19"/>
      <c r="DZ345" s="19"/>
      <c r="EA345" s="19"/>
      <c r="EB345" s="19"/>
      <c r="EC345" s="19"/>
      <c r="ED345" s="19"/>
      <c r="EE345" s="19"/>
      <c r="EF345" s="19"/>
      <c r="EG345" s="19"/>
      <c r="EH345" s="19"/>
      <c r="EI345" s="19"/>
      <c r="EJ345" s="19"/>
      <c r="EK345" s="19"/>
      <c r="EL345" s="19"/>
      <c r="EM345" s="19"/>
      <c r="EN345" s="19"/>
      <c r="EO345" s="19"/>
      <c r="EP345" s="19"/>
      <c r="EQ345" s="19"/>
      <c r="ER345" s="19"/>
      <c r="ES345" s="19"/>
      <c r="ET345" s="19"/>
      <c r="EU345" s="19"/>
      <c r="EV345" s="19"/>
      <c r="EW345" s="19"/>
      <c r="EX345" s="19"/>
      <c r="EY345" s="19"/>
      <c r="EZ345" s="19"/>
      <c r="FA345" s="19"/>
      <c r="FB345" s="19"/>
      <c r="FC345" s="19"/>
      <c r="FD345" s="19"/>
      <c r="FE345" s="19"/>
      <c r="FF345" s="19"/>
      <c r="FG345" s="19"/>
      <c r="FH345" s="19"/>
      <c r="FI345" s="19"/>
      <c r="FJ345" s="19"/>
      <c r="FK345" s="19"/>
      <c r="FL345" s="19"/>
      <c r="FM345" s="19"/>
      <c r="FN345" s="19"/>
      <c r="FO345" s="19"/>
      <c r="FP345" s="19"/>
      <c r="FQ345" s="19"/>
      <c r="FR345" s="19"/>
      <c r="FS345" s="19"/>
      <c r="FT345" s="19"/>
      <c r="FU345" s="19"/>
      <c r="FV345" s="19"/>
      <c r="FW345" s="19"/>
      <c r="FX345" s="19"/>
      <c r="FY345" s="19"/>
      <c r="FZ345" s="19"/>
      <c r="GA345" s="19"/>
      <c r="GB345" s="19"/>
      <c r="GC345" s="19"/>
      <c r="GD345" s="19"/>
      <c r="GE345" s="19"/>
      <c r="GF345" s="19"/>
      <c r="GG345" s="19"/>
      <c r="GH345" s="19"/>
      <c r="GI345" s="19"/>
      <c r="GJ345" s="19"/>
      <c r="GK345" s="19"/>
      <c r="GL345" s="19"/>
      <c r="GM345" s="19"/>
      <c r="GN345" s="19"/>
      <c r="GO345" s="19"/>
      <c r="GP345" s="19"/>
      <c r="GQ345" s="19"/>
      <c r="GR345" s="19"/>
      <c r="GS345" s="19"/>
      <c r="GT345" s="19"/>
      <c r="GU345" s="19"/>
      <c r="GV345" s="19"/>
      <c r="GW345" s="19"/>
      <c r="GX345" s="19"/>
      <c r="GY345" s="19"/>
      <c r="GZ345" s="19"/>
      <c r="HA345" s="19"/>
      <c r="HB345" s="19"/>
    </row>
    <row r="346" spans="1:210" x14ac:dyDescent="0.25">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c r="BE346" s="19"/>
      <c r="BF346" s="19"/>
      <c r="BG346" s="19"/>
      <c r="BH346" s="19"/>
      <c r="BI346" s="19"/>
      <c r="BJ346" s="19"/>
      <c r="BK346" s="19"/>
      <c r="BL346" s="19"/>
      <c r="BM346" s="19"/>
      <c r="BN346" s="19"/>
      <c r="BO346" s="19"/>
      <c r="BP346" s="19"/>
      <c r="BQ346" s="19"/>
      <c r="BR346" s="19"/>
      <c r="BS346" s="19"/>
      <c r="BT346" s="19"/>
      <c r="BU346" s="19"/>
      <c r="BV346" s="19"/>
      <c r="BW346" s="19"/>
      <c r="BX346" s="19"/>
      <c r="BY346" s="19"/>
      <c r="BZ346" s="19"/>
      <c r="CA346" s="19"/>
      <c r="CB346" s="19"/>
      <c r="CC346" s="19"/>
      <c r="CD346" s="19"/>
      <c r="CE346" s="19"/>
      <c r="CF346" s="19"/>
      <c r="CG346" s="19"/>
      <c r="CH346" s="19"/>
      <c r="CI346" s="19"/>
      <c r="CJ346" s="19"/>
      <c r="CK346" s="19"/>
      <c r="CL346" s="19"/>
      <c r="CM346" s="19"/>
      <c r="CN346" s="19"/>
      <c r="CO346" s="19"/>
      <c r="CP346" s="19"/>
      <c r="CQ346" s="19"/>
      <c r="CR346" s="19"/>
      <c r="CS346" s="19"/>
      <c r="CT346" s="19"/>
      <c r="CU346" s="19"/>
      <c r="CV346" s="19"/>
      <c r="CW346" s="19"/>
      <c r="CX346" s="19"/>
      <c r="CY346" s="19"/>
      <c r="CZ346" s="19"/>
      <c r="DA346" s="19"/>
      <c r="DB346" s="19"/>
      <c r="DC346" s="19"/>
      <c r="DD346" s="19"/>
      <c r="DE346" s="19"/>
      <c r="DF346" s="19"/>
      <c r="DG346" s="19"/>
      <c r="DH346" s="19"/>
      <c r="DI346" s="19"/>
      <c r="DJ346" s="19"/>
      <c r="DK346" s="19"/>
      <c r="DL346" s="19"/>
      <c r="DM346" s="19"/>
      <c r="DN346" s="19"/>
      <c r="DO346" s="19"/>
      <c r="DP346" s="19"/>
      <c r="DQ346" s="19"/>
      <c r="DR346" s="19"/>
      <c r="DS346" s="19"/>
      <c r="DT346" s="19"/>
      <c r="DU346" s="19"/>
      <c r="DV346" s="19"/>
      <c r="DW346" s="19"/>
      <c r="DX346" s="19"/>
      <c r="DY346" s="19"/>
      <c r="DZ346" s="19"/>
      <c r="EA346" s="19"/>
      <c r="EB346" s="19"/>
      <c r="EC346" s="19"/>
      <c r="ED346" s="19"/>
      <c r="EE346" s="19"/>
      <c r="EF346" s="19"/>
      <c r="EG346" s="19"/>
      <c r="EH346" s="19"/>
      <c r="EI346" s="19"/>
      <c r="EJ346" s="19"/>
      <c r="EK346" s="19"/>
      <c r="EL346" s="19"/>
      <c r="EM346" s="19"/>
      <c r="EN346" s="19"/>
      <c r="EO346" s="19"/>
      <c r="EP346" s="19"/>
      <c r="EQ346" s="19"/>
      <c r="ER346" s="19"/>
      <c r="ES346" s="19"/>
      <c r="ET346" s="19"/>
      <c r="EU346" s="19"/>
      <c r="EV346" s="19"/>
      <c r="EW346" s="19"/>
      <c r="EX346" s="19"/>
      <c r="EY346" s="19"/>
      <c r="EZ346" s="19"/>
      <c r="FA346" s="19"/>
      <c r="FB346" s="19"/>
      <c r="FC346" s="19"/>
      <c r="FD346" s="19"/>
      <c r="FE346" s="19"/>
      <c r="FF346" s="19"/>
      <c r="FG346" s="19"/>
      <c r="FH346" s="19"/>
      <c r="FI346" s="19"/>
      <c r="FJ346" s="19"/>
      <c r="FK346" s="19"/>
      <c r="FL346" s="19"/>
      <c r="FM346" s="19"/>
      <c r="FN346" s="19"/>
      <c r="FO346" s="19"/>
      <c r="FP346" s="19"/>
      <c r="FQ346" s="19"/>
      <c r="FR346" s="19"/>
      <c r="FS346" s="19"/>
      <c r="FT346" s="19"/>
      <c r="FU346" s="19"/>
      <c r="FV346" s="19"/>
      <c r="FW346" s="19"/>
      <c r="FX346" s="19"/>
      <c r="FY346" s="19"/>
      <c r="FZ346" s="19"/>
      <c r="GA346" s="19"/>
      <c r="GB346" s="19"/>
      <c r="GC346" s="19"/>
      <c r="GD346" s="19"/>
      <c r="GE346" s="19"/>
      <c r="GF346" s="19"/>
      <c r="GG346" s="19"/>
      <c r="GH346" s="19"/>
      <c r="GI346" s="19"/>
      <c r="GJ346" s="19"/>
      <c r="GK346" s="19"/>
      <c r="GL346" s="19"/>
      <c r="GM346" s="19"/>
      <c r="GN346" s="19"/>
      <c r="GO346" s="19"/>
      <c r="GP346" s="19"/>
      <c r="GQ346" s="19"/>
      <c r="GR346" s="19"/>
      <c r="GS346" s="19"/>
      <c r="GT346" s="19"/>
      <c r="GU346" s="19"/>
      <c r="GV346" s="19"/>
      <c r="GW346" s="19"/>
      <c r="GX346" s="19"/>
      <c r="GY346" s="19"/>
      <c r="GZ346" s="19"/>
      <c r="HA346" s="19"/>
      <c r="HB346" s="19"/>
    </row>
    <row r="347" spans="1:210" x14ac:dyDescent="0.25">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c r="BE347" s="19"/>
      <c r="BF347" s="19"/>
      <c r="BG347" s="19"/>
      <c r="BH347" s="19"/>
      <c r="BI347" s="19"/>
      <c r="BJ347" s="19"/>
      <c r="BK347" s="19"/>
      <c r="BL347" s="19"/>
      <c r="BM347" s="19"/>
      <c r="BN347" s="19"/>
      <c r="BO347" s="19"/>
      <c r="BP347" s="19"/>
      <c r="BQ347" s="19"/>
      <c r="BR347" s="19"/>
      <c r="BS347" s="19"/>
      <c r="BT347" s="19"/>
      <c r="BU347" s="19"/>
      <c r="BV347" s="19"/>
      <c r="BW347" s="19"/>
      <c r="BX347" s="19"/>
      <c r="BY347" s="19"/>
      <c r="BZ347" s="19"/>
      <c r="CA347" s="19"/>
      <c r="CB347" s="19"/>
      <c r="CC347" s="19"/>
      <c r="CD347" s="19"/>
      <c r="CE347" s="19"/>
      <c r="CF347" s="19"/>
      <c r="CG347" s="19"/>
      <c r="CH347" s="19"/>
      <c r="CI347" s="19"/>
      <c r="CJ347" s="19"/>
      <c r="CK347" s="19"/>
      <c r="CL347" s="19"/>
      <c r="CM347" s="19"/>
      <c r="CN347" s="19"/>
      <c r="CO347" s="19"/>
      <c r="CP347" s="19"/>
      <c r="CQ347" s="19"/>
      <c r="CR347" s="19"/>
      <c r="CS347" s="19"/>
      <c r="CT347" s="19"/>
      <c r="CU347" s="19"/>
      <c r="CV347" s="19"/>
      <c r="CW347" s="19"/>
      <c r="CX347" s="19"/>
      <c r="CY347" s="19"/>
      <c r="CZ347" s="19"/>
      <c r="DA347" s="19"/>
      <c r="DB347" s="19"/>
      <c r="DC347" s="19"/>
      <c r="DD347" s="19"/>
      <c r="DE347" s="19"/>
      <c r="DF347" s="19"/>
      <c r="DG347" s="19"/>
      <c r="DH347" s="19"/>
      <c r="DI347" s="19"/>
      <c r="DJ347" s="19"/>
      <c r="DK347" s="19"/>
      <c r="DL347" s="19"/>
      <c r="DM347" s="19"/>
      <c r="DN347" s="19"/>
      <c r="DO347" s="19"/>
      <c r="DP347" s="19"/>
      <c r="DQ347" s="19"/>
      <c r="DR347" s="19"/>
      <c r="DS347" s="19"/>
      <c r="DT347" s="19"/>
      <c r="DU347" s="19"/>
      <c r="DV347" s="19"/>
      <c r="DW347" s="19"/>
      <c r="DX347" s="19"/>
      <c r="DY347" s="19"/>
      <c r="DZ347" s="19"/>
      <c r="EA347" s="19"/>
      <c r="EB347" s="19"/>
      <c r="EC347" s="19"/>
      <c r="ED347" s="19"/>
      <c r="EE347" s="19"/>
      <c r="EF347" s="19"/>
      <c r="EG347" s="19"/>
      <c r="EH347" s="19"/>
      <c r="EI347" s="19"/>
      <c r="EJ347" s="19"/>
      <c r="EK347" s="19"/>
      <c r="EL347" s="19"/>
      <c r="EM347" s="19"/>
      <c r="EN347" s="19"/>
      <c r="EO347" s="19"/>
      <c r="EP347" s="19"/>
      <c r="EQ347" s="19"/>
      <c r="ER347" s="19"/>
      <c r="ES347" s="19"/>
      <c r="ET347" s="19"/>
      <c r="EU347" s="19"/>
      <c r="EV347" s="19"/>
      <c r="EW347" s="19"/>
      <c r="EX347" s="19"/>
      <c r="EY347" s="19"/>
      <c r="EZ347" s="19"/>
      <c r="FA347" s="19"/>
      <c r="FB347" s="19"/>
      <c r="FC347" s="19"/>
      <c r="FD347" s="19"/>
      <c r="FE347" s="19"/>
      <c r="FF347" s="19"/>
      <c r="FG347" s="19"/>
      <c r="FH347" s="19"/>
      <c r="FI347" s="19"/>
      <c r="FJ347" s="19"/>
      <c r="FK347" s="19"/>
      <c r="FL347" s="19"/>
      <c r="FM347" s="19"/>
      <c r="FN347" s="19"/>
      <c r="FO347" s="19"/>
      <c r="FP347" s="19"/>
      <c r="FQ347" s="19"/>
      <c r="FR347" s="19"/>
      <c r="FS347" s="19"/>
      <c r="FT347" s="19"/>
      <c r="FU347" s="19"/>
      <c r="FV347" s="19"/>
      <c r="FW347" s="19"/>
      <c r="FX347" s="19"/>
      <c r="FY347" s="19"/>
      <c r="FZ347" s="19"/>
      <c r="GA347" s="19"/>
      <c r="GB347" s="19"/>
      <c r="GC347" s="19"/>
      <c r="GD347" s="19"/>
      <c r="GE347" s="19"/>
      <c r="GF347" s="19"/>
      <c r="GG347" s="19"/>
      <c r="GH347" s="19"/>
      <c r="GI347" s="19"/>
      <c r="GJ347" s="19"/>
      <c r="GK347" s="19"/>
      <c r="GL347" s="19"/>
      <c r="GM347" s="19"/>
      <c r="GN347" s="19"/>
      <c r="GO347" s="19"/>
      <c r="GP347" s="19"/>
      <c r="GQ347" s="19"/>
      <c r="GR347" s="19"/>
      <c r="GS347" s="19"/>
      <c r="GT347" s="19"/>
      <c r="GU347" s="19"/>
      <c r="GV347" s="19"/>
      <c r="GW347" s="19"/>
      <c r="GX347" s="19"/>
      <c r="GY347" s="19"/>
      <c r="GZ347" s="19"/>
      <c r="HA347" s="19"/>
      <c r="HB347" s="19"/>
    </row>
    <row r="348" spans="1:210" x14ac:dyDescent="0.25">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c r="BE348" s="19"/>
      <c r="BF348" s="19"/>
      <c r="BG348" s="19"/>
      <c r="BH348" s="19"/>
      <c r="BI348" s="19"/>
      <c r="BJ348" s="19"/>
      <c r="BK348" s="19"/>
      <c r="BL348" s="19"/>
      <c r="BM348" s="19"/>
      <c r="BN348" s="19"/>
      <c r="BO348" s="19"/>
      <c r="BP348" s="19"/>
      <c r="BQ348" s="19"/>
      <c r="BR348" s="19"/>
      <c r="BS348" s="19"/>
      <c r="BT348" s="19"/>
      <c r="BU348" s="19"/>
      <c r="BV348" s="19"/>
      <c r="BW348" s="19"/>
      <c r="BX348" s="19"/>
      <c r="BY348" s="19"/>
      <c r="BZ348" s="19"/>
      <c r="CA348" s="19"/>
      <c r="CB348" s="19"/>
      <c r="CC348" s="19"/>
      <c r="CD348" s="19"/>
      <c r="CE348" s="19"/>
      <c r="CF348" s="19"/>
      <c r="CG348" s="19"/>
      <c r="CH348" s="19"/>
      <c r="CI348" s="19"/>
      <c r="CJ348" s="19"/>
      <c r="CK348" s="19"/>
      <c r="CL348" s="19"/>
      <c r="CM348" s="19"/>
      <c r="CN348" s="19"/>
      <c r="CO348" s="19"/>
      <c r="CP348" s="19"/>
      <c r="CQ348" s="19"/>
      <c r="CR348" s="19"/>
      <c r="CS348" s="19"/>
      <c r="CT348" s="19"/>
      <c r="CU348" s="19"/>
      <c r="CV348" s="19"/>
      <c r="CW348" s="19"/>
      <c r="CX348" s="19"/>
      <c r="CY348" s="19"/>
      <c r="CZ348" s="19"/>
      <c r="DA348" s="19"/>
      <c r="DB348" s="19"/>
      <c r="DC348" s="19"/>
      <c r="DD348" s="19"/>
      <c r="DE348" s="19"/>
      <c r="DF348" s="19"/>
      <c r="DG348" s="19"/>
      <c r="DH348" s="19"/>
      <c r="DI348" s="19"/>
      <c r="DJ348" s="19"/>
      <c r="DK348" s="19"/>
      <c r="DL348" s="19"/>
      <c r="DM348" s="19"/>
      <c r="DN348" s="19"/>
      <c r="DO348" s="19"/>
      <c r="DP348" s="19"/>
      <c r="DQ348" s="19"/>
      <c r="DR348" s="19"/>
      <c r="DS348" s="19"/>
      <c r="DT348" s="19"/>
      <c r="DU348" s="19"/>
      <c r="DV348" s="19"/>
      <c r="DW348" s="19"/>
      <c r="DX348" s="19"/>
      <c r="DY348" s="19"/>
      <c r="DZ348" s="19"/>
      <c r="EA348" s="19"/>
      <c r="EB348" s="19"/>
      <c r="EC348" s="19"/>
      <c r="ED348" s="19"/>
      <c r="EE348" s="19"/>
      <c r="EF348" s="19"/>
      <c r="EG348" s="19"/>
      <c r="EH348" s="19"/>
      <c r="EI348" s="19"/>
      <c r="EJ348" s="19"/>
      <c r="EK348" s="19"/>
      <c r="EL348" s="19"/>
      <c r="EM348" s="19"/>
      <c r="EN348" s="19"/>
      <c r="EO348" s="19"/>
      <c r="EP348" s="19"/>
      <c r="EQ348" s="19"/>
      <c r="ER348" s="19"/>
      <c r="ES348" s="19"/>
      <c r="ET348" s="19"/>
      <c r="EU348" s="19"/>
      <c r="EV348" s="19"/>
      <c r="EW348" s="19"/>
      <c r="EX348" s="19"/>
      <c r="EY348" s="19"/>
      <c r="EZ348" s="19"/>
      <c r="FA348" s="19"/>
      <c r="FB348" s="19"/>
      <c r="FC348" s="19"/>
      <c r="FD348" s="19"/>
      <c r="FE348" s="19"/>
      <c r="FF348" s="19"/>
      <c r="FG348" s="19"/>
      <c r="FH348" s="19"/>
      <c r="FI348" s="19"/>
      <c r="FJ348" s="19"/>
      <c r="FK348" s="19"/>
      <c r="FL348" s="19"/>
      <c r="FM348" s="19"/>
      <c r="FN348" s="19"/>
      <c r="FO348" s="19"/>
      <c r="FP348" s="19"/>
      <c r="FQ348" s="19"/>
      <c r="FR348" s="19"/>
      <c r="FS348" s="19"/>
      <c r="FT348" s="19"/>
      <c r="FU348" s="19"/>
      <c r="FV348" s="19"/>
      <c r="FW348" s="19"/>
      <c r="FX348" s="19"/>
      <c r="FY348" s="19"/>
      <c r="FZ348" s="19"/>
      <c r="GA348" s="19"/>
      <c r="GB348" s="19"/>
      <c r="GC348" s="19"/>
      <c r="GD348" s="19"/>
      <c r="GE348" s="19"/>
      <c r="GF348" s="19"/>
      <c r="GG348" s="19"/>
      <c r="GH348" s="19"/>
      <c r="GI348" s="19"/>
      <c r="GJ348" s="19"/>
      <c r="GK348" s="19"/>
      <c r="GL348" s="19"/>
      <c r="GM348" s="19"/>
      <c r="GN348" s="19"/>
      <c r="GO348" s="19"/>
      <c r="GP348" s="19"/>
      <c r="GQ348" s="19"/>
      <c r="GR348" s="19"/>
      <c r="GS348" s="19"/>
      <c r="GT348" s="19"/>
      <c r="GU348" s="19"/>
      <c r="GV348" s="19"/>
      <c r="GW348" s="19"/>
      <c r="GX348" s="19"/>
      <c r="GY348" s="19"/>
      <c r="GZ348" s="19"/>
      <c r="HA348" s="19"/>
      <c r="HB348" s="19"/>
    </row>
    <row r="349" spans="1:210" x14ac:dyDescent="0.25">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c r="BE349" s="19"/>
      <c r="BF349" s="19"/>
      <c r="BG349" s="19"/>
      <c r="BH349" s="19"/>
      <c r="BI349" s="19"/>
      <c r="BJ349" s="19"/>
      <c r="BK349" s="19"/>
      <c r="BL349" s="19"/>
      <c r="BM349" s="19"/>
      <c r="BN349" s="19"/>
      <c r="BO349" s="19"/>
      <c r="BP349" s="19"/>
      <c r="BQ349" s="19"/>
      <c r="BR349" s="19"/>
      <c r="BS349" s="19"/>
      <c r="BT349" s="19"/>
      <c r="BU349" s="19"/>
      <c r="BV349" s="19"/>
      <c r="BW349" s="19"/>
      <c r="BX349" s="19"/>
      <c r="BY349" s="19"/>
      <c r="BZ349" s="19"/>
      <c r="CA349" s="19"/>
      <c r="CB349" s="19"/>
      <c r="CC349" s="19"/>
      <c r="CD349" s="19"/>
      <c r="CE349" s="19"/>
      <c r="CF349" s="19"/>
      <c r="CG349" s="19"/>
      <c r="CH349" s="19"/>
      <c r="CI349" s="19"/>
      <c r="CJ349" s="19"/>
      <c r="CK349" s="19"/>
      <c r="CL349" s="19"/>
      <c r="CM349" s="19"/>
      <c r="CN349" s="19"/>
      <c r="CO349" s="19"/>
      <c r="CP349" s="19"/>
      <c r="CQ349" s="19"/>
      <c r="CR349" s="19"/>
      <c r="CS349" s="19"/>
      <c r="CT349" s="19"/>
      <c r="CU349" s="19"/>
      <c r="CV349" s="19"/>
      <c r="CW349" s="19"/>
      <c r="CX349" s="19"/>
      <c r="CY349" s="19"/>
      <c r="CZ349" s="19"/>
      <c r="DA349" s="19"/>
      <c r="DB349" s="19"/>
      <c r="DC349" s="19"/>
      <c r="DD349" s="19"/>
      <c r="DE349" s="19"/>
      <c r="DF349" s="19"/>
      <c r="DG349" s="19"/>
      <c r="DH349" s="19"/>
      <c r="DI349" s="19"/>
      <c r="DJ349" s="19"/>
      <c r="DK349" s="19"/>
      <c r="DL349" s="19"/>
      <c r="DM349" s="19"/>
      <c r="DN349" s="19"/>
      <c r="DO349" s="19"/>
      <c r="DP349" s="19"/>
      <c r="DQ349" s="19"/>
      <c r="DR349" s="19"/>
      <c r="DS349" s="19"/>
      <c r="DT349" s="19"/>
      <c r="DU349" s="19"/>
      <c r="DV349" s="19"/>
      <c r="DW349" s="19"/>
      <c r="DX349" s="19"/>
      <c r="DY349" s="19"/>
      <c r="DZ349" s="19"/>
      <c r="EA349" s="19"/>
      <c r="EB349" s="19"/>
      <c r="EC349" s="19"/>
      <c r="ED349" s="19"/>
      <c r="EE349" s="19"/>
      <c r="EF349" s="19"/>
      <c r="EG349" s="19"/>
      <c r="EH349" s="19"/>
      <c r="EI349" s="19"/>
      <c r="EJ349" s="19"/>
      <c r="EK349" s="19"/>
      <c r="EL349" s="19"/>
      <c r="EM349" s="19"/>
      <c r="EN349" s="19"/>
      <c r="EO349" s="19"/>
      <c r="EP349" s="19"/>
      <c r="EQ349" s="19"/>
      <c r="ER349" s="19"/>
      <c r="ES349" s="19"/>
      <c r="ET349" s="19"/>
      <c r="EU349" s="19"/>
      <c r="EV349" s="19"/>
      <c r="EW349" s="19"/>
      <c r="EX349" s="19"/>
      <c r="EY349" s="19"/>
      <c r="EZ349" s="19"/>
      <c r="FA349" s="19"/>
      <c r="FB349" s="19"/>
      <c r="FC349" s="19"/>
      <c r="FD349" s="19"/>
      <c r="FE349" s="19"/>
      <c r="FF349" s="19"/>
      <c r="FG349" s="19"/>
      <c r="FH349" s="19"/>
      <c r="FI349" s="19"/>
      <c r="FJ349" s="19"/>
      <c r="FK349" s="19"/>
      <c r="FL349" s="19"/>
      <c r="FM349" s="19"/>
      <c r="FN349" s="19"/>
      <c r="FO349" s="19"/>
      <c r="FP349" s="19"/>
      <c r="FQ349" s="19"/>
      <c r="FR349" s="19"/>
      <c r="FS349" s="19"/>
      <c r="FT349" s="19"/>
      <c r="FU349" s="19"/>
      <c r="FV349" s="19"/>
      <c r="FW349" s="19"/>
      <c r="FX349" s="19"/>
      <c r="FY349" s="19"/>
      <c r="FZ349" s="19"/>
      <c r="GA349" s="19"/>
      <c r="GB349" s="19"/>
      <c r="GC349" s="19"/>
      <c r="GD349" s="19"/>
      <c r="GE349" s="19"/>
      <c r="GF349" s="19"/>
      <c r="GG349" s="19"/>
      <c r="GH349" s="19"/>
      <c r="GI349" s="19"/>
      <c r="GJ349" s="19"/>
      <c r="GK349" s="19"/>
      <c r="GL349" s="19"/>
      <c r="GM349" s="19"/>
      <c r="GN349" s="19"/>
      <c r="GO349" s="19"/>
      <c r="GP349" s="19"/>
      <c r="GQ349" s="19"/>
      <c r="GR349" s="19"/>
      <c r="GS349" s="19"/>
      <c r="GT349" s="19"/>
      <c r="GU349" s="19"/>
      <c r="GV349" s="19"/>
      <c r="GW349" s="19"/>
      <c r="GX349" s="19"/>
      <c r="GY349" s="19"/>
      <c r="GZ349" s="19"/>
      <c r="HA349" s="19"/>
      <c r="HB349" s="19"/>
    </row>
    <row r="350" spans="1:210" x14ac:dyDescent="0.25">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c r="BE350" s="19"/>
      <c r="BF350" s="19"/>
      <c r="BG350" s="19"/>
      <c r="BH350" s="19"/>
      <c r="BI350" s="19"/>
      <c r="BJ350" s="19"/>
      <c r="BK350" s="19"/>
      <c r="BL350" s="19"/>
      <c r="BM350" s="19"/>
      <c r="BN350" s="19"/>
      <c r="BO350" s="19"/>
      <c r="BP350" s="19"/>
      <c r="BQ350" s="19"/>
      <c r="BR350" s="19"/>
      <c r="BS350" s="19"/>
      <c r="BT350" s="19"/>
      <c r="BU350" s="19"/>
      <c r="BV350" s="19"/>
      <c r="BW350" s="19"/>
      <c r="BX350" s="19"/>
      <c r="BY350" s="19"/>
      <c r="BZ350" s="19"/>
      <c r="CA350" s="19"/>
      <c r="CB350" s="19"/>
      <c r="CC350" s="19"/>
      <c r="CD350" s="19"/>
      <c r="CE350" s="19"/>
      <c r="CF350" s="19"/>
      <c r="CG350" s="19"/>
      <c r="CH350" s="19"/>
      <c r="CI350" s="19"/>
      <c r="CJ350" s="19"/>
      <c r="CK350" s="19"/>
      <c r="CL350" s="19"/>
      <c r="CM350" s="19"/>
      <c r="CN350" s="19"/>
      <c r="CO350" s="19"/>
      <c r="CP350" s="19"/>
      <c r="CQ350" s="19"/>
      <c r="CR350" s="19"/>
      <c r="CS350" s="19"/>
      <c r="CT350" s="19"/>
      <c r="CU350" s="19"/>
      <c r="CV350" s="19"/>
      <c r="CW350" s="19"/>
      <c r="CX350" s="19"/>
      <c r="CY350" s="19"/>
      <c r="CZ350" s="19"/>
      <c r="DA350" s="19"/>
      <c r="DB350" s="19"/>
      <c r="DC350" s="19"/>
      <c r="DD350" s="19"/>
      <c r="DE350" s="19"/>
      <c r="DF350" s="19"/>
      <c r="DG350" s="19"/>
      <c r="DH350" s="19"/>
      <c r="DI350" s="19"/>
      <c r="DJ350" s="19"/>
      <c r="DK350" s="19"/>
      <c r="DL350" s="19"/>
      <c r="DM350" s="19"/>
      <c r="DN350" s="19"/>
      <c r="DO350" s="19"/>
      <c r="DP350" s="19"/>
      <c r="DQ350" s="19"/>
      <c r="DR350" s="19"/>
      <c r="DS350" s="19"/>
      <c r="DT350" s="19"/>
      <c r="DU350" s="19"/>
      <c r="DV350" s="19"/>
      <c r="DW350" s="19"/>
      <c r="DX350" s="19"/>
      <c r="DY350" s="19"/>
      <c r="DZ350" s="19"/>
      <c r="EA350" s="19"/>
      <c r="EB350" s="19"/>
      <c r="EC350" s="19"/>
      <c r="ED350" s="19"/>
      <c r="EE350" s="19"/>
      <c r="EF350" s="19"/>
      <c r="EG350" s="19"/>
      <c r="EH350" s="19"/>
      <c r="EI350" s="19"/>
      <c r="EJ350" s="19"/>
      <c r="EK350" s="19"/>
      <c r="EL350" s="19"/>
      <c r="EM350" s="19"/>
      <c r="EN350" s="19"/>
      <c r="EO350" s="19"/>
      <c r="EP350" s="19"/>
      <c r="EQ350" s="19"/>
      <c r="ER350" s="19"/>
      <c r="ES350" s="19"/>
      <c r="ET350" s="19"/>
      <c r="EU350" s="19"/>
      <c r="EV350" s="19"/>
      <c r="EW350" s="19"/>
      <c r="EX350" s="19"/>
      <c r="EY350" s="19"/>
      <c r="EZ350" s="19"/>
      <c r="FA350" s="19"/>
      <c r="FB350" s="19"/>
      <c r="FC350" s="19"/>
      <c r="FD350" s="19"/>
      <c r="FE350" s="19"/>
      <c r="FF350" s="19"/>
      <c r="FG350" s="19"/>
      <c r="FH350" s="19"/>
      <c r="FI350" s="19"/>
      <c r="FJ350" s="19"/>
      <c r="FK350" s="19"/>
      <c r="FL350" s="19"/>
      <c r="FM350" s="19"/>
      <c r="FN350" s="19"/>
      <c r="FO350" s="19"/>
      <c r="FP350" s="19"/>
      <c r="FQ350" s="19"/>
      <c r="FR350" s="19"/>
      <c r="FS350" s="19"/>
      <c r="FT350" s="19"/>
      <c r="FU350" s="19"/>
      <c r="FV350" s="19"/>
      <c r="FW350" s="19"/>
      <c r="FX350" s="19"/>
      <c r="FY350" s="19"/>
      <c r="FZ350" s="19"/>
      <c r="GA350" s="19"/>
      <c r="GB350" s="19"/>
      <c r="GC350" s="19"/>
      <c r="GD350" s="19"/>
      <c r="GE350" s="19"/>
      <c r="GF350" s="19"/>
      <c r="GG350" s="19"/>
      <c r="GH350" s="19"/>
      <c r="GI350" s="19"/>
      <c r="GJ350" s="19"/>
      <c r="GK350" s="19"/>
      <c r="GL350" s="19"/>
      <c r="GM350" s="19"/>
      <c r="GN350" s="19"/>
      <c r="GO350" s="19"/>
      <c r="GP350" s="19"/>
      <c r="GQ350" s="19"/>
      <c r="GR350" s="19"/>
      <c r="GS350" s="19"/>
      <c r="GT350" s="19"/>
      <c r="GU350" s="19"/>
      <c r="GV350" s="19"/>
      <c r="GW350" s="19"/>
      <c r="GX350" s="19"/>
      <c r="GY350" s="19"/>
      <c r="GZ350" s="19"/>
      <c r="HA350" s="19"/>
      <c r="HB350" s="19"/>
    </row>
    <row r="351" spans="1:210" x14ac:dyDescent="0.25">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c r="BE351" s="19"/>
      <c r="BF351" s="19"/>
      <c r="BG351" s="19"/>
      <c r="BH351" s="19"/>
      <c r="BI351" s="19"/>
      <c r="BJ351" s="19"/>
      <c r="BK351" s="19"/>
      <c r="BL351" s="19"/>
      <c r="BM351" s="19"/>
      <c r="BN351" s="19"/>
      <c r="BO351" s="19"/>
      <c r="BP351" s="19"/>
      <c r="BQ351" s="19"/>
      <c r="BR351" s="19"/>
      <c r="BS351" s="19"/>
      <c r="BT351" s="19"/>
      <c r="BU351" s="19"/>
      <c r="BV351" s="19"/>
      <c r="BW351" s="19"/>
      <c r="BX351" s="19"/>
      <c r="BY351" s="19"/>
      <c r="BZ351" s="19"/>
      <c r="CA351" s="19"/>
      <c r="CB351" s="19"/>
      <c r="CC351" s="19"/>
      <c r="CD351" s="19"/>
      <c r="CE351" s="19"/>
      <c r="CF351" s="19"/>
      <c r="CG351" s="19"/>
      <c r="CH351" s="19"/>
      <c r="CI351" s="19"/>
      <c r="CJ351" s="19"/>
      <c r="CK351" s="19"/>
      <c r="CL351" s="19"/>
      <c r="CM351" s="19"/>
      <c r="CN351" s="19"/>
      <c r="CO351" s="19"/>
      <c r="CP351" s="19"/>
      <c r="CQ351" s="19"/>
      <c r="CR351" s="19"/>
      <c r="CS351" s="19"/>
      <c r="CT351" s="19"/>
      <c r="CU351" s="19"/>
      <c r="CV351" s="19"/>
      <c r="CW351" s="19"/>
      <c r="CX351" s="19"/>
      <c r="CY351" s="19"/>
      <c r="CZ351" s="19"/>
      <c r="DA351" s="19"/>
      <c r="DB351" s="19"/>
      <c r="DC351" s="19"/>
      <c r="DD351" s="19"/>
      <c r="DE351" s="19"/>
      <c r="DF351" s="19"/>
      <c r="DG351" s="19"/>
      <c r="DH351" s="19"/>
      <c r="DI351" s="19"/>
      <c r="DJ351" s="19"/>
      <c r="DK351" s="19"/>
      <c r="DL351" s="19"/>
      <c r="DM351" s="19"/>
      <c r="DN351" s="19"/>
      <c r="DO351" s="19"/>
      <c r="DP351" s="19"/>
      <c r="DQ351" s="19"/>
      <c r="DR351" s="19"/>
      <c r="DS351" s="19"/>
      <c r="DT351" s="19"/>
      <c r="DU351" s="19"/>
      <c r="DV351" s="19"/>
      <c r="DW351" s="19"/>
      <c r="DX351" s="19"/>
      <c r="DY351" s="19"/>
      <c r="DZ351" s="19"/>
      <c r="EA351" s="19"/>
      <c r="EB351" s="19"/>
      <c r="EC351" s="19"/>
      <c r="ED351" s="19"/>
      <c r="EE351" s="19"/>
      <c r="EF351" s="19"/>
      <c r="EG351" s="19"/>
      <c r="EH351" s="19"/>
      <c r="EI351" s="19"/>
      <c r="EJ351" s="19"/>
      <c r="EK351" s="19"/>
      <c r="EL351" s="19"/>
      <c r="EM351" s="19"/>
      <c r="EN351" s="19"/>
      <c r="EO351" s="19"/>
      <c r="EP351" s="19"/>
      <c r="EQ351" s="19"/>
      <c r="ER351" s="19"/>
      <c r="ES351" s="19"/>
      <c r="ET351" s="19"/>
      <c r="EU351" s="19"/>
      <c r="EV351" s="19"/>
      <c r="EW351" s="19"/>
      <c r="EX351" s="19"/>
      <c r="EY351" s="19"/>
      <c r="EZ351" s="19"/>
      <c r="FA351" s="19"/>
      <c r="FB351" s="19"/>
      <c r="FC351" s="19"/>
      <c r="FD351" s="19"/>
      <c r="FE351" s="19"/>
      <c r="FF351" s="19"/>
      <c r="FG351" s="19"/>
      <c r="FH351" s="19"/>
      <c r="FI351" s="19"/>
      <c r="FJ351" s="19"/>
      <c r="FK351" s="19"/>
      <c r="FL351" s="19"/>
      <c r="FM351" s="19"/>
      <c r="FN351" s="19"/>
      <c r="FO351" s="19"/>
      <c r="FP351" s="19"/>
      <c r="FQ351" s="19"/>
      <c r="FR351" s="19"/>
      <c r="FS351" s="19"/>
      <c r="FT351" s="19"/>
      <c r="FU351" s="19"/>
      <c r="FV351" s="19"/>
      <c r="FW351" s="19"/>
      <c r="FX351" s="19"/>
      <c r="FY351" s="19"/>
      <c r="FZ351" s="19"/>
      <c r="GA351" s="19"/>
      <c r="GB351" s="19"/>
      <c r="GC351" s="19"/>
      <c r="GD351" s="19"/>
      <c r="GE351" s="19"/>
      <c r="GF351" s="19"/>
      <c r="GG351" s="19"/>
      <c r="GH351" s="19"/>
      <c r="GI351" s="19"/>
      <c r="GJ351" s="19"/>
      <c r="GK351" s="19"/>
      <c r="GL351" s="19"/>
      <c r="GM351" s="19"/>
      <c r="GN351" s="19"/>
      <c r="GO351" s="19"/>
      <c r="GP351" s="19"/>
      <c r="GQ351" s="19"/>
      <c r="GR351" s="19"/>
      <c r="GS351" s="19"/>
      <c r="GT351" s="19"/>
      <c r="GU351" s="19"/>
      <c r="GV351" s="19"/>
      <c r="GW351" s="19"/>
      <c r="GX351" s="19"/>
      <c r="GY351" s="19"/>
      <c r="GZ351" s="19"/>
      <c r="HA351" s="19"/>
      <c r="HB351" s="19"/>
    </row>
    <row r="352" spans="1:210" x14ac:dyDescent="0.25">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c r="BE352" s="19"/>
      <c r="BF352" s="19"/>
      <c r="BG352" s="19"/>
      <c r="BH352" s="19"/>
      <c r="BI352" s="19"/>
      <c r="BJ352" s="19"/>
      <c r="BK352" s="19"/>
      <c r="BL352" s="19"/>
      <c r="BM352" s="19"/>
      <c r="BN352" s="19"/>
      <c r="BO352" s="19"/>
      <c r="BP352" s="19"/>
      <c r="BQ352" s="19"/>
      <c r="BR352" s="19"/>
      <c r="BS352" s="19"/>
      <c r="BT352" s="19"/>
      <c r="BU352" s="19"/>
      <c r="BV352" s="19"/>
      <c r="BW352" s="19"/>
      <c r="BX352" s="19"/>
      <c r="BY352" s="19"/>
      <c r="BZ352" s="19"/>
      <c r="CA352" s="19"/>
      <c r="CB352" s="19"/>
      <c r="CC352" s="19"/>
      <c r="CD352" s="19"/>
      <c r="CE352" s="19"/>
      <c r="CF352" s="19"/>
      <c r="CG352" s="19"/>
      <c r="CH352" s="19"/>
      <c r="CI352" s="19"/>
      <c r="CJ352" s="19"/>
      <c r="CK352" s="19"/>
      <c r="CL352" s="19"/>
      <c r="CM352" s="19"/>
      <c r="CN352" s="19"/>
      <c r="CO352" s="19"/>
      <c r="CP352" s="19"/>
      <c r="CQ352" s="19"/>
      <c r="CR352" s="19"/>
      <c r="CS352" s="19"/>
      <c r="CT352" s="19"/>
      <c r="CU352" s="19"/>
      <c r="CV352" s="19"/>
      <c r="CW352" s="19"/>
      <c r="CX352" s="19"/>
      <c r="CY352" s="19"/>
      <c r="CZ352" s="19"/>
      <c r="DA352" s="19"/>
      <c r="DB352" s="19"/>
      <c r="DC352" s="19"/>
      <c r="DD352" s="19"/>
      <c r="DE352" s="19"/>
      <c r="DF352" s="19"/>
      <c r="DG352" s="19"/>
      <c r="DH352" s="19"/>
      <c r="DI352" s="19"/>
      <c r="DJ352" s="19"/>
      <c r="DK352" s="19"/>
      <c r="DL352" s="19"/>
      <c r="DM352" s="19"/>
      <c r="DN352" s="19"/>
      <c r="DO352" s="19"/>
      <c r="DP352" s="19"/>
      <c r="DQ352" s="19"/>
      <c r="DR352" s="19"/>
      <c r="DS352" s="19"/>
      <c r="DT352" s="19"/>
      <c r="DU352" s="19"/>
      <c r="DV352" s="19"/>
      <c r="DW352" s="19"/>
      <c r="DX352" s="19"/>
      <c r="DY352" s="19"/>
      <c r="DZ352" s="19"/>
      <c r="EA352" s="19"/>
      <c r="EB352" s="19"/>
      <c r="EC352" s="19"/>
      <c r="ED352" s="19"/>
      <c r="EE352" s="19"/>
      <c r="EF352" s="19"/>
      <c r="EG352" s="19"/>
      <c r="EH352" s="19"/>
      <c r="EI352" s="19"/>
      <c r="EJ352" s="19"/>
      <c r="EK352" s="19"/>
      <c r="EL352" s="19"/>
      <c r="EM352" s="19"/>
      <c r="EN352" s="19"/>
      <c r="EO352" s="19"/>
      <c r="EP352" s="19"/>
      <c r="EQ352" s="19"/>
      <c r="ER352" s="19"/>
      <c r="ES352" s="19"/>
      <c r="ET352" s="19"/>
      <c r="EU352" s="19"/>
      <c r="EV352" s="19"/>
      <c r="EW352" s="19"/>
      <c r="EX352" s="19"/>
      <c r="EY352" s="19"/>
      <c r="EZ352" s="19"/>
      <c r="FA352" s="19"/>
      <c r="FB352" s="19"/>
      <c r="FC352" s="19"/>
      <c r="FD352" s="19"/>
      <c r="FE352" s="19"/>
      <c r="FF352" s="19"/>
      <c r="FG352" s="19"/>
      <c r="FH352" s="19"/>
      <c r="FI352" s="19"/>
      <c r="FJ352" s="19"/>
      <c r="FK352" s="19"/>
      <c r="FL352" s="19"/>
      <c r="FM352" s="19"/>
      <c r="FN352" s="19"/>
      <c r="FO352" s="19"/>
      <c r="FP352" s="19"/>
      <c r="FQ352" s="19"/>
      <c r="FR352" s="19"/>
      <c r="FS352" s="19"/>
      <c r="FT352" s="19"/>
      <c r="FU352" s="19"/>
      <c r="FV352" s="19"/>
      <c r="FW352" s="19"/>
      <c r="FX352" s="19"/>
      <c r="FY352" s="19"/>
      <c r="FZ352" s="19"/>
      <c r="GA352" s="19"/>
      <c r="GB352" s="19"/>
      <c r="GC352" s="19"/>
      <c r="GD352" s="19"/>
      <c r="GE352" s="19"/>
      <c r="GF352" s="19"/>
      <c r="GG352" s="19"/>
      <c r="GH352" s="19"/>
      <c r="GI352" s="19"/>
      <c r="GJ352" s="19"/>
      <c r="GK352" s="19"/>
      <c r="GL352" s="19"/>
      <c r="GM352" s="19"/>
      <c r="GN352" s="19"/>
      <c r="GO352" s="19"/>
      <c r="GP352" s="19"/>
      <c r="GQ352" s="19"/>
      <c r="GR352" s="19"/>
      <c r="GS352" s="19"/>
      <c r="GT352" s="19"/>
      <c r="GU352" s="19"/>
      <c r="GV352" s="19"/>
      <c r="GW352" s="19"/>
      <c r="GX352" s="19"/>
      <c r="GY352" s="19"/>
      <c r="GZ352" s="19"/>
      <c r="HA352" s="19"/>
      <c r="HB352" s="19"/>
    </row>
    <row r="353" spans="1:210" x14ac:dyDescent="0.25">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c r="BE353" s="19"/>
      <c r="BF353" s="19"/>
      <c r="BG353" s="19"/>
      <c r="BH353" s="19"/>
      <c r="BI353" s="19"/>
      <c r="BJ353" s="19"/>
      <c r="BK353" s="19"/>
      <c r="BL353" s="19"/>
      <c r="BM353" s="19"/>
      <c r="BN353" s="19"/>
      <c r="BO353" s="19"/>
      <c r="BP353" s="19"/>
      <c r="BQ353" s="19"/>
      <c r="BR353" s="19"/>
      <c r="BS353" s="19"/>
      <c r="BT353" s="19"/>
      <c r="BU353" s="19"/>
      <c r="BV353" s="19"/>
      <c r="BW353" s="19"/>
      <c r="BX353" s="19"/>
      <c r="BY353" s="19"/>
      <c r="BZ353" s="19"/>
      <c r="CA353" s="19"/>
      <c r="CB353" s="19"/>
      <c r="CC353" s="19"/>
      <c r="CD353" s="19"/>
      <c r="CE353" s="19"/>
      <c r="CF353" s="19"/>
      <c r="CG353" s="19"/>
      <c r="CH353" s="19"/>
      <c r="CI353" s="19"/>
      <c r="CJ353" s="19"/>
      <c r="CK353" s="19"/>
      <c r="CL353" s="19"/>
      <c r="CM353" s="19"/>
      <c r="CN353" s="19"/>
      <c r="CO353" s="19"/>
      <c r="CP353" s="19"/>
      <c r="CQ353" s="19"/>
      <c r="CR353" s="19"/>
      <c r="CS353" s="19"/>
      <c r="CT353" s="19"/>
      <c r="CU353" s="19"/>
      <c r="CV353" s="19"/>
      <c r="CW353" s="19"/>
      <c r="CX353" s="19"/>
      <c r="CY353" s="19"/>
      <c r="CZ353" s="19"/>
      <c r="DA353" s="19"/>
      <c r="DB353" s="19"/>
      <c r="DC353" s="19"/>
      <c r="DD353" s="19"/>
      <c r="DE353" s="19"/>
      <c r="DF353" s="19"/>
      <c r="DG353" s="19"/>
      <c r="DH353" s="19"/>
      <c r="DI353" s="19"/>
      <c r="DJ353" s="19"/>
      <c r="DK353" s="19"/>
      <c r="DL353" s="19"/>
      <c r="DM353" s="19"/>
      <c r="DN353" s="19"/>
      <c r="DO353" s="19"/>
      <c r="DP353" s="19"/>
      <c r="DQ353" s="19"/>
      <c r="DR353" s="19"/>
      <c r="DS353" s="19"/>
      <c r="DT353" s="19"/>
      <c r="DU353" s="19"/>
      <c r="DV353" s="19"/>
      <c r="DW353" s="19"/>
      <c r="DX353" s="19"/>
      <c r="DY353" s="19"/>
      <c r="DZ353" s="19"/>
      <c r="EA353" s="19"/>
      <c r="EB353" s="19"/>
      <c r="EC353" s="19"/>
      <c r="ED353" s="19"/>
      <c r="EE353" s="19"/>
      <c r="EF353" s="19"/>
      <c r="EG353" s="19"/>
      <c r="EH353" s="19"/>
      <c r="EI353" s="19"/>
      <c r="EJ353" s="19"/>
      <c r="EK353" s="19"/>
      <c r="EL353" s="19"/>
      <c r="EM353" s="19"/>
      <c r="EN353" s="19"/>
      <c r="EO353" s="19"/>
      <c r="EP353" s="19"/>
      <c r="EQ353" s="19"/>
      <c r="ER353" s="19"/>
      <c r="ES353" s="19"/>
      <c r="ET353" s="19"/>
      <c r="EU353" s="19"/>
      <c r="EV353" s="19"/>
      <c r="EW353" s="19"/>
      <c r="EX353" s="19"/>
      <c r="EY353" s="19"/>
      <c r="EZ353" s="19"/>
      <c r="FA353" s="19"/>
      <c r="FB353" s="19"/>
      <c r="FC353" s="19"/>
      <c r="FD353" s="19"/>
      <c r="FE353" s="19"/>
      <c r="FF353" s="19"/>
      <c r="FG353" s="19"/>
      <c r="FH353" s="19"/>
      <c r="FI353" s="19"/>
      <c r="FJ353" s="19"/>
      <c r="FK353" s="19"/>
      <c r="FL353" s="19"/>
      <c r="FM353" s="19"/>
      <c r="FN353" s="19"/>
      <c r="FO353" s="19"/>
      <c r="FP353" s="19"/>
      <c r="FQ353" s="19"/>
      <c r="FR353" s="19"/>
      <c r="FS353" s="19"/>
      <c r="FT353" s="19"/>
      <c r="FU353" s="19"/>
      <c r="FV353" s="19"/>
      <c r="FW353" s="19"/>
      <c r="FX353" s="19"/>
      <c r="FY353" s="19"/>
      <c r="FZ353" s="19"/>
      <c r="GA353" s="19"/>
      <c r="GB353" s="19"/>
      <c r="GC353" s="19"/>
      <c r="GD353" s="19"/>
      <c r="GE353" s="19"/>
      <c r="GF353" s="19"/>
      <c r="GG353" s="19"/>
      <c r="GH353" s="19"/>
      <c r="GI353" s="19"/>
      <c r="GJ353" s="19"/>
      <c r="GK353" s="19"/>
      <c r="GL353" s="19"/>
      <c r="GM353" s="19"/>
      <c r="GN353" s="19"/>
      <c r="GO353" s="19"/>
      <c r="GP353" s="19"/>
      <c r="GQ353" s="19"/>
      <c r="GR353" s="19"/>
      <c r="GS353" s="19"/>
      <c r="GT353" s="19"/>
      <c r="GU353" s="19"/>
      <c r="GV353" s="19"/>
      <c r="GW353" s="19"/>
      <c r="GX353" s="19"/>
      <c r="GY353" s="19"/>
      <c r="GZ353" s="19"/>
      <c r="HA353" s="19"/>
      <c r="HB353" s="19"/>
    </row>
    <row r="354" spans="1:210" x14ac:dyDescent="0.25">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c r="BE354" s="19"/>
      <c r="BF354" s="19"/>
      <c r="BG354" s="19"/>
      <c r="BH354" s="19"/>
      <c r="BI354" s="19"/>
      <c r="BJ354" s="19"/>
      <c r="BK354" s="19"/>
      <c r="BL354" s="19"/>
      <c r="BM354" s="19"/>
      <c r="BN354" s="19"/>
      <c r="BO354" s="19"/>
      <c r="BP354" s="19"/>
      <c r="BQ354" s="19"/>
      <c r="BR354" s="19"/>
      <c r="BS354" s="19"/>
      <c r="BT354" s="19"/>
      <c r="BU354" s="19"/>
      <c r="BV354" s="19"/>
      <c r="BW354" s="19"/>
      <c r="BX354" s="19"/>
      <c r="BY354" s="19"/>
      <c r="BZ354" s="19"/>
      <c r="CA354" s="19"/>
      <c r="CB354" s="19"/>
      <c r="CC354" s="19"/>
      <c r="CD354" s="19"/>
      <c r="CE354" s="19"/>
      <c r="CF354" s="19"/>
      <c r="CG354" s="19"/>
      <c r="CH354" s="19"/>
      <c r="CI354" s="19"/>
      <c r="CJ354" s="19"/>
      <c r="CK354" s="19"/>
      <c r="CL354" s="19"/>
      <c r="CM354" s="19"/>
      <c r="CN354" s="19"/>
      <c r="CO354" s="19"/>
      <c r="CP354" s="19"/>
      <c r="CQ354" s="19"/>
      <c r="CR354" s="19"/>
      <c r="CS354" s="19"/>
      <c r="CT354" s="19"/>
      <c r="CU354" s="19"/>
      <c r="CV354" s="19"/>
      <c r="CW354" s="19"/>
      <c r="CX354" s="19"/>
      <c r="CY354" s="19"/>
      <c r="CZ354" s="19"/>
      <c r="DA354" s="19"/>
      <c r="DB354" s="19"/>
      <c r="DC354" s="19"/>
      <c r="DD354" s="19"/>
      <c r="DE354" s="19"/>
      <c r="DF354" s="19"/>
      <c r="DG354" s="19"/>
      <c r="DH354" s="19"/>
      <c r="DI354" s="19"/>
      <c r="DJ354" s="19"/>
      <c r="DK354" s="19"/>
      <c r="DL354" s="19"/>
      <c r="DM354" s="19"/>
      <c r="DN354" s="19"/>
      <c r="DO354" s="19"/>
      <c r="DP354" s="19"/>
      <c r="DQ354" s="19"/>
      <c r="DR354" s="19"/>
      <c r="DS354" s="19"/>
      <c r="DT354" s="19"/>
      <c r="DU354" s="19"/>
      <c r="DV354" s="19"/>
      <c r="DW354" s="19"/>
      <c r="DX354" s="19"/>
      <c r="DY354" s="19"/>
      <c r="DZ354" s="19"/>
      <c r="EA354" s="19"/>
      <c r="EB354" s="19"/>
      <c r="EC354" s="19"/>
      <c r="ED354" s="19"/>
      <c r="EE354" s="19"/>
      <c r="EF354" s="19"/>
      <c r="EG354" s="19"/>
      <c r="EH354" s="19"/>
      <c r="EI354" s="19"/>
      <c r="EJ354" s="19"/>
      <c r="EK354" s="19"/>
      <c r="EL354" s="19"/>
      <c r="EM354" s="19"/>
      <c r="EN354" s="19"/>
      <c r="EO354" s="19"/>
      <c r="EP354" s="19"/>
      <c r="EQ354" s="19"/>
      <c r="ER354" s="19"/>
      <c r="ES354" s="19"/>
      <c r="ET354" s="19"/>
      <c r="EU354" s="19"/>
      <c r="EV354" s="19"/>
      <c r="EW354" s="19"/>
      <c r="EX354" s="19"/>
      <c r="EY354" s="19"/>
      <c r="EZ354" s="19"/>
      <c r="FA354" s="19"/>
      <c r="FB354" s="19"/>
      <c r="FC354" s="19"/>
      <c r="FD354" s="19"/>
      <c r="FE354" s="19"/>
      <c r="FF354" s="19"/>
      <c r="FG354" s="19"/>
      <c r="FH354" s="19"/>
      <c r="FI354" s="19"/>
      <c r="FJ354" s="19"/>
      <c r="FK354" s="19"/>
      <c r="FL354" s="19"/>
      <c r="FM354" s="19"/>
      <c r="FN354" s="19"/>
      <c r="FO354" s="19"/>
      <c r="FP354" s="19"/>
      <c r="FQ354" s="19"/>
      <c r="FR354" s="19"/>
      <c r="FS354" s="19"/>
      <c r="FT354" s="19"/>
      <c r="FU354" s="19"/>
      <c r="FV354" s="19"/>
      <c r="FW354" s="19"/>
      <c r="FX354" s="19"/>
      <c r="FY354" s="19"/>
      <c r="FZ354" s="19"/>
      <c r="GA354" s="19"/>
      <c r="GB354" s="19"/>
      <c r="GC354" s="19"/>
      <c r="GD354" s="19"/>
      <c r="GE354" s="19"/>
      <c r="GF354" s="19"/>
      <c r="GG354" s="19"/>
      <c r="GH354" s="19"/>
      <c r="GI354" s="19"/>
      <c r="GJ354" s="19"/>
      <c r="GK354" s="19"/>
      <c r="GL354" s="19"/>
      <c r="GM354" s="19"/>
      <c r="GN354" s="19"/>
      <c r="GO354" s="19"/>
      <c r="GP354" s="19"/>
      <c r="GQ354" s="19"/>
      <c r="GR354" s="19"/>
      <c r="GS354" s="19"/>
      <c r="GT354" s="19"/>
      <c r="GU354" s="19"/>
      <c r="GV354" s="19"/>
      <c r="GW354" s="19"/>
      <c r="GX354" s="19"/>
      <c r="GY354" s="19"/>
      <c r="GZ354" s="19"/>
      <c r="HA354" s="19"/>
      <c r="HB354" s="19"/>
    </row>
    <row r="355" spans="1:210" x14ac:dyDescent="0.25">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c r="BE355" s="19"/>
      <c r="BF355" s="19"/>
      <c r="BG355" s="19"/>
      <c r="BH355" s="19"/>
      <c r="BI355" s="19"/>
      <c r="BJ355" s="19"/>
      <c r="BK355" s="19"/>
      <c r="BL355" s="19"/>
      <c r="BM355" s="19"/>
      <c r="BN355" s="19"/>
      <c r="BO355" s="19"/>
      <c r="BP355" s="19"/>
      <c r="BQ355" s="19"/>
      <c r="BR355" s="19"/>
      <c r="BS355" s="19"/>
      <c r="BT355" s="19"/>
      <c r="BU355" s="19"/>
      <c r="BV355" s="19"/>
      <c r="BW355" s="19"/>
      <c r="BX355" s="19"/>
      <c r="BY355" s="19"/>
      <c r="BZ355" s="19"/>
      <c r="CA355" s="19"/>
      <c r="CB355" s="19"/>
      <c r="CC355" s="19"/>
      <c r="CD355" s="19"/>
      <c r="CE355" s="19"/>
      <c r="CF355" s="19"/>
      <c r="CG355" s="19"/>
      <c r="CH355" s="19"/>
      <c r="CI355" s="19"/>
      <c r="CJ355" s="19"/>
      <c r="CK355" s="19"/>
      <c r="CL355" s="19"/>
      <c r="CM355" s="19"/>
      <c r="CN355" s="19"/>
      <c r="CO355" s="19"/>
      <c r="CP355" s="19"/>
      <c r="CQ355" s="19"/>
      <c r="CR355" s="19"/>
      <c r="CS355" s="19"/>
      <c r="CT355" s="19"/>
      <c r="CU355" s="19"/>
      <c r="CV355" s="19"/>
      <c r="CW355" s="19"/>
      <c r="CX355" s="19"/>
      <c r="CY355" s="19"/>
      <c r="CZ355" s="19"/>
      <c r="DA355" s="19"/>
      <c r="DB355" s="19"/>
      <c r="DC355" s="19"/>
      <c r="DD355" s="19"/>
      <c r="DE355" s="19"/>
      <c r="DF355" s="19"/>
      <c r="DG355" s="19"/>
      <c r="DH355" s="19"/>
      <c r="DI355" s="19"/>
      <c r="DJ355" s="19"/>
      <c r="DK355" s="19"/>
      <c r="DL355" s="19"/>
      <c r="DM355" s="19"/>
      <c r="DN355" s="19"/>
      <c r="DO355" s="19"/>
      <c r="DP355" s="19"/>
      <c r="DQ355" s="19"/>
      <c r="DR355" s="19"/>
      <c r="DS355" s="19"/>
      <c r="DT355" s="19"/>
      <c r="DU355" s="19"/>
      <c r="DV355" s="19"/>
      <c r="DW355" s="19"/>
      <c r="DX355" s="19"/>
      <c r="DY355" s="19"/>
      <c r="DZ355" s="19"/>
      <c r="EA355" s="19"/>
      <c r="EB355" s="19"/>
      <c r="EC355" s="19"/>
      <c r="ED355" s="19"/>
      <c r="EE355" s="19"/>
      <c r="EF355" s="19"/>
      <c r="EG355" s="19"/>
      <c r="EH355" s="19"/>
      <c r="EI355" s="19"/>
      <c r="EJ355" s="19"/>
      <c r="EK355" s="19"/>
      <c r="EL355" s="19"/>
      <c r="EM355" s="19"/>
      <c r="EN355" s="19"/>
      <c r="EO355" s="19"/>
      <c r="EP355" s="19"/>
      <c r="EQ355" s="19"/>
      <c r="ER355" s="19"/>
      <c r="ES355" s="19"/>
      <c r="ET355" s="19"/>
      <c r="EU355" s="19"/>
      <c r="EV355" s="19"/>
      <c r="EW355" s="19"/>
      <c r="EX355" s="19"/>
      <c r="EY355" s="19"/>
      <c r="EZ355" s="19"/>
      <c r="FA355" s="19"/>
      <c r="FB355" s="19"/>
      <c r="FC355" s="19"/>
      <c r="FD355" s="19"/>
      <c r="FE355" s="19"/>
      <c r="FF355" s="19"/>
      <c r="FG355" s="19"/>
      <c r="FH355" s="19"/>
      <c r="FI355" s="19"/>
      <c r="FJ355" s="19"/>
      <c r="FK355" s="19"/>
      <c r="FL355" s="19"/>
      <c r="FM355" s="19"/>
      <c r="FN355" s="19"/>
      <c r="FO355" s="19"/>
      <c r="FP355" s="19"/>
      <c r="FQ355" s="19"/>
      <c r="FR355" s="19"/>
      <c r="FS355" s="19"/>
      <c r="FT355" s="19"/>
      <c r="FU355" s="19"/>
      <c r="FV355" s="19"/>
      <c r="FW355" s="19"/>
      <c r="FX355" s="19"/>
      <c r="FY355" s="19"/>
      <c r="FZ355" s="19"/>
      <c r="GA355" s="19"/>
      <c r="GB355" s="19"/>
      <c r="GC355" s="19"/>
      <c r="GD355" s="19"/>
      <c r="GE355" s="19"/>
      <c r="GF355" s="19"/>
      <c r="GG355" s="19"/>
      <c r="GH355" s="19"/>
      <c r="GI355" s="19"/>
      <c r="GJ355" s="19"/>
      <c r="GK355" s="19"/>
      <c r="GL355" s="19"/>
      <c r="GM355" s="19"/>
      <c r="GN355" s="19"/>
      <c r="GO355" s="19"/>
      <c r="GP355" s="19"/>
      <c r="GQ355" s="19"/>
      <c r="GR355" s="19"/>
      <c r="GS355" s="19"/>
      <c r="GT355" s="19"/>
      <c r="GU355" s="19"/>
      <c r="GV355" s="19"/>
      <c r="GW355" s="19"/>
      <c r="GX355" s="19"/>
      <c r="GY355" s="19"/>
      <c r="GZ355" s="19"/>
      <c r="HA355" s="19"/>
      <c r="HB355" s="19"/>
    </row>
    <row r="356" spans="1:210" x14ac:dyDescent="0.25">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c r="BE356" s="19"/>
      <c r="BF356" s="19"/>
      <c r="BG356" s="19"/>
      <c r="BH356" s="19"/>
      <c r="BI356" s="19"/>
      <c r="BJ356" s="19"/>
      <c r="BK356" s="19"/>
      <c r="BL356" s="19"/>
      <c r="BM356" s="19"/>
      <c r="BN356" s="19"/>
      <c r="BO356" s="19"/>
      <c r="BP356" s="19"/>
      <c r="BQ356" s="19"/>
      <c r="BR356" s="19"/>
      <c r="BS356" s="19"/>
      <c r="BT356" s="19"/>
      <c r="BU356" s="19"/>
      <c r="BV356" s="19"/>
      <c r="BW356" s="19"/>
      <c r="BX356" s="19"/>
      <c r="BY356" s="19"/>
      <c r="BZ356" s="19"/>
      <c r="CA356" s="19"/>
      <c r="CB356" s="19"/>
      <c r="CC356" s="19"/>
      <c r="CD356" s="19"/>
      <c r="CE356" s="19"/>
      <c r="CF356" s="19"/>
      <c r="CG356" s="19"/>
      <c r="CH356" s="19"/>
      <c r="CI356" s="19"/>
      <c r="CJ356" s="19"/>
      <c r="CK356" s="19"/>
      <c r="CL356" s="19"/>
      <c r="CM356" s="19"/>
      <c r="CN356" s="19"/>
      <c r="CO356" s="19"/>
      <c r="CP356" s="19"/>
      <c r="CQ356" s="19"/>
      <c r="CR356" s="19"/>
      <c r="CS356" s="19"/>
      <c r="CT356" s="19"/>
      <c r="CU356" s="19"/>
      <c r="CV356" s="19"/>
      <c r="CW356" s="19"/>
      <c r="CX356" s="19"/>
      <c r="CY356" s="19"/>
      <c r="CZ356" s="19"/>
      <c r="DA356" s="19"/>
      <c r="DB356" s="19"/>
      <c r="DC356" s="19"/>
      <c r="DD356" s="19"/>
      <c r="DE356" s="19"/>
      <c r="DF356" s="19"/>
      <c r="DG356" s="19"/>
      <c r="DH356" s="19"/>
      <c r="DI356" s="19"/>
      <c r="DJ356" s="19"/>
      <c r="DK356" s="19"/>
      <c r="DL356" s="19"/>
      <c r="DM356" s="19"/>
      <c r="DN356" s="19"/>
      <c r="DO356" s="19"/>
      <c r="DP356" s="19"/>
      <c r="DQ356" s="19"/>
      <c r="DR356" s="19"/>
      <c r="DS356" s="19"/>
      <c r="DT356" s="19"/>
      <c r="DU356" s="19"/>
      <c r="DV356" s="19"/>
      <c r="DW356" s="19"/>
      <c r="DX356" s="19"/>
      <c r="DY356" s="19"/>
      <c r="DZ356" s="19"/>
      <c r="EA356" s="19"/>
      <c r="EB356" s="19"/>
      <c r="EC356" s="19"/>
      <c r="ED356" s="19"/>
      <c r="EE356" s="19"/>
      <c r="EF356" s="19"/>
      <c r="EG356" s="19"/>
      <c r="EH356" s="19"/>
      <c r="EI356" s="19"/>
      <c r="EJ356" s="19"/>
      <c r="EK356" s="19"/>
      <c r="EL356" s="19"/>
      <c r="EM356" s="19"/>
      <c r="EN356" s="19"/>
      <c r="EO356" s="19"/>
      <c r="EP356" s="19"/>
      <c r="EQ356" s="19"/>
      <c r="ER356" s="19"/>
      <c r="ES356" s="19"/>
      <c r="ET356" s="19"/>
      <c r="EU356" s="19"/>
      <c r="EV356" s="19"/>
      <c r="EW356" s="19"/>
      <c r="EX356" s="19"/>
      <c r="EY356" s="19"/>
      <c r="EZ356" s="19"/>
      <c r="FA356" s="19"/>
      <c r="FB356" s="19"/>
      <c r="FC356" s="19"/>
      <c r="FD356" s="19"/>
      <c r="FE356" s="19"/>
      <c r="FF356" s="19"/>
      <c r="FG356" s="19"/>
      <c r="FH356" s="19"/>
      <c r="FI356" s="19"/>
      <c r="FJ356" s="19"/>
      <c r="FK356" s="19"/>
      <c r="FL356" s="19"/>
      <c r="FM356" s="19"/>
      <c r="FN356" s="19"/>
      <c r="FO356" s="19"/>
      <c r="FP356" s="19"/>
      <c r="FQ356" s="19"/>
      <c r="FR356" s="19"/>
      <c r="FS356" s="19"/>
      <c r="FT356" s="19"/>
      <c r="FU356" s="19"/>
      <c r="FV356" s="19"/>
      <c r="FW356" s="19"/>
      <c r="FX356" s="19"/>
      <c r="FY356" s="19"/>
      <c r="FZ356" s="19"/>
      <c r="GA356" s="19"/>
      <c r="GB356" s="19"/>
      <c r="GC356" s="19"/>
      <c r="GD356" s="19"/>
      <c r="GE356" s="19"/>
      <c r="GF356" s="19"/>
      <c r="GG356" s="19"/>
      <c r="GH356" s="19"/>
      <c r="GI356" s="19"/>
      <c r="GJ356" s="19"/>
      <c r="GK356" s="19"/>
      <c r="GL356" s="19"/>
      <c r="GM356" s="19"/>
      <c r="GN356" s="19"/>
      <c r="GO356" s="19"/>
      <c r="GP356" s="19"/>
      <c r="GQ356" s="19"/>
      <c r="GR356" s="19"/>
      <c r="GS356" s="19"/>
      <c r="GT356" s="19"/>
      <c r="GU356" s="19"/>
      <c r="GV356" s="19"/>
      <c r="GW356" s="19"/>
      <c r="GX356" s="19"/>
      <c r="GY356" s="19"/>
      <c r="GZ356" s="19"/>
      <c r="HA356" s="19"/>
      <c r="HB356" s="19"/>
    </row>
    <row r="357" spans="1:210" x14ac:dyDescent="0.25">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c r="BE357" s="19"/>
      <c r="BF357" s="19"/>
      <c r="BG357" s="19"/>
      <c r="BH357" s="19"/>
      <c r="BI357" s="19"/>
      <c r="BJ357" s="19"/>
      <c r="BK357" s="19"/>
      <c r="BL357" s="19"/>
      <c r="BM357" s="19"/>
      <c r="BN357" s="19"/>
      <c r="BO357" s="19"/>
      <c r="BP357" s="19"/>
      <c r="BQ357" s="19"/>
      <c r="BR357" s="19"/>
      <c r="BS357" s="19"/>
      <c r="BT357" s="19"/>
      <c r="BU357" s="19"/>
      <c r="BV357" s="19"/>
      <c r="BW357" s="19"/>
      <c r="BX357" s="19"/>
      <c r="BY357" s="19"/>
      <c r="BZ357" s="19"/>
      <c r="CA357" s="19"/>
      <c r="CB357" s="19"/>
      <c r="CC357" s="19"/>
      <c r="CD357" s="19"/>
      <c r="CE357" s="19"/>
      <c r="CF357" s="19"/>
      <c r="CG357" s="19"/>
      <c r="CH357" s="19"/>
      <c r="CI357" s="19"/>
      <c r="CJ357" s="19"/>
      <c r="CK357" s="19"/>
      <c r="CL357" s="19"/>
      <c r="CM357" s="19"/>
      <c r="CN357" s="19"/>
      <c r="CO357" s="19"/>
      <c r="CP357" s="19"/>
      <c r="CQ357" s="19"/>
      <c r="CR357" s="19"/>
      <c r="CS357" s="19"/>
      <c r="CT357" s="19"/>
      <c r="CU357" s="19"/>
      <c r="CV357" s="19"/>
      <c r="CW357" s="19"/>
      <c r="CX357" s="19"/>
      <c r="CY357" s="19"/>
      <c r="CZ357" s="19"/>
      <c r="DA357" s="19"/>
      <c r="DB357" s="19"/>
      <c r="DC357" s="19"/>
      <c r="DD357" s="19"/>
      <c r="DE357" s="19"/>
      <c r="DF357" s="19"/>
      <c r="DG357" s="19"/>
      <c r="DH357" s="19"/>
      <c r="DI357" s="19"/>
      <c r="DJ357" s="19"/>
      <c r="DK357" s="19"/>
      <c r="DL357" s="19"/>
      <c r="DM357" s="19"/>
      <c r="DN357" s="19"/>
      <c r="DO357" s="19"/>
      <c r="DP357" s="19"/>
      <c r="DQ357" s="19"/>
      <c r="DR357" s="19"/>
      <c r="DS357" s="19"/>
      <c r="DT357" s="19"/>
      <c r="DU357" s="19"/>
      <c r="DV357" s="19"/>
      <c r="DW357" s="19"/>
      <c r="DX357" s="19"/>
      <c r="DY357" s="19"/>
      <c r="DZ357" s="19"/>
      <c r="EA357" s="19"/>
      <c r="EB357" s="19"/>
      <c r="EC357" s="19"/>
      <c r="ED357" s="19"/>
      <c r="EE357" s="19"/>
      <c r="EF357" s="19"/>
      <c r="EG357" s="19"/>
      <c r="EH357" s="19"/>
      <c r="EI357" s="19"/>
      <c r="EJ357" s="19"/>
      <c r="EK357" s="19"/>
      <c r="EL357" s="19"/>
      <c r="EM357" s="19"/>
      <c r="EN357" s="19"/>
      <c r="EO357" s="19"/>
      <c r="EP357" s="19"/>
      <c r="EQ357" s="19"/>
      <c r="ER357" s="19"/>
      <c r="ES357" s="19"/>
      <c r="ET357" s="19"/>
      <c r="EU357" s="19"/>
      <c r="EV357" s="19"/>
      <c r="EW357" s="19"/>
      <c r="EX357" s="19"/>
      <c r="EY357" s="19"/>
      <c r="EZ357" s="19"/>
      <c r="FA357" s="19"/>
      <c r="FB357" s="19"/>
      <c r="FC357" s="19"/>
      <c r="FD357" s="19"/>
      <c r="FE357" s="19"/>
      <c r="FF357" s="19"/>
      <c r="FG357" s="19"/>
      <c r="FH357" s="19"/>
      <c r="FI357" s="19"/>
      <c r="FJ357" s="19"/>
      <c r="FK357" s="19"/>
      <c r="FL357" s="19"/>
      <c r="FM357" s="19"/>
      <c r="FN357" s="19"/>
      <c r="FO357" s="19"/>
      <c r="FP357" s="19"/>
      <c r="FQ357" s="19"/>
      <c r="FR357" s="19"/>
      <c r="FS357" s="19"/>
      <c r="FT357" s="19"/>
      <c r="FU357" s="19"/>
      <c r="FV357" s="19"/>
      <c r="FW357" s="19"/>
      <c r="FX357" s="19"/>
      <c r="FY357" s="19"/>
      <c r="FZ357" s="19"/>
      <c r="GA357" s="19"/>
      <c r="GB357" s="19"/>
      <c r="GC357" s="19"/>
      <c r="GD357" s="19"/>
      <c r="GE357" s="19"/>
      <c r="GF357" s="19"/>
      <c r="GG357" s="19"/>
      <c r="GH357" s="19"/>
      <c r="GI357" s="19"/>
      <c r="GJ357" s="19"/>
      <c r="GK357" s="19"/>
      <c r="GL357" s="19"/>
      <c r="GM357" s="19"/>
      <c r="GN357" s="19"/>
      <c r="GO357" s="19"/>
      <c r="GP357" s="19"/>
      <c r="GQ357" s="19"/>
      <c r="GR357" s="19"/>
      <c r="GS357" s="19"/>
      <c r="GT357" s="19"/>
      <c r="GU357" s="19"/>
      <c r="GV357" s="19"/>
      <c r="GW357" s="19"/>
      <c r="GX357" s="19"/>
      <c r="GY357" s="19"/>
      <c r="GZ357" s="19"/>
      <c r="HA357" s="19"/>
      <c r="HB357" s="19"/>
    </row>
    <row r="358" spans="1:210" x14ac:dyDescent="0.25">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c r="BE358" s="19"/>
      <c r="BF358" s="19"/>
      <c r="BG358" s="19"/>
      <c r="BH358" s="19"/>
      <c r="BI358" s="19"/>
      <c r="BJ358" s="19"/>
      <c r="BK358" s="19"/>
      <c r="BL358" s="19"/>
      <c r="BM358" s="19"/>
      <c r="BN358" s="19"/>
      <c r="BO358" s="19"/>
      <c r="BP358" s="19"/>
      <c r="BQ358" s="19"/>
      <c r="BR358" s="19"/>
      <c r="BS358" s="19"/>
      <c r="BT358" s="19"/>
      <c r="BU358" s="19"/>
      <c r="BV358" s="19"/>
      <c r="BW358" s="19"/>
      <c r="BX358" s="19"/>
      <c r="BY358" s="19"/>
      <c r="BZ358" s="19"/>
      <c r="CA358" s="19"/>
      <c r="CB358" s="19"/>
      <c r="CC358" s="19"/>
      <c r="CD358" s="19"/>
      <c r="CE358" s="19"/>
      <c r="CF358" s="19"/>
      <c r="CG358" s="19"/>
      <c r="CH358" s="19"/>
      <c r="CI358" s="19"/>
      <c r="CJ358" s="19"/>
      <c r="CK358" s="19"/>
      <c r="CL358" s="19"/>
      <c r="CM358" s="19"/>
      <c r="CN358" s="19"/>
      <c r="CO358" s="19"/>
      <c r="CP358" s="19"/>
      <c r="CQ358" s="19"/>
      <c r="CR358" s="19"/>
      <c r="CS358" s="19"/>
      <c r="CT358" s="19"/>
      <c r="CU358" s="19"/>
      <c r="CV358" s="19"/>
      <c r="CW358" s="19"/>
      <c r="CX358" s="19"/>
      <c r="CY358" s="19"/>
      <c r="CZ358" s="19"/>
      <c r="DA358" s="19"/>
      <c r="DB358" s="19"/>
      <c r="DC358" s="19"/>
      <c r="DD358" s="19"/>
      <c r="DE358" s="19"/>
      <c r="DF358" s="19"/>
      <c r="DG358" s="19"/>
      <c r="DH358" s="19"/>
      <c r="DI358" s="19"/>
      <c r="DJ358" s="19"/>
      <c r="DK358" s="19"/>
      <c r="DL358" s="19"/>
      <c r="DM358" s="19"/>
      <c r="DN358" s="19"/>
      <c r="DO358" s="19"/>
      <c r="DP358" s="19"/>
      <c r="DQ358" s="19"/>
      <c r="DR358" s="19"/>
      <c r="DS358" s="19"/>
      <c r="DT358" s="19"/>
      <c r="DU358" s="19"/>
      <c r="DV358" s="19"/>
      <c r="DW358" s="19"/>
      <c r="DX358" s="19"/>
      <c r="DY358" s="19"/>
      <c r="DZ358" s="19"/>
      <c r="EA358" s="19"/>
      <c r="EB358" s="19"/>
      <c r="EC358" s="19"/>
      <c r="ED358" s="19"/>
      <c r="EE358" s="19"/>
      <c r="EF358" s="19"/>
      <c r="EG358" s="19"/>
      <c r="EH358" s="19"/>
      <c r="EI358" s="19"/>
      <c r="EJ358" s="19"/>
      <c r="EK358" s="19"/>
      <c r="EL358" s="19"/>
      <c r="EM358" s="19"/>
      <c r="EN358" s="19"/>
      <c r="EO358" s="19"/>
      <c r="EP358" s="19"/>
      <c r="EQ358" s="19"/>
      <c r="ER358" s="19"/>
      <c r="ES358" s="19"/>
      <c r="ET358" s="19"/>
      <c r="EU358" s="19"/>
      <c r="EV358" s="19"/>
      <c r="EW358" s="19"/>
      <c r="EX358" s="19"/>
      <c r="EY358" s="19"/>
      <c r="EZ358" s="19"/>
      <c r="FA358" s="19"/>
      <c r="FB358" s="19"/>
      <c r="FC358" s="19"/>
      <c r="FD358" s="19"/>
      <c r="FE358" s="19"/>
      <c r="FF358" s="19"/>
      <c r="FG358" s="19"/>
      <c r="FH358" s="19"/>
      <c r="FI358" s="19"/>
      <c r="FJ358" s="19"/>
      <c r="FK358" s="19"/>
      <c r="FL358" s="19"/>
      <c r="FM358" s="19"/>
      <c r="FN358" s="19"/>
      <c r="FO358" s="19"/>
      <c r="FP358" s="19"/>
      <c r="FQ358" s="19"/>
      <c r="FR358" s="19"/>
      <c r="FS358" s="19"/>
      <c r="FT358" s="19"/>
      <c r="FU358" s="19"/>
      <c r="FV358" s="19"/>
      <c r="FW358" s="19"/>
      <c r="FX358" s="19"/>
      <c r="FY358" s="19"/>
      <c r="FZ358" s="19"/>
      <c r="GA358" s="19"/>
      <c r="GB358" s="19"/>
      <c r="GC358" s="19"/>
      <c r="GD358" s="19"/>
      <c r="GE358" s="19"/>
      <c r="GF358" s="19"/>
      <c r="GG358" s="19"/>
      <c r="GH358" s="19"/>
      <c r="GI358" s="19"/>
      <c r="GJ358" s="19"/>
      <c r="GK358" s="19"/>
      <c r="GL358" s="19"/>
      <c r="GM358" s="19"/>
      <c r="GN358" s="19"/>
      <c r="GO358" s="19"/>
      <c r="GP358" s="19"/>
      <c r="GQ358" s="19"/>
      <c r="GR358" s="19"/>
      <c r="GS358" s="19"/>
      <c r="GT358" s="19"/>
      <c r="GU358" s="19"/>
      <c r="GV358" s="19"/>
      <c r="GW358" s="19"/>
      <c r="GX358" s="19"/>
      <c r="GY358" s="19"/>
      <c r="GZ358" s="19"/>
      <c r="HA358" s="19"/>
      <c r="HB358" s="19"/>
    </row>
    <row r="359" spans="1:210" x14ac:dyDescent="0.25">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c r="BE359" s="19"/>
      <c r="BF359" s="19"/>
      <c r="BG359" s="19"/>
      <c r="BH359" s="19"/>
      <c r="BI359" s="19"/>
      <c r="BJ359" s="19"/>
      <c r="BK359" s="19"/>
      <c r="BL359" s="19"/>
      <c r="BM359" s="19"/>
      <c r="BN359" s="19"/>
      <c r="BO359" s="19"/>
      <c r="BP359" s="19"/>
      <c r="BQ359" s="19"/>
      <c r="BR359" s="19"/>
      <c r="BS359" s="19"/>
      <c r="BT359" s="19"/>
      <c r="BU359" s="19"/>
      <c r="BV359" s="19"/>
      <c r="BW359" s="19"/>
      <c r="BX359" s="19"/>
      <c r="BY359" s="19"/>
      <c r="BZ359" s="19"/>
      <c r="CA359" s="19"/>
      <c r="CB359" s="19"/>
      <c r="CC359" s="19"/>
      <c r="CD359" s="19"/>
      <c r="CE359" s="19"/>
      <c r="CF359" s="19"/>
      <c r="CG359" s="19"/>
      <c r="CH359" s="19"/>
      <c r="CI359" s="19"/>
      <c r="CJ359" s="19"/>
      <c r="CK359" s="19"/>
      <c r="CL359" s="19"/>
      <c r="CM359" s="19"/>
      <c r="CN359" s="19"/>
      <c r="CO359" s="19"/>
      <c r="CP359" s="19"/>
      <c r="CQ359" s="19"/>
      <c r="CR359" s="19"/>
      <c r="CS359" s="19"/>
      <c r="CT359" s="19"/>
      <c r="CU359" s="19"/>
      <c r="CV359" s="19"/>
      <c r="CW359" s="19"/>
      <c r="CX359" s="19"/>
      <c r="CY359" s="19"/>
      <c r="CZ359" s="19"/>
      <c r="DA359" s="19"/>
      <c r="DB359" s="19"/>
      <c r="DC359" s="19"/>
      <c r="DD359" s="19"/>
      <c r="DE359" s="19"/>
      <c r="DF359" s="19"/>
      <c r="DG359" s="19"/>
      <c r="DH359" s="19"/>
      <c r="DI359" s="19"/>
      <c r="DJ359" s="19"/>
      <c r="DK359" s="19"/>
      <c r="DL359" s="19"/>
      <c r="DM359" s="19"/>
      <c r="DN359" s="19"/>
      <c r="DO359" s="19"/>
      <c r="DP359" s="19"/>
      <c r="DQ359" s="19"/>
      <c r="DR359" s="19"/>
      <c r="DS359" s="19"/>
      <c r="DT359" s="19"/>
      <c r="DU359" s="19"/>
      <c r="DV359" s="19"/>
      <c r="DW359" s="19"/>
      <c r="DX359" s="19"/>
      <c r="DY359" s="19"/>
      <c r="DZ359" s="19"/>
      <c r="EA359" s="19"/>
      <c r="EB359" s="19"/>
      <c r="EC359" s="19"/>
      <c r="ED359" s="19"/>
      <c r="EE359" s="19"/>
      <c r="EF359" s="19"/>
      <c r="EG359" s="19"/>
      <c r="EH359" s="19"/>
      <c r="EI359" s="19"/>
      <c r="EJ359" s="19"/>
      <c r="EK359" s="19"/>
      <c r="EL359" s="19"/>
      <c r="EM359" s="19"/>
      <c r="EN359" s="19"/>
      <c r="EO359" s="19"/>
      <c r="EP359" s="19"/>
      <c r="EQ359" s="19"/>
      <c r="ER359" s="19"/>
      <c r="ES359" s="19"/>
      <c r="ET359" s="19"/>
      <c r="EU359" s="19"/>
      <c r="EV359" s="19"/>
      <c r="EW359" s="19"/>
      <c r="EX359" s="19"/>
      <c r="EY359" s="19"/>
      <c r="EZ359" s="19"/>
      <c r="FA359" s="19"/>
      <c r="FB359" s="19"/>
      <c r="FC359" s="19"/>
      <c r="FD359" s="19"/>
      <c r="FE359" s="19"/>
      <c r="FF359" s="19"/>
      <c r="FG359" s="19"/>
      <c r="FH359" s="19"/>
      <c r="FI359" s="19"/>
      <c r="FJ359" s="19"/>
      <c r="FK359" s="19"/>
      <c r="FL359" s="19"/>
      <c r="FM359" s="19"/>
      <c r="FN359" s="19"/>
      <c r="FO359" s="19"/>
      <c r="FP359" s="19"/>
      <c r="FQ359" s="19"/>
      <c r="FR359" s="19"/>
      <c r="FS359" s="19"/>
      <c r="FT359" s="19"/>
      <c r="FU359" s="19"/>
      <c r="FV359" s="19"/>
      <c r="FW359" s="19"/>
      <c r="FX359" s="19"/>
      <c r="FY359" s="19"/>
      <c r="FZ359" s="19"/>
      <c r="GA359" s="19"/>
      <c r="GB359" s="19"/>
      <c r="GC359" s="19"/>
      <c r="GD359" s="19"/>
      <c r="GE359" s="19"/>
      <c r="GF359" s="19"/>
      <c r="GG359" s="19"/>
      <c r="GH359" s="19"/>
      <c r="GI359" s="19"/>
      <c r="GJ359" s="19"/>
      <c r="GK359" s="19"/>
      <c r="GL359" s="19"/>
      <c r="GM359" s="19"/>
      <c r="GN359" s="19"/>
      <c r="GO359" s="19"/>
      <c r="GP359" s="19"/>
      <c r="GQ359" s="19"/>
      <c r="GR359" s="19"/>
      <c r="GS359" s="19"/>
      <c r="GT359" s="19"/>
      <c r="GU359" s="19"/>
      <c r="GV359" s="19"/>
      <c r="GW359" s="19"/>
      <c r="GX359" s="19"/>
      <c r="GY359" s="19"/>
      <c r="GZ359" s="19"/>
      <c r="HA359" s="19"/>
      <c r="HB359" s="19"/>
    </row>
    <row r="360" spans="1:210" x14ac:dyDescent="0.25">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c r="BE360" s="19"/>
      <c r="BF360" s="19"/>
      <c r="BG360" s="19"/>
      <c r="BH360" s="19"/>
      <c r="BI360" s="19"/>
      <c r="BJ360" s="19"/>
      <c r="BK360" s="19"/>
      <c r="BL360" s="19"/>
      <c r="BM360" s="19"/>
      <c r="BN360" s="19"/>
      <c r="BO360" s="19"/>
      <c r="BP360" s="19"/>
      <c r="BQ360" s="19"/>
      <c r="BR360" s="19"/>
      <c r="BS360" s="19"/>
      <c r="BT360" s="19"/>
      <c r="BU360" s="19"/>
      <c r="BV360" s="19"/>
      <c r="BW360" s="19"/>
      <c r="BX360" s="19"/>
      <c r="BY360" s="19"/>
      <c r="BZ360" s="19"/>
      <c r="CA360" s="19"/>
      <c r="CB360" s="19"/>
      <c r="CC360" s="19"/>
      <c r="CD360" s="19"/>
      <c r="CE360" s="19"/>
      <c r="CF360" s="19"/>
      <c r="CG360" s="19"/>
      <c r="CH360" s="19"/>
      <c r="CI360" s="19"/>
      <c r="CJ360" s="19"/>
      <c r="CK360" s="19"/>
      <c r="CL360" s="19"/>
      <c r="CM360" s="19"/>
      <c r="CN360" s="19"/>
      <c r="CO360" s="19"/>
      <c r="CP360" s="19"/>
      <c r="CQ360" s="19"/>
      <c r="CR360" s="19"/>
      <c r="CS360" s="19"/>
      <c r="CT360" s="19"/>
      <c r="CU360" s="19"/>
      <c r="CV360" s="19"/>
      <c r="CW360" s="19"/>
      <c r="CX360" s="19"/>
      <c r="CY360" s="19"/>
      <c r="CZ360" s="19"/>
      <c r="DA360" s="19"/>
      <c r="DB360" s="19"/>
      <c r="DC360" s="19"/>
      <c r="DD360" s="19"/>
      <c r="DE360" s="19"/>
      <c r="DF360" s="19"/>
      <c r="DG360" s="19"/>
      <c r="DH360" s="19"/>
      <c r="DI360" s="19"/>
      <c r="DJ360" s="19"/>
      <c r="DK360" s="19"/>
      <c r="DL360" s="19"/>
      <c r="DM360" s="19"/>
      <c r="DN360" s="19"/>
      <c r="DO360" s="19"/>
      <c r="DP360" s="19"/>
      <c r="DQ360" s="19"/>
      <c r="DR360" s="19"/>
      <c r="DS360" s="19"/>
      <c r="DT360" s="19"/>
      <c r="DU360" s="19"/>
      <c r="DV360" s="19"/>
      <c r="DW360" s="19"/>
      <c r="DX360" s="19"/>
      <c r="DY360" s="19"/>
      <c r="DZ360" s="19"/>
      <c r="EA360" s="19"/>
      <c r="EB360" s="19"/>
      <c r="EC360" s="19"/>
      <c r="ED360" s="19"/>
      <c r="EE360" s="19"/>
      <c r="EF360" s="19"/>
      <c r="EG360" s="19"/>
      <c r="EH360" s="19"/>
      <c r="EI360" s="19"/>
      <c r="EJ360" s="19"/>
      <c r="EK360" s="19"/>
      <c r="EL360" s="19"/>
      <c r="EM360" s="19"/>
      <c r="EN360" s="19"/>
      <c r="EO360" s="19"/>
      <c r="EP360" s="19"/>
      <c r="EQ360" s="19"/>
      <c r="ER360" s="19"/>
      <c r="ES360" s="19"/>
      <c r="ET360" s="19"/>
      <c r="EU360" s="19"/>
      <c r="EV360" s="19"/>
      <c r="EW360" s="19"/>
      <c r="EX360" s="19"/>
      <c r="EY360" s="19"/>
      <c r="EZ360" s="19"/>
      <c r="FA360" s="19"/>
      <c r="FB360" s="19"/>
      <c r="FC360" s="19"/>
      <c r="FD360" s="19"/>
      <c r="FE360" s="19"/>
      <c r="FF360" s="19"/>
      <c r="FG360" s="19"/>
      <c r="FH360" s="19"/>
      <c r="FI360" s="19"/>
      <c r="FJ360" s="19"/>
      <c r="FK360" s="19"/>
      <c r="FL360" s="19"/>
      <c r="FM360" s="19"/>
      <c r="FN360" s="19"/>
      <c r="FO360" s="19"/>
      <c r="FP360" s="19"/>
      <c r="FQ360" s="19"/>
      <c r="FR360" s="19"/>
      <c r="FS360" s="19"/>
      <c r="FT360" s="19"/>
      <c r="FU360" s="19"/>
      <c r="FV360" s="19"/>
      <c r="FW360" s="19"/>
      <c r="FX360" s="19"/>
      <c r="FY360" s="19"/>
      <c r="FZ360" s="19"/>
      <c r="GA360" s="19"/>
      <c r="GB360" s="19"/>
      <c r="GC360" s="19"/>
      <c r="GD360" s="19"/>
      <c r="GE360" s="19"/>
      <c r="GF360" s="19"/>
      <c r="GG360" s="19"/>
      <c r="GH360" s="19"/>
      <c r="GI360" s="19"/>
      <c r="GJ360" s="19"/>
      <c r="GK360" s="19"/>
      <c r="GL360" s="19"/>
      <c r="GM360" s="19"/>
      <c r="GN360" s="19"/>
      <c r="GO360" s="19"/>
      <c r="GP360" s="19"/>
      <c r="GQ360" s="19"/>
      <c r="GR360" s="19"/>
      <c r="GS360" s="19"/>
      <c r="GT360" s="19"/>
      <c r="GU360" s="19"/>
      <c r="GV360" s="19"/>
      <c r="GW360" s="19"/>
      <c r="GX360" s="19"/>
      <c r="GY360" s="19"/>
      <c r="GZ360" s="19"/>
      <c r="HA360" s="19"/>
      <c r="HB360" s="19"/>
    </row>
    <row r="361" spans="1:210" x14ac:dyDescent="0.25">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c r="BE361" s="19"/>
      <c r="BF361" s="19"/>
      <c r="BG361" s="19"/>
      <c r="BH361" s="19"/>
      <c r="BI361" s="19"/>
      <c r="BJ361" s="19"/>
      <c r="BK361" s="19"/>
      <c r="BL361" s="19"/>
      <c r="BM361" s="19"/>
      <c r="BN361" s="19"/>
      <c r="BO361" s="19"/>
      <c r="BP361" s="19"/>
      <c r="BQ361" s="19"/>
      <c r="BR361" s="19"/>
      <c r="BS361" s="19"/>
      <c r="BT361" s="19"/>
      <c r="BU361" s="19"/>
      <c r="BV361" s="19"/>
      <c r="BW361" s="19"/>
      <c r="BX361" s="19"/>
      <c r="BY361" s="19"/>
      <c r="BZ361" s="19"/>
      <c r="CA361" s="19"/>
      <c r="CB361" s="19"/>
      <c r="CC361" s="19"/>
      <c r="CD361" s="19"/>
      <c r="CE361" s="19"/>
      <c r="CF361" s="19"/>
      <c r="CG361" s="19"/>
      <c r="CH361" s="19"/>
      <c r="CI361" s="19"/>
      <c r="CJ361" s="19"/>
      <c r="CK361" s="19"/>
      <c r="CL361" s="19"/>
      <c r="CM361" s="19"/>
      <c r="CN361" s="19"/>
      <c r="CO361" s="19"/>
      <c r="CP361" s="19"/>
      <c r="CQ361" s="19"/>
      <c r="CR361" s="19"/>
      <c r="CS361" s="19"/>
      <c r="CT361" s="19"/>
      <c r="CU361" s="19"/>
      <c r="CV361" s="19"/>
      <c r="CW361" s="19"/>
      <c r="CX361" s="19"/>
      <c r="CY361" s="19"/>
      <c r="CZ361" s="19"/>
      <c r="DA361" s="19"/>
      <c r="DB361" s="19"/>
      <c r="DC361" s="19"/>
      <c r="DD361" s="19"/>
      <c r="DE361" s="19"/>
      <c r="DF361" s="19"/>
      <c r="DG361" s="19"/>
      <c r="DH361" s="19"/>
      <c r="DI361" s="19"/>
      <c r="DJ361" s="19"/>
      <c r="DK361" s="19"/>
      <c r="DL361" s="19"/>
      <c r="DM361" s="19"/>
      <c r="DN361" s="19"/>
      <c r="DO361" s="19"/>
      <c r="DP361" s="19"/>
      <c r="DQ361" s="19"/>
      <c r="DR361" s="19"/>
      <c r="DS361" s="19"/>
      <c r="DT361" s="19"/>
      <c r="DU361" s="19"/>
      <c r="DV361" s="19"/>
      <c r="DW361" s="19"/>
      <c r="DX361" s="19"/>
      <c r="DY361" s="19"/>
      <c r="DZ361" s="19"/>
      <c r="EA361" s="19"/>
      <c r="EB361" s="19"/>
      <c r="EC361" s="19"/>
      <c r="ED361" s="19"/>
      <c r="EE361" s="19"/>
      <c r="EF361" s="19"/>
      <c r="EG361" s="19"/>
      <c r="EH361" s="19"/>
      <c r="EI361" s="19"/>
      <c r="EJ361" s="19"/>
      <c r="EK361" s="19"/>
      <c r="EL361" s="19"/>
      <c r="EM361" s="19"/>
      <c r="EN361" s="19"/>
      <c r="EO361" s="19"/>
      <c r="EP361" s="19"/>
      <c r="EQ361" s="19"/>
      <c r="ER361" s="19"/>
      <c r="ES361" s="19"/>
      <c r="ET361" s="19"/>
      <c r="EU361" s="19"/>
      <c r="EV361" s="19"/>
      <c r="EW361" s="19"/>
      <c r="EX361" s="19"/>
      <c r="EY361" s="19"/>
      <c r="EZ361" s="19"/>
      <c r="FA361" s="19"/>
      <c r="FB361" s="19"/>
      <c r="FC361" s="19"/>
      <c r="FD361" s="19"/>
      <c r="FE361" s="19"/>
      <c r="FF361" s="19"/>
      <c r="FG361" s="19"/>
      <c r="FH361" s="19"/>
      <c r="FI361" s="19"/>
      <c r="FJ361" s="19"/>
      <c r="FK361" s="19"/>
      <c r="FL361" s="19"/>
      <c r="FM361" s="19"/>
      <c r="FN361" s="19"/>
      <c r="FO361" s="19"/>
      <c r="FP361" s="19"/>
      <c r="FQ361" s="19"/>
      <c r="FR361" s="19"/>
      <c r="FS361" s="19"/>
      <c r="FT361" s="19"/>
      <c r="FU361" s="19"/>
      <c r="FV361" s="19"/>
      <c r="FW361" s="19"/>
      <c r="FX361" s="19"/>
      <c r="FY361" s="19"/>
      <c r="FZ361" s="19"/>
      <c r="GA361" s="19"/>
      <c r="GB361" s="19"/>
      <c r="GC361" s="19"/>
      <c r="GD361" s="19"/>
      <c r="GE361" s="19"/>
      <c r="GF361" s="19"/>
      <c r="GG361" s="19"/>
      <c r="GH361" s="19"/>
      <c r="GI361" s="19"/>
      <c r="GJ361" s="19"/>
      <c r="GK361" s="19"/>
      <c r="GL361" s="19"/>
      <c r="GM361" s="19"/>
      <c r="GN361" s="19"/>
      <c r="GO361" s="19"/>
      <c r="GP361" s="19"/>
      <c r="GQ361" s="19"/>
      <c r="GR361" s="19"/>
      <c r="GS361" s="19"/>
      <c r="GT361" s="19"/>
      <c r="GU361" s="19"/>
      <c r="GV361" s="19"/>
      <c r="GW361" s="19"/>
      <c r="GX361" s="19"/>
      <c r="GY361" s="19"/>
      <c r="GZ361" s="19"/>
      <c r="HA361" s="19"/>
      <c r="HB361" s="19"/>
    </row>
    <row r="362" spans="1:210" x14ac:dyDescent="0.25">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c r="BE362" s="19"/>
      <c r="BF362" s="19"/>
      <c r="BG362" s="19"/>
      <c r="BH362" s="19"/>
      <c r="BI362" s="19"/>
      <c r="BJ362" s="19"/>
      <c r="BK362" s="19"/>
      <c r="BL362" s="19"/>
      <c r="BM362" s="19"/>
      <c r="BN362" s="19"/>
      <c r="BO362" s="19"/>
      <c r="BP362" s="19"/>
      <c r="BQ362" s="19"/>
      <c r="BR362" s="19"/>
      <c r="BS362" s="19"/>
      <c r="BT362" s="19"/>
      <c r="BU362" s="19"/>
      <c r="BV362" s="19"/>
      <c r="BW362" s="19"/>
      <c r="BX362" s="19"/>
      <c r="BY362" s="19"/>
      <c r="BZ362" s="19"/>
      <c r="CA362" s="19"/>
      <c r="CB362" s="19"/>
      <c r="CC362" s="19"/>
      <c r="CD362" s="19"/>
      <c r="CE362" s="19"/>
      <c r="CF362" s="19"/>
      <c r="CG362" s="19"/>
      <c r="CH362" s="19"/>
      <c r="CI362" s="19"/>
      <c r="CJ362" s="19"/>
      <c r="CK362" s="19"/>
      <c r="CL362" s="19"/>
      <c r="CM362" s="19"/>
      <c r="CN362" s="19"/>
      <c r="CO362" s="19"/>
      <c r="CP362" s="19"/>
      <c r="CQ362" s="19"/>
      <c r="CR362" s="19"/>
      <c r="CS362" s="19"/>
      <c r="CT362" s="19"/>
      <c r="CU362" s="19"/>
      <c r="CV362" s="19"/>
      <c r="CW362" s="19"/>
      <c r="CX362" s="19"/>
      <c r="CY362" s="19"/>
      <c r="CZ362" s="19"/>
      <c r="DA362" s="19"/>
      <c r="DB362" s="19"/>
      <c r="DC362" s="19"/>
      <c r="DD362" s="19"/>
      <c r="DE362" s="19"/>
      <c r="DF362" s="19"/>
      <c r="DG362" s="19"/>
      <c r="DH362" s="19"/>
      <c r="DI362" s="19"/>
      <c r="DJ362" s="19"/>
      <c r="DK362" s="19"/>
      <c r="DL362" s="19"/>
      <c r="DM362" s="19"/>
      <c r="DN362" s="19"/>
      <c r="DO362" s="19"/>
      <c r="DP362" s="19"/>
      <c r="DQ362" s="19"/>
      <c r="DR362" s="19"/>
      <c r="DS362" s="19"/>
      <c r="DT362" s="19"/>
      <c r="DU362" s="19"/>
      <c r="DV362" s="19"/>
      <c r="DW362" s="19"/>
      <c r="DX362" s="19"/>
      <c r="DY362" s="19"/>
      <c r="DZ362" s="19"/>
      <c r="EA362" s="19"/>
      <c r="EB362" s="19"/>
      <c r="EC362" s="19"/>
      <c r="ED362" s="19"/>
      <c r="EE362" s="19"/>
      <c r="EF362" s="19"/>
      <c r="EG362" s="19"/>
      <c r="EH362" s="19"/>
      <c r="EI362" s="19"/>
      <c r="EJ362" s="19"/>
      <c r="EK362" s="19"/>
      <c r="EL362" s="19"/>
      <c r="EM362" s="19"/>
      <c r="EN362" s="19"/>
      <c r="EO362" s="19"/>
      <c r="EP362" s="19"/>
      <c r="EQ362" s="19"/>
      <c r="ER362" s="19"/>
      <c r="ES362" s="19"/>
      <c r="ET362" s="19"/>
      <c r="EU362" s="19"/>
      <c r="EV362" s="19"/>
      <c r="EW362" s="19"/>
      <c r="EX362" s="19"/>
      <c r="EY362" s="19"/>
      <c r="EZ362" s="19"/>
      <c r="FA362" s="19"/>
      <c r="FB362" s="19"/>
      <c r="FC362" s="19"/>
      <c r="FD362" s="19"/>
      <c r="FE362" s="19"/>
      <c r="FF362" s="19"/>
      <c r="FG362" s="19"/>
      <c r="FH362" s="19"/>
      <c r="FI362" s="19"/>
      <c r="FJ362" s="19"/>
      <c r="FK362" s="19"/>
      <c r="FL362" s="19"/>
      <c r="FM362" s="19"/>
      <c r="FN362" s="19"/>
      <c r="FO362" s="19"/>
      <c r="FP362" s="19"/>
      <c r="FQ362" s="19"/>
      <c r="FR362" s="19"/>
      <c r="FS362" s="19"/>
      <c r="FT362" s="19"/>
      <c r="FU362" s="19"/>
      <c r="FV362" s="19"/>
      <c r="FW362" s="19"/>
      <c r="FX362" s="19"/>
      <c r="FY362" s="19"/>
      <c r="FZ362" s="19"/>
      <c r="GA362" s="19"/>
      <c r="GB362" s="19"/>
      <c r="GC362" s="19"/>
      <c r="GD362" s="19"/>
      <c r="GE362" s="19"/>
      <c r="GF362" s="19"/>
      <c r="GG362" s="19"/>
      <c r="GH362" s="19"/>
      <c r="GI362" s="19"/>
      <c r="GJ362" s="19"/>
      <c r="GK362" s="19"/>
      <c r="GL362" s="19"/>
      <c r="GM362" s="19"/>
      <c r="GN362" s="19"/>
      <c r="GO362" s="19"/>
      <c r="GP362" s="19"/>
      <c r="GQ362" s="19"/>
      <c r="GR362" s="19"/>
      <c r="GS362" s="19"/>
      <c r="GT362" s="19"/>
      <c r="GU362" s="19"/>
      <c r="GV362" s="19"/>
      <c r="GW362" s="19"/>
      <c r="GX362" s="19"/>
      <c r="GY362" s="19"/>
      <c r="GZ362" s="19"/>
      <c r="HA362" s="19"/>
      <c r="HB362" s="19"/>
    </row>
    <row r="363" spans="1:210" x14ac:dyDescent="0.25">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c r="BE363" s="19"/>
      <c r="BF363" s="19"/>
      <c r="BG363" s="19"/>
      <c r="BH363" s="19"/>
      <c r="BI363" s="19"/>
      <c r="BJ363" s="19"/>
      <c r="BK363" s="19"/>
      <c r="BL363" s="19"/>
      <c r="BM363" s="19"/>
      <c r="BN363" s="19"/>
      <c r="BO363" s="19"/>
      <c r="BP363" s="19"/>
      <c r="BQ363" s="19"/>
      <c r="BR363" s="19"/>
      <c r="BS363" s="19"/>
      <c r="BT363" s="19"/>
      <c r="BU363" s="19"/>
      <c r="BV363" s="19"/>
      <c r="BW363" s="19"/>
      <c r="BX363" s="19"/>
      <c r="BY363" s="19"/>
      <c r="BZ363" s="19"/>
      <c r="CA363" s="19"/>
      <c r="CB363" s="19"/>
      <c r="CC363" s="19"/>
      <c r="CD363" s="19"/>
      <c r="CE363" s="19"/>
      <c r="CF363" s="19"/>
      <c r="CG363" s="19"/>
      <c r="CH363" s="19"/>
      <c r="CI363" s="19"/>
      <c r="CJ363" s="19"/>
      <c r="CK363" s="19"/>
      <c r="CL363" s="19"/>
      <c r="CM363" s="19"/>
      <c r="CN363" s="19"/>
      <c r="CO363" s="19"/>
      <c r="CP363" s="19"/>
      <c r="CQ363" s="19"/>
      <c r="CR363" s="19"/>
      <c r="CS363" s="19"/>
      <c r="CT363" s="19"/>
      <c r="CU363" s="19"/>
      <c r="CV363" s="19"/>
      <c r="CW363" s="19"/>
      <c r="CX363" s="19"/>
      <c r="CY363" s="19"/>
      <c r="CZ363" s="19"/>
      <c r="DA363" s="19"/>
      <c r="DB363" s="19"/>
      <c r="DC363" s="19"/>
      <c r="DD363" s="19"/>
      <c r="DE363" s="19"/>
      <c r="DF363" s="19"/>
      <c r="DG363" s="19"/>
      <c r="DH363" s="19"/>
      <c r="DI363" s="19"/>
      <c r="DJ363" s="19"/>
      <c r="DK363" s="19"/>
      <c r="DL363" s="19"/>
      <c r="DM363" s="19"/>
      <c r="DN363" s="19"/>
      <c r="DO363" s="19"/>
      <c r="DP363" s="19"/>
      <c r="DQ363" s="19"/>
      <c r="DR363" s="19"/>
      <c r="DS363" s="19"/>
      <c r="DT363" s="19"/>
      <c r="DU363" s="19"/>
      <c r="DV363" s="19"/>
      <c r="DW363" s="19"/>
      <c r="DX363" s="19"/>
      <c r="DY363" s="19"/>
      <c r="DZ363" s="19"/>
      <c r="EA363" s="19"/>
      <c r="EB363" s="19"/>
      <c r="EC363" s="19"/>
      <c r="ED363" s="19"/>
      <c r="EE363" s="19"/>
      <c r="EF363" s="19"/>
      <c r="EG363" s="19"/>
      <c r="EH363" s="19"/>
      <c r="EI363" s="19"/>
      <c r="EJ363" s="19"/>
      <c r="EK363" s="19"/>
      <c r="EL363" s="19"/>
      <c r="EM363" s="19"/>
      <c r="EN363" s="19"/>
      <c r="EO363" s="19"/>
      <c r="EP363" s="19"/>
      <c r="EQ363" s="19"/>
      <c r="ER363" s="19"/>
      <c r="ES363" s="19"/>
      <c r="ET363" s="19"/>
      <c r="EU363" s="19"/>
      <c r="EV363" s="19"/>
      <c r="EW363" s="19"/>
      <c r="EX363" s="19"/>
      <c r="EY363" s="19"/>
      <c r="EZ363" s="19"/>
      <c r="FA363" s="19"/>
      <c r="FB363" s="19"/>
      <c r="FC363" s="19"/>
      <c r="FD363" s="19"/>
      <c r="FE363" s="19"/>
      <c r="FF363" s="19"/>
      <c r="FG363" s="19"/>
      <c r="FH363" s="19"/>
      <c r="FI363" s="19"/>
      <c r="FJ363" s="19"/>
      <c r="FK363" s="19"/>
      <c r="FL363" s="19"/>
      <c r="FM363" s="19"/>
      <c r="FN363" s="19"/>
      <c r="FO363" s="19"/>
      <c r="FP363" s="19"/>
      <c r="FQ363" s="19"/>
      <c r="FR363" s="19"/>
      <c r="FS363" s="19"/>
      <c r="FT363" s="19"/>
      <c r="FU363" s="19"/>
      <c r="FV363" s="19"/>
      <c r="FW363" s="19"/>
      <c r="FX363" s="19"/>
      <c r="FY363" s="19"/>
      <c r="FZ363" s="19"/>
      <c r="GA363" s="19"/>
      <c r="GB363" s="19"/>
      <c r="GC363" s="19"/>
      <c r="GD363" s="19"/>
      <c r="GE363" s="19"/>
      <c r="GF363" s="19"/>
      <c r="GG363" s="19"/>
      <c r="GH363" s="19"/>
      <c r="GI363" s="19"/>
      <c r="GJ363" s="19"/>
      <c r="GK363" s="19"/>
      <c r="GL363" s="19"/>
      <c r="GM363" s="19"/>
      <c r="GN363" s="19"/>
      <c r="GO363" s="19"/>
      <c r="GP363" s="19"/>
      <c r="GQ363" s="19"/>
      <c r="GR363" s="19"/>
      <c r="GS363" s="19"/>
      <c r="GT363" s="19"/>
      <c r="GU363" s="19"/>
      <c r="GV363" s="19"/>
      <c r="GW363" s="19"/>
      <c r="GX363" s="19"/>
      <c r="GY363" s="19"/>
      <c r="GZ363" s="19"/>
      <c r="HA363" s="19"/>
      <c r="HB363" s="19"/>
    </row>
    <row r="364" spans="1:210" x14ac:dyDescent="0.25">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c r="BE364" s="19"/>
      <c r="BF364" s="19"/>
      <c r="BG364" s="19"/>
      <c r="BH364" s="19"/>
      <c r="BI364" s="19"/>
      <c r="BJ364" s="19"/>
      <c r="BK364" s="19"/>
      <c r="BL364" s="19"/>
      <c r="BM364" s="19"/>
      <c r="BN364" s="19"/>
      <c r="BO364" s="19"/>
      <c r="BP364" s="19"/>
      <c r="BQ364" s="19"/>
      <c r="BR364" s="19"/>
      <c r="BS364" s="19"/>
      <c r="BT364" s="19"/>
      <c r="BU364" s="19"/>
      <c r="BV364" s="19"/>
      <c r="BW364" s="19"/>
      <c r="BX364" s="19"/>
      <c r="BY364" s="19"/>
      <c r="BZ364" s="19"/>
      <c r="CA364" s="19"/>
      <c r="CB364" s="19"/>
      <c r="CC364" s="19"/>
      <c r="CD364" s="19"/>
      <c r="CE364" s="19"/>
      <c r="CF364" s="19"/>
      <c r="CG364" s="19"/>
      <c r="CH364" s="19"/>
      <c r="CI364" s="19"/>
      <c r="CJ364" s="19"/>
      <c r="CK364" s="19"/>
      <c r="CL364" s="19"/>
      <c r="CM364" s="19"/>
      <c r="CN364" s="19"/>
      <c r="CO364" s="19"/>
      <c r="CP364" s="19"/>
      <c r="CQ364" s="19"/>
      <c r="CR364" s="19"/>
      <c r="CS364" s="19"/>
      <c r="CT364" s="19"/>
      <c r="CU364" s="19"/>
      <c r="CV364" s="19"/>
      <c r="CW364" s="19"/>
      <c r="CX364" s="19"/>
      <c r="CY364" s="19"/>
      <c r="CZ364" s="19"/>
      <c r="DA364" s="19"/>
      <c r="DB364" s="19"/>
      <c r="DC364" s="19"/>
      <c r="DD364" s="19"/>
      <c r="DE364" s="19"/>
      <c r="DF364" s="19"/>
      <c r="DG364" s="19"/>
      <c r="DH364" s="19"/>
      <c r="DI364" s="19"/>
      <c r="DJ364" s="19"/>
      <c r="DK364" s="19"/>
      <c r="DL364" s="19"/>
      <c r="DM364" s="19"/>
      <c r="DN364" s="19"/>
      <c r="DO364" s="19"/>
      <c r="DP364" s="19"/>
      <c r="DQ364" s="19"/>
      <c r="DR364" s="19"/>
      <c r="DS364" s="19"/>
      <c r="DT364" s="19"/>
      <c r="DU364" s="19"/>
      <c r="DV364" s="19"/>
      <c r="DW364" s="19"/>
      <c r="DX364" s="19"/>
      <c r="DY364" s="19"/>
      <c r="DZ364" s="19"/>
      <c r="EA364" s="19"/>
      <c r="EB364" s="19"/>
      <c r="EC364" s="19"/>
      <c r="ED364" s="19"/>
      <c r="EE364" s="19"/>
      <c r="EF364" s="19"/>
      <c r="EG364" s="19"/>
      <c r="EH364" s="19"/>
      <c r="EI364" s="19"/>
      <c r="EJ364" s="19"/>
      <c r="EK364" s="19"/>
      <c r="EL364" s="19"/>
      <c r="EM364" s="19"/>
      <c r="EN364" s="19"/>
      <c r="EO364" s="19"/>
      <c r="EP364" s="19"/>
      <c r="EQ364" s="19"/>
      <c r="ER364" s="19"/>
      <c r="ES364" s="19"/>
      <c r="ET364" s="19"/>
      <c r="EU364" s="19"/>
      <c r="EV364" s="19"/>
      <c r="EW364" s="19"/>
      <c r="EX364" s="19"/>
      <c r="EY364" s="19"/>
      <c r="EZ364" s="19"/>
      <c r="FA364" s="19"/>
      <c r="FB364" s="19"/>
      <c r="FC364" s="19"/>
      <c r="FD364" s="19"/>
      <c r="FE364" s="19"/>
      <c r="FF364" s="19"/>
      <c r="FG364" s="19"/>
      <c r="FH364" s="19"/>
      <c r="FI364" s="19"/>
      <c r="FJ364" s="19"/>
      <c r="FK364" s="19"/>
      <c r="FL364" s="19"/>
      <c r="FM364" s="19"/>
      <c r="FN364" s="19"/>
      <c r="FO364" s="19"/>
      <c r="FP364" s="19"/>
      <c r="FQ364" s="19"/>
      <c r="FR364" s="19"/>
      <c r="FS364" s="19"/>
      <c r="FT364" s="19"/>
      <c r="FU364" s="19"/>
      <c r="FV364" s="19"/>
      <c r="FW364" s="19"/>
      <c r="FX364" s="19"/>
      <c r="FY364" s="19"/>
      <c r="FZ364" s="19"/>
      <c r="GA364" s="19"/>
      <c r="GB364" s="19"/>
      <c r="GC364" s="19"/>
      <c r="GD364" s="19"/>
      <c r="GE364" s="19"/>
      <c r="GF364" s="19"/>
      <c r="GG364" s="19"/>
      <c r="GH364" s="19"/>
      <c r="GI364" s="19"/>
      <c r="GJ364" s="19"/>
      <c r="GK364" s="19"/>
      <c r="GL364" s="19"/>
      <c r="GM364" s="19"/>
      <c r="GN364" s="19"/>
      <c r="GO364" s="19"/>
      <c r="GP364" s="19"/>
      <c r="GQ364" s="19"/>
      <c r="GR364" s="19"/>
      <c r="GS364" s="19"/>
      <c r="GT364" s="19"/>
      <c r="GU364" s="19"/>
      <c r="GV364" s="19"/>
      <c r="GW364" s="19"/>
      <c r="GX364" s="19"/>
      <c r="GY364" s="19"/>
      <c r="GZ364" s="19"/>
      <c r="HA364" s="19"/>
      <c r="HB364" s="19"/>
    </row>
    <row r="365" spans="1:210" x14ac:dyDescent="0.25">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c r="BE365" s="19"/>
      <c r="BF365" s="19"/>
      <c r="BG365" s="19"/>
      <c r="BH365" s="19"/>
      <c r="BI365" s="19"/>
      <c r="BJ365" s="19"/>
      <c r="BK365" s="19"/>
      <c r="BL365" s="19"/>
      <c r="BM365" s="19"/>
      <c r="BN365" s="19"/>
      <c r="BO365" s="19"/>
      <c r="BP365" s="19"/>
      <c r="BQ365" s="19"/>
      <c r="BR365" s="19"/>
      <c r="BS365" s="19"/>
      <c r="BT365" s="19"/>
      <c r="BU365" s="19"/>
      <c r="BV365" s="19"/>
      <c r="BW365" s="19"/>
      <c r="BX365" s="19"/>
      <c r="BY365" s="19"/>
      <c r="BZ365" s="19"/>
      <c r="CA365" s="19"/>
      <c r="CB365" s="19"/>
      <c r="CC365" s="19"/>
      <c r="CD365" s="19"/>
      <c r="CE365" s="19"/>
      <c r="CF365" s="19"/>
      <c r="CG365" s="19"/>
      <c r="CH365" s="19"/>
      <c r="CI365" s="19"/>
      <c r="CJ365" s="19"/>
      <c r="CK365" s="19"/>
      <c r="CL365" s="19"/>
      <c r="CM365" s="19"/>
      <c r="CN365" s="19"/>
      <c r="CO365" s="19"/>
      <c r="CP365" s="19"/>
      <c r="CQ365" s="19"/>
      <c r="CR365" s="19"/>
      <c r="CS365" s="19"/>
      <c r="CT365" s="19"/>
      <c r="CU365" s="19"/>
      <c r="CV365" s="19"/>
      <c r="CW365" s="19"/>
      <c r="CX365" s="19"/>
      <c r="CY365" s="19"/>
      <c r="CZ365" s="19"/>
      <c r="DA365" s="19"/>
      <c r="DB365" s="19"/>
      <c r="DC365" s="19"/>
      <c r="DD365" s="19"/>
      <c r="DE365" s="19"/>
      <c r="DF365" s="19"/>
      <c r="DG365" s="19"/>
      <c r="DH365" s="19"/>
      <c r="DI365" s="19"/>
      <c r="DJ365" s="19"/>
      <c r="DK365" s="19"/>
      <c r="DL365" s="19"/>
      <c r="DM365" s="19"/>
      <c r="DN365" s="19"/>
      <c r="DO365" s="19"/>
      <c r="DP365" s="19"/>
      <c r="DQ365" s="19"/>
      <c r="DR365" s="19"/>
      <c r="DS365" s="19"/>
      <c r="DT365" s="19"/>
      <c r="DU365" s="19"/>
      <c r="DV365" s="19"/>
      <c r="DW365" s="19"/>
      <c r="DX365" s="19"/>
      <c r="DY365" s="19"/>
      <c r="DZ365" s="19"/>
      <c r="EA365" s="19"/>
      <c r="EB365" s="19"/>
      <c r="EC365" s="19"/>
      <c r="ED365" s="19"/>
      <c r="EE365" s="19"/>
      <c r="EF365" s="19"/>
      <c r="EG365" s="19"/>
      <c r="EH365" s="19"/>
      <c r="EI365" s="19"/>
      <c r="EJ365" s="19"/>
      <c r="EK365" s="19"/>
      <c r="EL365" s="19"/>
      <c r="EM365" s="19"/>
      <c r="EN365" s="19"/>
      <c r="EO365" s="19"/>
      <c r="EP365" s="19"/>
      <c r="EQ365" s="19"/>
      <c r="ER365" s="19"/>
      <c r="ES365" s="19"/>
      <c r="ET365" s="19"/>
      <c r="EU365" s="19"/>
      <c r="EV365" s="19"/>
      <c r="EW365" s="19"/>
      <c r="EX365" s="19"/>
      <c r="EY365" s="19"/>
      <c r="EZ365" s="19"/>
      <c r="FA365" s="19"/>
      <c r="FB365" s="19"/>
      <c r="FC365" s="19"/>
      <c r="FD365" s="19"/>
      <c r="FE365" s="19"/>
      <c r="FF365" s="19"/>
      <c r="FG365" s="19"/>
      <c r="FH365" s="19"/>
      <c r="FI365" s="19"/>
      <c r="FJ365" s="19"/>
      <c r="FK365" s="19"/>
      <c r="FL365" s="19"/>
      <c r="FM365" s="19"/>
      <c r="FN365" s="19"/>
      <c r="FO365" s="19"/>
      <c r="FP365" s="19"/>
      <c r="FQ365" s="19"/>
      <c r="FR365" s="19"/>
      <c r="FS365" s="19"/>
      <c r="FT365" s="19"/>
      <c r="FU365" s="19"/>
      <c r="FV365" s="19"/>
      <c r="FW365" s="19"/>
      <c r="FX365" s="19"/>
      <c r="FY365" s="19"/>
      <c r="FZ365" s="19"/>
      <c r="GA365" s="19"/>
      <c r="GB365" s="19"/>
      <c r="GC365" s="19"/>
      <c r="GD365" s="19"/>
      <c r="GE365" s="19"/>
      <c r="GF365" s="19"/>
      <c r="GG365" s="19"/>
      <c r="GH365" s="19"/>
      <c r="GI365" s="19"/>
      <c r="GJ365" s="19"/>
      <c r="GK365" s="19"/>
      <c r="GL365" s="19"/>
      <c r="GM365" s="19"/>
      <c r="GN365" s="19"/>
      <c r="GO365" s="19"/>
      <c r="GP365" s="19"/>
      <c r="GQ365" s="19"/>
      <c r="GR365" s="19"/>
      <c r="GS365" s="19"/>
      <c r="GT365" s="19"/>
      <c r="GU365" s="19"/>
      <c r="GV365" s="19"/>
      <c r="GW365" s="19"/>
      <c r="GX365" s="19"/>
      <c r="GY365" s="19"/>
      <c r="GZ365" s="19"/>
      <c r="HA365" s="19"/>
      <c r="HB365" s="19"/>
    </row>
    <row r="366" spans="1:210" x14ac:dyDescent="0.25">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c r="BE366" s="19"/>
      <c r="BF366" s="19"/>
      <c r="BG366" s="19"/>
      <c r="BH366" s="19"/>
      <c r="BI366" s="19"/>
      <c r="BJ366" s="19"/>
      <c r="BK366" s="19"/>
      <c r="BL366" s="19"/>
      <c r="BM366" s="19"/>
      <c r="BN366" s="19"/>
      <c r="BO366" s="19"/>
      <c r="BP366" s="19"/>
      <c r="BQ366" s="19"/>
      <c r="BR366" s="19"/>
      <c r="BS366" s="19"/>
      <c r="BT366" s="19"/>
      <c r="BU366" s="19"/>
      <c r="BV366" s="19"/>
      <c r="BW366" s="19"/>
      <c r="BX366" s="19"/>
      <c r="BY366" s="19"/>
      <c r="BZ366" s="19"/>
      <c r="CA366" s="19"/>
      <c r="CB366" s="19"/>
      <c r="CC366" s="19"/>
      <c r="CD366" s="19"/>
      <c r="CE366" s="19"/>
      <c r="CF366" s="19"/>
      <c r="CG366" s="19"/>
      <c r="CH366" s="19"/>
      <c r="CI366" s="19"/>
      <c r="CJ366" s="19"/>
      <c r="CK366" s="19"/>
      <c r="CL366" s="19"/>
      <c r="CM366" s="19"/>
      <c r="CN366" s="19"/>
      <c r="CO366" s="19"/>
      <c r="CP366" s="19"/>
      <c r="CQ366" s="19"/>
      <c r="CR366" s="19"/>
      <c r="CS366" s="19"/>
      <c r="CT366" s="19"/>
      <c r="CU366" s="19"/>
      <c r="CV366" s="19"/>
      <c r="CW366" s="19"/>
      <c r="CX366" s="19"/>
      <c r="CY366" s="19"/>
      <c r="CZ366" s="19"/>
      <c r="DA366" s="19"/>
      <c r="DB366" s="19"/>
      <c r="DC366" s="19"/>
      <c r="DD366" s="19"/>
      <c r="DE366" s="19"/>
      <c r="DF366" s="19"/>
      <c r="DG366" s="19"/>
      <c r="DH366" s="19"/>
      <c r="DI366" s="19"/>
      <c r="DJ366" s="19"/>
      <c r="DK366" s="19"/>
      <c r="DL366" s="19"/>
      <c r="DM366" s="19"/>
      <c r="DN366" s="19"/>
      <c r="DO366" s="19"/>
      <c r="DP366" s="19"/>
      <c r="DQ366" s="19"/>
      <c r="DR366" s="19"/>
      <c r="DS366" s="19"/>
      <c r="DT366" s="19"/>
      <c r="DU366" s="19"/>
      <c r="DV366" s="19"/>
      <c r="DW366" s="19"/>
      <c r="DX366" s="19"/>
      <c r="DY366" s="19"/>
      <c r="DZ366" s="19"/>
      <c r="EA366" s="19"/>
      <c r="EB366" s="19"/>
      <c r="EC366" s="19"/>
      <c r="ED366" s="19"/>
      <c r="EE366" s="19"/>
      <c r="EF366" s="19"/>
      <c r="EG366" s="19"/>
      <c r="EH366" s="19"/>
      <c r="EI366" s="19"/>
      <c r="EJ366" s="19"/>
      <c r="EK366" s="19"/>
      <c r="EL366" s="19"/>
      <c r="EM366" s="19"/>
      <c r="EN366" s="19"/>
      <c r="EO366" s="19"/>
      <c r="EP366" s="19"/>
      <c r="EQ366" s="19"/>
      <c r="ER366" s="19"/>
      <c r="ES366" s="19"/>
      <c r="ET366" s="19"/>
      <c r="EU366" s="19"/>
      <c r="EV366" s="19"/>
      <c r="EW366" s="19"/>
      <c r="EX366" s="19"/>
      <c r="EY366" s="19"/>
      <c r="EZ366" s="19"/>
      <c r="FA366" s="19"/>
      <c r="FB366" s="19"/>
      <c r="FC366" s="19"/>
      <c r="FD366" s="19"/>
      <c r="FE366" s="19"/>
      <c r="FF366" s="19"/>
      <c r="FG366" s="19"/>
      <c r="FH366" s="19"/>
      <c r="FI366" s="19"/>
      <c r="FJ366" s="19"/>
      <c r="FK366" s="19"/>
      <c r="FL366" s="19"/>
      <c r="FM366" s="19"/>
      <c r="FN366" s="19"/>
      <c r="FO366" s="19"/>
      <c r="FP366" s="19"/>
      <c r="FQ366" s="19"/>
      <c r="FR366" s="19"/>
      <c r="FS366" s="19"/>
      <c r="FT366" s="19"/>
      <c r="FU366" s="19"/>
      <c r="FV366" s="19"/>
      <c r="FW366" s="19"/>
      <c r="FX366" s="19"/>
      <c r="FY366" s="19"/>
      <c r="FZ366" s="19"/>
      <c r="GA366" s="19"/>
      <c r="GB366" s="19"/>
      <c r="GC366" s="19"/>
      <c r="GD366" s="19"/>
      <c r="GE366" s="19"/>
      <c r="GF366" s="19"/>
      <c r="GG366" s="19"/>
      <c r="GH366" s="19"/>
      <c r="GI366" s="19"/>
      <c r="GJ366" s="19"/>
      <c r="GK366" s="19"/>
      <c r="GL366" s="19"/>
      <c r="GM366" s="19"/>
      <c r="GN366" s="19"/>
      <c r="GO366" s="19"/>
      <c r="GP366" s="19"/>
      <c r="GQ366" s="19"/>
      <c r="GR366" s="19"/>
      <c r="GS366" s="19"/>
      <c r="GT366" s="19"/>
      <c r="GU366" s="19"/>
      <c r="GV366" s="19"/>
      <c r="GW366" s="19"/>
      <c r="GX366" s="19"/>
      <c r="GY366" s="19"/>
      <c r="GZ366" s="19"/>
      <c r="HA366" s="19"/>
      <c r="HB366" s="19"/>
    </row>
    <row r="367" spans="1:210" x14ac:dyDescent="0.25">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c r="BE367" s="19"/>
      <c r="BF367" s="19"/>
      <c r="BG367" s="19"/>
      <c r="BH367" s="19"/>
      <c r="BI367" s="19"/>
      <c r="BJ367" s="19"/>
      <c r="BK367" s="19"/>
      <c r="BL367" s="19"/>
      <c r="BM367" s="19"/>
      <c r="BN367" s="19"/>
      <c r="BO367" s="19"/>
      <c r="BP367" s="19"/>
      <c r="BQ367" s="19"/>
      <c r="BR367" s="19"/>
      <c r="BS367" s="19"/>
      <c r="BT367" s="19"/>
      <c r="BU367" s="19"/>
      <c r="BV367" s="19"/>
      <c r="BW367" s="19"/>
      <c r="BX367" s="19"/>
      <c r="BY367" s="19"/>
      <c r="BZ367" s="19"/>
      <c r="CA367" s="19"/>
      <c r="CB367" s="19"/>
      <c r="CC367" s="19"/>
      <c r="CD367" s="19"/>
      <c r="CE367" s="19"/>
      <c r="CF367" s="19"/>
      <c r="CG367" s="19"/>
      <c r="CH367" s="19"/>
      <c r="CI367" s="19"/>
      <c r="CJ367" s="19"/>
      <c r="CK367" s="19"/>
      <c r="CL367" s="19"/>
      <c r="CM367" s="19"/>
      <c r="CN367" s="19"/>
      <c r="CO367" s="19"/>
      <c r="CP367" s="19"/>
      <c r="CQ367" s="19"/>
      <c r="CR367" s="19"/>
      <c r="CS367" s="19"/>
      <c r="CT367" s="19"/>
      <c r="CU367" s="19"/>
      <c r="CV367" s="19"/>
      <c r="CW367" s="19"/>
      <c r="CX367" s="19"/>
      <c r="CY367" s="19"/>
      <c r="CZ367" s="19"/>
      <c r="DA367" s="19"/>
      <c r="DB367" s="19"/>
      <c r="DC367" s="19"/>
      <c r="DD367" s="19"/>
      <c r="DE367" s="19"/>
      <c r="DF367" s="19"/>
      <c r="DG367" s="19"/>
      <c r="DH367" s="19"/>
      <c r="DI367" s="19"/>
      <c r="DJ367" s="19"/>
      <c r="DK367" s="19"/>
      <c r="DL367" s="19"/>
      <c r="DM367" s="19"/>
      <c r="DN367" s="19"/>
      <c r="DO367" s="19"/>
      <c r="DP367" s="19"/>
      <c r="DQ367" s="19"/>
      <c r="DR367" s="19"/>
      <c r="DS367" s="19"/>
      <c r="DT367" s="19"/>
      <c r="DU367" s="19"/>
      <c r="DV367" s="19"/>
      <c r="DW367" s="19"/>
      <c r="DX367" s="19"/>
      <c r="DY367" s="19"/>
      <c r="DZ367" s="19"/>
      <c r="EA367" s="19"/>
      <c r="EB367" s="19"/>
      <c r="EC367" s="19"/>
      <c r="ED367" s="19"/>
      <c r="EE367" s="19"/>
      <c r="EF367" s="19"/>
      <c r="EG367" s="19"/>
      <c r="EH367" s="19"/>
      <c r="EI367" s="19"/>
      <c r="EJ367" s="19"/>
      <c r="EK367" s="19"/>
      <c r="EL367" s="19"/>
      <c r="EM367" s="19"/>
      <c r="EN367" s="19"/>
      <c r="EO367" s="19"/>
      <c r="EP367" s="19"/>
      <c r="EQ367" s="19"/>
      <c r="ER367" s="19"/>
      <c r="ES367" s="19"/>
      <c r="ET367" s="19"/>
      <c r="EU367" s="19"/>
      <c r="EV367" s="19"/>
      <c r="EW367" s="19"/>
      <c r="EX367" s="19"/>
      <c r="EY367" s="19"/>
      <c r="EZ367" s="19"/>
      <c r="FA367" s="19"/>
      <c r="FB367" s="19"/>
      <c r="FC367" s="19"/>
      <c r="FD367" s="19"/>
      <c r="FE367" s="19"/>
      <c r="FF367" s="19"/>
      <c r="FG367" s="19"/>
      <c r="FH367" s="19"/>
      <c r="FI367" s="19"/>
      <c r="FJ367" s="19"/>
      <c r="FK367" s="19"/>
      <c r="FL367" s="19"/>
      <c r="FM367" s="19"/>
      <c r="FN367" s="19"/>
      <c r="FO367" s="19"/>
      <c r="FP367" s="19"/>
      <c r="FQ367" s="19"/>
      <c r="FR367" s="19"/>
      <c r="FS367" s="19"/>
      <c r="FT367" s="19"/>
      <c r="FU367" s="19"/>
      <c r="FV367" s="19"/>
      <c r="FW367" s="19"/>
      <c r="FX367" s="19"/>
      <c r="FY367" s="19"/>
      <c r="FZ367" s="19"/>
      <c r="GA367" s="19"/>
      <c r="GB367" s="19"/>
      <c r="GC367" s="19"/>
      <c r="GD367" s="19"/>
      <c r="GE367" s="19"/>
      <c r="GF367" s="19"/>
      <c r="GG367" s="19"/>
      <c r="GH367" s="19"/>
      <c r="GI367" s="19"/>
      <c r="GJ367" s="19"/>
      <c r="GK367" s="19"/>
      <c r="GL367" s="19"/>
      <c r="GM367" s="19"/>
      <c r="GN367" s="19"/>
      <c r="GO367" s="19"/>
      <c r="GP367" s="19"/>
      <c r="GQ367" s="19"/>
      <c r="GR367" s="19"/>
      <c r="GS367" s="19"/>
      <c r="GT367" s="19"/>
      <c r="GU367" s="19"/>
      <c r="GV367" s="19"/>
      <c r="GW367" s="19"/>
      <c r="GX367" s="19"/>
      <c r="GY367" s="19"/>
      <c r="GZ367" s="19"/>
      <c r="HA367" s="19"/>
      <c r="HB367" s="19"/>
    </row>
    <row r="368" spans="1:210" x14ac:dyDescent="0.25">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c r="BE368" s="19"/>
      <c r="BF368" s="19"/>
      <c r="BG368" s="19"/>
      <c r="BH368" s="19"/>
      <c r="BI368" s="19"/>
      <c r="BJ368" s="19"/>
      <c r="BK368" s="19"/>
      <c r="BL368" s="19"/>
      <c r="BM368" s="19"/>
      <c r="BN368" s="19"/>
      <c r="BO368" s="19"/>
      <c r="BP368" s="19"/>
      <c r="BQ368" s="19"/>
      <c r="BR368" s="19"/>
      <c r="BS368" s="19"/>
      <c r="BT368" s="19"/>
      <c r="BU368" s="19"/>
      <c r="BV368" s="19"/>
      <c r="BW368" s="19"/>
      <c r="BX368" s="19"/>
      <c r="BY368" s="19"/>
      <c r="BZ368" s="19"/>
      <c r="CA368" s="19"/>
      <c r="CB368" s="19"/>
      <c r="CC368" s="19"/>
      <c r="CD368" s="19"/>
      <c r="CE368" s="19"/>
      <c r="CF368" s="19"/>
      <c r="CG368" s="19"/>
      <c r="CH368" s="19"/>
      <c r="CI368" s="19"/>
      <c r="CJ368" s="19"/>
      <c r="CK368" s="19"/>
      <c r="CL368" s="19"/>
      <c r="CM368" s="19"/>
      <c r="CN368" s="19"/>
      <c r="CO368" s="19"/>
      <c r="CP368" s="19"/>
      <c r="CQ368" s="19"/>
      <c r="CR368" s="19"/>
      <c r="CS368" s="19"/>
      <c r="CT368" s="19"/>
      <c r="CU368" s="19"/>
      <c r="CV368" s="19"/>
      <c r="CW368" s="19"/>
      <c r="CX368" s="19"/>
      <c r="CY368" s="19"/>
      <c r="CZ368" s="19"/>
      <c r="DA368" s="19"/>
      <c r="DB368" s="19"/>
      <c r="DC368" s="19"/>
      <c r="DD368" s="19"/>
      <c r="DE368" s="19"/>
      <c r="DF368" s="19"/>
      <c r="DG368" s="19"/>
      <c r="DH368" s="19"/>
      <c r="DI368" s="19"/>
      <c r="DJ368" s="19"/>
      <c r="DK368" s="19"/>
      <c r="DL368" s="19"/>
      <c r="DM368" s="19"/>
      <c r="DN368" s="19"/>
      <c r="DO368" s="19"/>
      <c r="DP368" s="19"/>
      <c r="DQ368" s="19"/>
      <c r="DR368" s="19"/>
      <c r="DS368" s="19"/>
      <c r="DT368" s="19"/>
      <c r="DU368" s="19"/>
      <c r="DV368" s="19"/>
      <c r="DW368" s="19"/>
      <c r="DX368" s="19"/>
      <c r="DY368" s="19"/>
      <c r="DZ368" s="19"/>
      <c r="EA368" s="19"/>
      <c r="EB368" s="19"/>
      <c r="EC368" s="19"/>
      <c r="ED368" s="19"/>
      <c r="EE368" s="19"/>
      <c r="EF368" s="19"/>
      <c r="EG368" s="19"/>
      <c r="EH368" s="19"/>
      <c r="EI368" s="19"/>
      <c r="EJ368" s="19"/>
      <c r="EK368" s="19"/>
      <c r="EL368" s="19"/>
      <c r="EM368" s="19"/>
      <c r="EN368" s="19"/>
      <c r="EO368" s="19"/>
      <c r="EP368" s="19"/>
      <c r="EQ368" s="19"/>
      <c r="ER368" s="19"/>
      <c r="ES368" s="19"/>
      <c r="ET368" s="19"/>
      <c r="EU368" s="19"/>
      <c r="EV368" s="19"/>
      <c r="EW368" s="19"/>
      <c r="EX368" s="19"/>
      <c r="EY368" s="19"/>
      <c r="EZ368" s="19"/>
      <c r="FA368" s="19"/>
      <c r="FB368" s="19"/>
      <c r="FC368" s="19"/>
      <c r="FD368" s="19"/>
      <c r="FE368" s="19"/>
      <c r="FF368" s="19"/>
      <c r="FG368" s="19"/>
      <c r="FH368" s="19"/>
      <c r="FI368" s="19"/>
      <c r="FJ368" s="19"/>
      <c r="FK368" s="19"/>
      <c r="FL368" s="19"/>
      <c r="FM368" s="19"/>
      <c r="FN368" s="19"/>
      <c r="FO368" s="19"/>
      <c r="FP368" s="19"/>
      <c r="FQ368" s="19"/>
      <c r="FR368" s="19"/>
      <c r="FS368" s="19"/>
      <c r="FT368" s="19"/>
      <c r="FU368" s="19"/>
      <c r="FV368" s="19"/>
      <c r="FW368" s="19"/>
      <c r="FX368" s="19"/>
      <c r="FY368" s="19"/>
      <c r="FZ368" s="19"/>
      <c r="GA368" s="19"/>
      <c r="GB368" s="19"/>
      <c r="GC368" s="19"/>
      <c r="GD368" s="19"/>
      <c r="GE368" s="19"/>
      <c r="GF368" s="19"/>
      <c r="GG368" s="19"/>
      <c r="GH368" s="19"/>
      <c r="GI368" s="19"/>
      <c r="GJ368" s="19"/>
      <c r="GK368" s="19"/>
      <c r="GL368" s="19"/>
      <c r="GM368" s="19"/>
      <c r="GN368" s="19"/>
      <c r="GO368" s="19"/>
      <c r="GP368" s="19"/>
      <c r="GQ368" s="19"/>
      <c r="GR368" s="19"/>
      <c r="GS368" s="19"/>
      <c r="GT368" s="19"/>
      <c r="GU368" s="19"/>
      <c r="GV368" s="19"/>
      <c r="GW368" s="19"/>
      <c r="GX368" s="19"/>
      <c r="GY368" s="19"/>
      <c r="GZ368" s="19"/>
      <c r="HA368" s="19"/>
      <c r="HB368" s="19"/>
    </row>
    <row r="369" spans="1:210" x14ac:dyDescent="0.25">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c r="BE369" s="19"/>
      <c r="BF369" s="19"/>
      <c r="BG369" s="19"/>
      <c r="BH369" s="19"/>
      <c r="BI369" s="19"/>
      <c r="BJ369" s="19"/>
      <c r="BK369" s="19"/>
      <c r="BL369" s="19"/>
      <c r="BM369" s="19"/>
      <c r="BN369" s="19"/>
      <c r="BO369" s="19"/>
      <c r="BP369" s="19"/>
      <c r="BQ369" s="19"/>
      <c r="BR369" s="19"/>
      <c r="BS369" s="19"/>
      <c r="BT369" s="19"/>
      <c r="BU369" s="19"/>
      <c r="BV369" s="19"/>
      <c r="BW369" s="19"/>
      <c r="BX369" s="19"/>
      <c r="BY369" s="19"/>
      <c r="BZ369" s="19"/>
      <c r="CA369" s="19"/>
      <c r="CB369" s="19"/>
      <c r="CC369" s="19"/>
      <c r="CD369" s="19"/>
      <c r="CE369" s="19"/>
      <c r="CF369" s="19"/>
      <c r="CG369" s="19"/>
      <c r="CH369" s="19"/>
      <c r="CI369" s="19"/>
      <c r="CJ369" s="19"/>
      <c r="CK369" s="19"/>
      <c r="CL369" s="19"/>
      <c r="CM369" s="19"/>
      <c r="CN369" s="19"/>
      <c r="CO369" s="19"/>
      <c r="CP369" s="19"/>
      <c r="CQ369" s="19"/>
      <c r="CR369" s="19"/>
      <c r="CS369" s="19"/>
      <c r="CT369" s="19"/>
      <c r="CU369" s="19"/>
      <c r="CV369" s="19"/>
      <c r="CW369" s="19"/>
      <c r="CX369" s="19"/>
      <c r="CY369" s="19"/>
      <c r="CZ369" s="19"/>
      <c r="DA369" s="19"/>
      <c r="DB369" s="19"/>
      <c r="DC369" s="19"/>
      <c r="DD369" s="19"/>
      <c r="DE369" s="19"/>
      <c r="DF369" s="19"/>
      <c r="DG369" s="19"/>
      <c r="DH369" s="19"/>
      <c r="DI369" s="19"/>
      <c r="DJ369" s="19"/>
      <c r="DK369" s="19"/>
      <c r="DL369" s="19"/>
      <c r="DM369" s="19"/>
      <c r="DN369" s="19"/>
      <c r="DO369" s="19"/>
      <c r="DP369" s="19"/>
      <c r="DQ369" s="19"/>
      <c r="DR369" s="19"/>
      <c r="DS369" s="19"/>
      <c r="DT369" s="19"/>
      <c r="DU369" s="19"/>
      <c r="DV369" s="19"/>
      <c r="DW369" s="19"/>
      <c r="DX369" s="19"/>
      <c r="DY369" s="19"/>
      <c r="DZ369" s="19"/>
      <c r="EA369" s="19"/>
      <c r="EB369" s="19"/>
      <c r="EC369" s="19"/>
      <c r="ED369" s="19"/>
      <c r="EE369" s="19"/>
      <c r="EF369" s="19"/>
      <c r="EG369" s="19"/>
      <c r="EH369" s="19"/>
      <c r="EI369" s="19"/>
      <c r="EJ369" s="19"/>
      <c r="EK369" s="19"/>
      <c r="EL369" s="19"/>
      <c r="EM369" s="19"/>
      <c r="EN369" s="19"/>
      <c r="EO369" s="19"/>
      <c r="EP369" s="19"/>
      <c r="EQ369" s="19"/>
      <c r="ER369" s="19"/>
      <c r="ES369" s="19"/>
      <c r="ET369" s="19"/>
      <c r="EU369" s="19"/>
      <c r="EV369" s="19"/>
      <c r="EW369" s="19"/>
      <c r="EX369" s="19"/>
      <c r="EY369" s="19"/>
      <c r="EZ369" s="19"/>
      <c r="FA369" s="19"/>
      <c r="FB369" s="19"/>
      <c r="FC369" s="19"/>
      <c r="FD369" s="19"/>
      <c r="FE369" s="19"/>
      <c r="FF369" s="19"/>
      <c r="FG369" s="19"/>
      <c r="FH369" s="19"/>
      <c r="FI369" s="19"/>
      <c r="FJ369" s="19"/>
      <c r="FK369" s="19"/>
      <c r="FL369" s="19"/>
      <c r="FM369" s="19"/>
      <c r="FN369" s="19"/>
      <c r="FO369" s="19"/>
      <c r="FP369" s="19"/>
      <c r="FQ369" s="19"/>
      <c r="FR369" s="19"/>
      <c r="FS369" s="19"/>
      <c r="FT369" s="19"/>
      <c r="FU369" s="19"/>
      <c r="FV369" s="19"/>
      <c r="FW369" s="19"/>
      <c r="FX369" s="19"/>
      <c r="FY369" s="19"/>
      <c r="FZ369" s="19"/>
      <c r="GA369" s="19"/>
      <c r="GB369" s="19"/>
      <c r="GC369" s="19"/>
      <c r="GD369" s="19"/>
      <c r="GE369" s="19"/>
      <c r="GF369" s="19"/>
      <c r="GG369" s="19"/>
      <c r="GH369" s="19"/>
      <c r="GI369" s="19"/>
      <c r="GJ369" s="19"/>
      <c r="GK369" s="19"/>
      <c r="GL369" s="19"/>
      <c r="GM369" s="19"/>
      <c r="GN369" s="19"/>
      <c r="GO369" s="19"/>
      <c r="GP369" s="19"/>
      <c r="GQ369" s="19"/>
      <c r="GR369" s="19"/>
      <c r="GS369" s="19"/>
      <c r="GT369" s="19"/>
      <c r="GU369" s="19"/>
      <c r="GV369" s="19"/>
      <c r="GW369" s="19"/>
      <c r="GX369" s="19"/>
      <c r="GY369" s="19"/>
      <c r="GZ369" s="19"/>
      <c r="HA369" s="19"/>
      <c r="HB369" s="19"/>
    </row>
    <row r="370" spans="1:210" x14ac:dyDescent="0.25">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c r="BE370" s="19"/>
      <c r="BF370" s="19"/>
      <c r="BG370" s="19"/>
      <c r="BH370" s="19"/>
      <c r="BI370" s="19"/>
      <c r="BJ370" s="19"/>
      <c r="BK370" s="19"/>
      <c r="BL370" s="19"/>
      <c r="BM370" s="19"/>
      <c r="BN370" s="19"/>
      <c r="BO370" s="19"/>
      <c r="BP370" s="19"/>
      <c r="BQ370" s="19"/>
      <c r="BR370" s="19"/>
      <c r="BS370" s="19"/>
      <c r="BT370" s="19"/>
      <c r="BU370" s="19"/>
      <c r="BV370" s="19"/>
      <c r="BW370" s="19"/>
      <c r="BX370" s="19"/>
      <c r="BY370" s="19"/>
      <c r="BZ370" s="19"/>
      <c r="CA370" s="19"/>
      <c r="CB370" s="19"/>
      <c r="CC370" s="19"/>
      <c r="CD370" s="19"/>
      <c r="CE370" s="19"/>
      <c r="CF370" s="19"/>
      <c r="CG370" s="19"/>
      <c r="CH370" s="19"/>
      <c r="CI370" s="19"/>
      <c r="CJ370" s="19"/>
      <c r="CK370" s="19"/>
      <c r="CL370" s="19"/>
      <c r="CM370" s="19"/>
      <c r="CN370" s="19"/>
      <c r="CO370" s="19"/>
      <c r="CP370" s="19"/>
      <c r="CQ370" s="19"/>
      <c r="CR370" s="19"/>
      <c r="CS370" s="19"/>
      <c r="CT370" s="19"/>
      <c r="CU370" s="19"/>
      <c r="CV370" s="19"/>
      <c r="CW370" s="19"/>
      <c r="CX370" s="19"/>
      <c r="CY370" s="19"/>
      <c r="CZ370" s="19"/>
      <c r="DA370" s="19"/>
      <c r="DB370" s="19"/>
      <c r="DC370" s="19"/>
      <c r="DD370" s="19"/>
      <c r="DE370" s="19"/>
      <c r="DF370" s="19"/>
      <c r="DG370" s="19"/>
      <c r="DH370" s="19"/>
      <c r="DI370" s="19"/>
      <c r="DJ370" s="19"/>
      <c r="DK370" s="19"/>
      <c r="DL370" s="19"/>
      <c r="DM370" s="19"/>
      <c r="DN370" s="19"/>
      <c r="DO370" s="19"/>
      <c r="DP370" s="19"/>
      <c r="DQ370" s="19"/>
      <c r="DR370" s="19"/>
      <c r="DS370" s="19"/>
      <c r="DT370" s="19"/>
      <c r="DU370" s="19"/>
      <c r="DV370" s="19"/>
      <c r="DW370" s="19"/>
      <c r="DX370" s="19"/>
      <c r="DY370" s="19"/>
      <c r="DZ370" s="19"/>
      <c r="EA370" s="19"/>
      <c r="EB370" s="19"/>
      <c r="EC370" s="19"/>
      <c r="ED370" s="19"/>
      <c r="EE370" s="19"/>
      <c r="EF370" s="19"/>
      <c r="EG370" s="19"/>
      <c r="EH370" s="19"/>
      <c r="EI370" s="19"/>
      <c r="EJ370" s="19"/>
      <c r="EK370" s="19"/>
      <c r="EL370" s="19"/>
      <c r="EM370" s="19"/>
      <c r="EN370" s="19"/>
      <c r="EO370" s="19"/>
      <c r="EP370" s="19"/>
      <c r="EQ370" s="19"/>
      <c r="ER370" s="19"/>
      <c r="ES370" s="19"/>
      <c r="ET370" s="19"/>
      <c r="EU370" s="19"/>
      <c r="EV370" s="19"/>
      <c r="EW370" s="19"/>
      <c r="EX370" s="19"/>
      <c r="EY370" s="19"/>
      <c r="EZ370" s="19"/>
      <c r="FA370" s="19"/>
      <c r="FB370" s="19"/>
      <c r="FC370" s="19"/>
      <c r="FD370" s="19"/>
      <c r="FE370" s="19"/>
      <c r="FF370" s="19"/>
      <c r="FG370" s="19"/>
      <c r="FH370" s="19"/>
      <c r="FI370" s="19"/>
      <c r="FJ370" s="19"/>
      <c r="FK370" s="19"/>
      <c r="FL370" s="19"/>
      <c r="FM370" s="19"/>
      <c r="FN370" s="19"/>
      <c r="FO370" s="19"/>
      <c r="FP370" s="19"/>
      <c r="FQ370" s="19"/>
      <c r="FR370" s="19"/>
      <c r="FS370" s="19"/>
      <c r="FT370" s="19"/>
      <c r="FU370" s="19"/>
      <c r="FV370" s="19"/>
      <c r="FW370" s="19"/>
      <c r="FX370" s="19"/>
      <c r="FY370" s="19"/>
      <c r="FZ370" s="19"/>
      <c r="GA370" s="19"/>
      <c r="GB370" s="19"/>
      <c r="GC370" s="19"/>
      <c r="GD370" s="19"/>
      <c r="GE370" s="19"/>
      <c r="GF370" s="19"/>
      <c r="GG370" s="19"/>
      <c r="GH370" s="19"/>
      <c r="GI370" s="19"/>
      <c r="GJ370" s="19"/>
      <c r="GK370" s="19"/>
      <c r="GL370" s="19"/>
      <c r="GM370" s="19"/>
      <c r="GN370" s="19"/>
      <c r="GO370" s="19"/>
      <c r="GP370" s="19"/>
      <c r="GQ370" s="19"/>
      <c r="GR370" s="19"/>
      <c r="GS370" s="19"/>
      <c r="GT370" s="19"/>
      <c r="GU370" s="19"/>
      <c r="GV370" s="19"/>
      <c r="GW370" s="19"/>
      <c r="GX370" s="19"/>
      <c r="GY370" s="19"/>
      <c r="GZ370" s="19"/>
      <c r="HA370" s="19"/>
      <c r="HB370" s="19"/>
    </row>
    <row r="371" spans="1:210" x14ac:dyDescent="0.25">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c r="BE371" s="19"/>
      <c r="BF371" s="19"/>
      <c r="BG371" s="19"/>
      <c r="BH371" s="19"/>
      <c r="BI371" s="19"/>
      <c r="BJ371" s="19"/>
      <c r="BK371" s="19"/>
      <c r="BL371" s="19"/>
      <c r="BM371" s="19"/>
      <c r="BN371" s="19"/>
      <c r="BO371" s="19"/>
      <c r="BP371" s="19"/>
      <c r="BQ371" s="19"/>
      <c r="BR371" s="19"/>
      <c r="BS371" s="19"/>
      <c r="BT371" s="19"/>
      <c r="BU371" s="19"/>
      <c r="BV371" s="19"/>
      <c r="BW371" s="19"/>
      <c r="BX371" s="19"/>
      <c r="BY371" s="19"/>
      <c r="BZ371" s="19"/>
      <c r="CA371" s="19"/>
      <c r="CB371" s="19"/>
      <c r="CC371" s="19"/>
      <c r="CD371" s="19"/>
      <c r="CE371" s="19"/>
      <c r="CF371" s="19"/>
      <c r="CG371" s="19"/>
      <c r="CH371" s="19"/>
      <c r="CI371" s="19"/>
      <c r="CJ371" s="19"/>
      <c r="CK371" s="19"/>
      <c r="CL371" s="19"/>
      <c r="CM371" s="19"/>
      <c r="CN371" s="19"/>
      <c r="CO371" s="19"/>
      <c r="CP371" s="19"/>
      <c r="CQ371" s="19"/>
      <c r="CR371" s="19"/>
      <c r="CS371" s="19"/>
      <c r="CT371" s="19"/>
      <c r="CU371" s="19"/>
      <c r="CV371" s="19"/>
      <c r="CW371" s="19"/>
      <c r="CX371" s="19"/>
      <c r="CY371" s="19"/>
      <c r="CZ371" s="19"/>
      <c r="DA371" s="19"/>
      <c r="DB371" s="19"/>
      <c r="DC371" s="19"/>
      <c r="DD371" s="19"/>
      <c r="DE371" s="19"/>
      <c r="DF371" s="19"/>
      <c r="DG371" s="19"/>
      <c r="DH371" s="19"/>
      <c r="DI371" s="19"/>
      <c r="DJ371" s="19"/>
      <c r="DK371" s="19"/>
      <c r="DL371" s="19"/>
      <c r="DM371" s="19"/>
      <c r="DN371" s="19"/>
      <c r="DO371" s="19"/>
      <c r="DP371" s="19"/>
      <c r="DQ371" s="19"/>
      <c r="DR371" s="19"/>
      <c r="DS371" s="19"/>
      <c r="DT371" s="19"/>
      <c r="DU371" s="19"/>
      <c r="DV371" s="19"/>
      <c r="DW371" s="19"/>
      <c r="DX371" s="19"/>
      <c r="DY371" s="19"/>
      <c r="DZ371" s="19"/>
      <c r="EA371" s="19"/>
      <c r="EB371" s="19"/>
      <c r="EC371" s="19"/>
      <c r="ED371" s="19"/>
      <c r="EE371" s="19"/>
      <c r="EF371" s="19"/>
      <c r="EG371" s="19"/>
      <c r="EH371" s="19"/>
      <c r="EI371" s="19"/>
      <c r="EJ371" s="19"/>
      <c r="EK371" s="19"/>
      <c r="EL371" s="19"/>
      <c r="EM371" s="19"/>
      <c r="EN371" s="19"/>
      <c r="EO371" s="19"/>
      <c r="EP371" s="19"/>
      <c r="EQ371" s="19"/>
      <c r="ER371" s="19"/>
      <c r="ES371" s="19"/>
      <c r="ET371" s="19"/>
      <c r="EU371" s="19"/>
      <c r="EV371" s="19"/>
      <c r="EW371" s="19"/>
      <c r="EX371" s="19"/>
      <c r="EY371" s="19"/>
      <c r="EZ371" s="19"/>
      <c r="FA371" s="19"/>
      <c r="FB371" s="19"/>
      <c r="FC371" s="19"/>
      <c r="FD371" s="19"/>
      <c r="FE371" s="19"/>
      <c r="FF371" s="19"/>
      <c r="FG371" s="19"/>
      <c r="FH371" s="19"/>
      <c r="FI371" s="19"/>
      <c r="FJ371" s="19"/>
      <c r="FK371" s="19"/>
      <c r="FL371" s="19"/>
      <c r="FM371" s="19"/>
      <c r="FN371" s="19"/>
      <c r="FO371" s="19"/>
      <c r="FP371" s="19"/>
      <c r="FQ371" s="19"/>
      <c r="FR371" s="19"/>
      <c r="FS371" s="19"/>
      <c r="FT371" s="19"/>
      <c r="FU371" s="19"/>
      <c r="FV371" s="19"/>
      <c r="FW371" s="19"/>
      <c r="FX371" s="19"/>
      <c r="FY371" s="19"/>
      <c r="FZ371" s="19"/>
      <c r="GA371" s="19"/>
      <c r="GB371" s="19"/>
      <c r="GC371" s="19"/>
      <c r="GD371" s="19"/>
      <c r="GE371" s="19"/>
      <c r="GF371" s="19"/>
      <c r="GG371" s="19"/>
      <c r="GH371" s="19"/>
      <c r="GI371" s="19"/>
      <c r="GJ371" s="19"/>
      <c r="GK371" s="19"/>
      <c r="GL371" s="19"/>
      <c r="GM371" s="19"/>
      <c r="GN371" s="19"/>
      <c r="GO371" s="19"/>
      <c r="GP371" s="19"/>
      <c r="GQ371" s="19"/>
      <c r="GR371" s="19"/>
      <c r="GS371" s="19"/>
      <c r="GT371" s="19"/>
      <c r="GU371" s="19"/>
      <c r="GV371" s="19"/>
      <c r="GW371" s="19"/>
      <c r="GX371" s="19"/>
      <c r="GY371" s="19"/>
      <c r="GZ371" s="19"/>
      <c r="HA371" s="19"/>
      <c r="HB371" s="19"/>
    </row>
    <row r="372" spans="1:210" x14ac:dyDescent="0.25">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c r="BE372" s="19"/>
      <c r="BF372" s="19"/>
      <c r="BG372" s="19"/>
      <c r="BH372" s="19"/>
      <c r="BI372" s="19"/>
      <c r="BJ372" s="19"/>
      <c r="BK372" s="19"/>
      <c r="BL372" s="19"/>
      <c r="BM372" s="19"/>
      <c r="BN372" s="19"/>
      <c r="BO372" s="19"/>
      <c r="BP372" s="19"/>
      <c r="BQ372" s="19"/>
      <c r="BR372" s="19"/>
      <c r="BS372" s="19"/>
      <c r="BT372" s="19"/>
      <c r="BU372" s="19"/>
      <c r="BV372" s="19"/>
      <c r="BW372" s="19"/>
      <c r="BX372" s="19"/>
      <c r="BY372" s="19"/>
      <c r="BZ372" s="19"/>
      <c r="CA372" s="19"/>
      <c r="CB372" s="19"/>
      <c r="CC372" s="19"/>
      <c r="CD372" s="19"/>
      <c r="CE372" s="19"/>
      <c r="CF372" s="19"/>
      <c r="CG372" s="19"/>
      <c r="CH372" s="19"/>
      <c r="CI372" s="19"/>
      <c r="CJ372" s="19"/>
      <c r="CK372" s="19"/>
      <c r="CL372" s="19"/>
      <c r="CM372" s="19"/>
      <c r="CN372" s="19"/>
      <c r="CO372" s="19"/>
      <c r="CP372" s="19"/>
      <c r="CQ372" s="19"/>
      <c r="CR372" s="19"/>
      <c r="CS372" s="19"/>
      <c r="CT372" s="19"/>
      <c r="CU372" s="19"/>
      <c r="CV372" s="19"/>
      <c r="CW372" s="19"/>
      <c r="CX372" s="19"/>
      <c r="CY372" s="19"/>
      <c r="CZ372" s="19"/>
      <c r="DA372" s="19"/>
      <c r="DB372" s="19"/>
      <c r="DC372" s="19"/>
      <c r="DD372" s="19"/>
      <c r="DE372" s="19"/>
      <c r="DF372" s="19"/>
      <c r="DG372" s="19"/>
      <c r="DH372" s="19"/>
      <c r="DI372" s="19"/>
      <c r="DJ372" s="19"/>
      <c r="DK372" s="19"/>
      <c r="DL372" s="19"/>
      <c r="DM372" s="19"/>
      <c r="DN372" s="19"/>
      <c r="DO372" s="19"/>
      <c r="DP372" s="19"/>
      <c r="DQ372" s="19"/>
      <c r="DR372" s="19"/>
      <c r="DS372" s="19"/>
      <c r="DT372" s="19"/>
      <c r="DU372" s="19"/>
      <c r="DV372" s="19"/>
      <c r="DW372" s="19"/>
      <c r="DX372" s="19"/>
      <c r="DY372" s="19"/>
      <c r="DZ372" s="19"/>
      <c r="EA372" s="19"/>
      <c r="EB372" s="19"/>
      <c r="EC372" s="19"/>
      <c r="ED372" s="19"/>
      <c r="EE372" s="19"/>
      <c r="EF372" s="19"/>
      <c r="EG372" s="19"/>
      <c r="EH372" s="19"/>
      <c r="EI372" s="19"/>
      <c r="EJ372" s="19"/>
      <c r="EK372" s="19"/>
      <c r="EL372" s="19"/>
      <c r="EM372" s="19"/>
      <c r="EN372" s="19"/>
      <c r="EO372" s="19"/>
      <c r="EP372" s="19"/>
      <c r="EQ372" s="19"/>
      <c r="ER372" s="19"/>
      <c r="ES372" s="19"/>
      <c r="ET372" s="19"/>
      <c r="EU372" s="19"/>
      <c r="EV372" s="19"/>
      <c r="EW372" s="19"/>
      <c r="EX372" s="19"/>
      <c r="EY372" s="19"/>
      <c r="EZ372" s="19"/>
      <c r="FA372" s="19"/>
      <c r="FB372" s="19"/>
      <c r="FC372" s="19"/>
      <c r="FD372" s="19"/>
      <c r="FE372" s="19"/>
      <c r="FF372" s="19"/>
      <c r="FG372" s="19"/>
      <c r="FH372" s="19"/>
      <c r="FI372" s="19"/>
      <c r="FJ372" s="19"/>
      <c r="FK372" s="19"/>
      <c r="FL372" s="19"/>
      <c r="FM372" s="19"/>
      <c r="FN372" s="19"/>
      <c r="FO372" s="19"/>
      <c r="FP372" s="19"/>
      <c r="FQ372" s="19"/>
      <c r="FR372" s="19"/>
      <c r="FS372" s="19"/>
      <c r="FT372" s="19"/>
      <c r="FU372" s="19"/>
      <c r="FV372" s="19"/>
      <c r="FW372" s="19"/>
      <c r="FX372" s="19"/>
      <c r="FY372" s="19"/>
      <c r="FZ372" s="19"/>
      <c r="GA372" s="19"/>
      <c r="GB372" s="19"/>
      <c r="GC372" s="19"/>
      <c r="GD372" s="19"/>
      <c r="GE372" s="19"/>
      <c r="GF372" s="19"/>
      <c r="GG372" s="19"/>
      <c r="GH372" s="19"/>
      <c r="GI372" s="19"/>
      <c r="GJ372" s="19"/>
      <c r="GK372" s="19"/>
      <c r="GL372" s="19"/>
      <c r="GM372" s="19"/>
      <c r="GN372" s="19"/>
      <c r="GO372" s="19"/>
      <c r="GP372" s="19"/>
      <c r="GQ372" s="19"/>
      <c r="GR372" s="19"/>
      <c r="GS372" s="19"/>
      <c r="GT372" s="19"/>
      <c r="GU372" s="19"/>
      <c r="GV372" s="19"/>
      <c r="GW372" s="19"/>
      <c r="GX372" s="19"/>
      <c r="GY372" s="19"/>
      <c r="GZ372" s="19"/>
      <c r="HA372" s="19"/>
      <c r="HB372" s="19"/>
    </row>
    <row r="373" spans="1:210" x14ac:dyDescent="0.25">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c r="BE373" s="19"/>
      <c r="BF373" s="19"/>
      <c r="BG373" s="19"/>
      <c r="BH373" s="19"/>
      <c r="BI373" s="19"/>
      <c r="BJ373" s="19"/>
      <c r="BK373" s="19"/>
      <c r="BL373" s="19"/>
      <c r="BM373" s="19"/>
      <c r="BN373" s="19"/>
      <c r="BO373" s="19"/>
      <c r="BP373" s="19"/>
      <c r="BQ373" s="19"/>
      <c r="BR373" s="19"/>
      <c r="BS373" s="19"/>
      <c r="BT373" s="19"/>
      <c r="BU373" s="19"/>
      <c r="BV373" s="19"/>
      <c r="BW373" s="19"/>
      <c r="BX373" s="19"/>
      <c r="BY373" s="19"/>
      <c r="BZ373" s="19"/>
      <c r="CA373" s="19"/>
      <c r="CB373" s="19"/>
      <c r="CC373" s="19"/>
      <c r="CD373" s="19"/>
      <c r="CE373" s="19"/>
      <c r="CF373" s="19"/>
      <c r="CG373" s="19"/>
      <c r="CH373" s="19"/>
      <c r="CI373" s="19"/>
      <c r="CJ373" s="19"/>
      <c r="CK373" s="19"/>
      <c r="CL373" s="19"/>
      <c r="CM373" s="19"/>
      <c r="CN373" s="19"/>
      <c r="CO373" s="19"/>
      <c r="CP373" s="19"/>
      <c r="CQ373" s="19"/>
      <c r="CR373" s="19"/>
      <c r="CS373" s="19"/>
      <c r="CT373" s="19"/>
      <c r="CU373" s="19"/>
      <c r="CV373" s="19"/>
      <c r="CW373" s="19"/>
      <c r="CX373" s="19"/>
      <c r="CY373" s="19"/>
      <c r="CZ373" s="19"/>
      <c r="DA373" s="19"/>
      <c r="DB373" s="19"/>
      <c r="DC373" s="19"/>
      <c r="DD373" s="19"/>
      <c r="DE373" s="19"/>
      <c r="DF373" s="19"/>
      <c r="DG373" s="19"/>
      <c r="DH373" s="19"/>
      <c r="DI373" s="19"/>
      <c r="DJ373" s="19"/>
      <c r="DK373" s="19"/>
      <c r="DL373" s="19"/>
      <c r="DM373" s="19"/>
      <c r="DN373" s="19"/>
      <c r="DO373" s="19"/>
      <c r="DP373" s="19"/>
      <c r="DQ373" s="19"/>
      <c r="DR373" s="19"/>
      <c r="DS373" s="19"/>
      <c r="DT373" s="19"/>
      <c r="DU373" s="19"/>
      <c r="DV373" s="19"/>
      <c r="DW373" s="19"/>
      <c r="DX373" s="19"/>
      <c r="DY373" s="19"/>
      <c r="DZ373" s="19"/>
      <c r="EA373" s="19"/>
      <c r="EB373" s="19"/>
      <c r="EC373" s="19"/>
      <c r="ED373" s="19"/>
      <c r="EE373" s="19"/>
      <c r="EF373" s="19"/>
      <c r="EG373" s="19"/>
      <c r="EH373" s="19"/>
      <c r="EI373" s="19"/>
      <c r="EJ373" s="19"/>
      <c r="EK373" s="19"/>
      <c r="EL373" s="19"/>
      <c r="EM373" s="19"/>
      <c r="EN373" s="19"/>
      <c r="EO373" s="19"/>
      <c r="EP373" s="19"/>
      <c r="EQ373" s="19"/>
      <c r="ER373" s="19"/>
      <c r="ES373" s="19"/>
      <c r="ET373" s="19"/>
      <c r="EU373" s="19"/>
      <c r="EV373" s="19"/>
      <c r="EW373" s="19"/>
      <c r="EX373" s="19"/>
      <c r="EY373" s="19"/>
      <c r="EZ373" s="19"/>
      <c r="FA373" s="19"/>
      <c r="FB373" s="19"/>
      <c r="FC373" s="19"/>
      <c r="FD373" s="19"/>
      <c r="FE373" s="19"/>
      <c r="FF373" s="19"/>
      <c r="FG373" s="19"/>
      <c r="FH373" s="19"/>
      <c r="FI373" s="19"/>
      <c r="FJ373" s="19"/>
      <c r="FK373" s="19"/>
      <c r="FL373" s="19"/>
      <c r="FM373" s="19"/>
      <c r="FN373" s="19"/>
      <c r="FO373" s="19"/>
      <c r="FP373" s="19"/>
      <c r="FQ373" s="19"/>
      <c r="FR373" s="19"/>
      <c r="FS373" s="19"/>
      <c r="FT373" s="19"/>
      <c r="FU373" s="19"/>
      <c r="FV373" s="19"/>
      <c r="FW373" s="19"/>
      <c r="FX373" s="19"/>
      <c r="FY373" s="19"/>
      <c r="FZ373" s="19"/>
      <c r="GA373" s="19"/>
      <c r="GB373" s="19"/>
      <c r="GC373" s="19"/>
      <c r="GD373" s="19"/>
      <c r="GE373" s="19"/>
      <c r="GF373" s="19"/>
      <c r="GG373" s="19"/>
      <c r="GH373" s="19"/>
      <c r="GI373" s="19"/>
      <c r="GJ373" s="19"/>
      <c r="GK373" s="19"/>
      <c r="GL373" s="19"/>
      <c r="GM373" s="19"/>
      <c r="GN373" s="19"/>
      <c r="GO373" s="19"/>
      <c r="GP373" s="19"/>
      <c r="GQ373" s="19"/>
      <c r="GR373" s="19"/>
      <c r="GS373" s="19"/>
      <c r="GT373" s="19"/>
      <c r="GU373" s="19"/>
      <c r="GV373" s="19"/>
      <c r="GW373" s="19"/>
      <c r="GX373" s="19"/>
      <c r="GY373" s="19"/>
      <c r="GZ373" s="19"/>
      <c r="HA373" s="19"/>
      <c r="HB373" s="19"/>
    </row>
    <row r="374" spans="1:210" x14ac:dyDescent="0.25">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c r="BE374" s="19"/>
      <c r="BF374" s="19"/>
      <c r="BG374" s="19"/>
      <c r="BH374" s="19"/>
      <c r="BI374" s="19"/>
      <c r="BJ374" s="19"/>
      <c r="BK374" s="19"/>
      <c r="BL374" s="19"/>
      <c r="BM374" s="19"/>
      <c r="BN374" s="19"/>
      <c r="BO374" s="19"/>
      <c r="BP374" s="19"/>
      <c r="BQ374" s="19"/>
      <c r="BR374" s="19"/>
      <c r="BS374" s="19"/>
      <c r="BT374" s="19"/>
      <c r="BU374" s="19"/>
      <c r="BV374" s="19"/>
      <c r="BW374" s="19"/>
      <c r="BX374" s="19"/>
      <c r="BY374" s="19"/>
      <c r="BZ374" s="19"/>
      <c r="CA374" s="19"/>
      <c r="CB374" s="19"/>
      <c r="CC374" s="19"/>
      <c r="CD374" s="19"/>
      <c r="CE374" s="19"/>
      <c r="CF374" s="19"/>
      <c r="CG374" s="19"/>
      <c r="CH374" s="19"/>
      <c r="CI374" s="19"/>
      <c r="CJ374" s="19"/>
      <c r="CK374" s="19"/>
      <c r="CL374" s="19"/>
      <c r="CM374" s="19"/>
      <c r="CN374" s="19"/>
      <c r="CO374" s="19"/>
      <c r="CP374" s="19"/>
      <c r="CQ374" s="19"/>
      <c r="CR374" s="19"/>
      <c r="CS374" s="19"/>
      <c r="CT374" s="19"/>
      <c r="CU374" s="19"/>
      <c r="CV374" s="19"/>
      <c r="CW374" s="19"/>
      <c r="CX374" s="19"/>
      <c r="CY374" s="19"/>
      <c r="CZ374" s="19"/>
      <c r="DA374" s="19"/>
      <c r="DB374" s="19"/>
      <c r="DC374" s="19"/>
      <c r="DD374" s="19"/>
      <c r="DE374" s="19"/>
      <c r="DF374" s="19"/>
      <c r="DG374" s="19"/>
      <c r="DH374" s="19"/>
      <c r="DI374" s="19"/>
      <c r="DJ374" s="19"/>
      <c r="DK374" s="19"/>
      <c r="DL374" s="19"/>
      <c r="DM374" s="19"/>
      <c r="DN374" s="19"/>
      <c r="DO374" s="19"/>
      <c r="DP374" s="19"/>
      <c r="DQ374" s="19"/>
      <c r="DR374" s="19"/>
      <c r="DS374" s="19"/>
      <c r="DT374" s="19"/>
      <c r="DU374" s="19"/>
      <c r="DV374" s="19"/>
      <c r="DW374" s="19"/>
      <c r="DX374" s="19"/>
      <c r="DY374" s="19"/>
      <c r="DZ374" s="19"/>
      <c r="EA374" s="19"/>
      <c r="EB374" s="19"/>
      <c r="EC374" s="19"/>
      <c r="ED374" s="19"/>
      <c r="EE374" s="19"/>
      <c r="EF374" s="19"/>
      <c r="EG374" s="19"/>
      <c r="EH374" s="19"/>
      <c r="EI374" s="19"/>
      <c r="EJ374" s="19"/>
      <c r="EK374" s="19"/>
      <c r="EL374" s="19"/>
      <c r="EM374" s="19"/>
      <c r="EN374" s="19"/>
      <c r="EO374" s="19"/>
      <c r="EP374" s="19"/>
      <c r="EQ374" s="19"/>
      <c r="ER374" s="19"/>
      <c r="ES374" s="19"/>
      <c r="ET374" s="19"/>
      <c r="EU374" s="19"/>
      <c r="EV374" s="19"/>
      <c r="EW374" s="19"/>
      <c r="EX374" s="19"/>
      <c r="EY374" s="19"/>
      <c r="EZ374" s="19"/>
      <c r="FA374" s="19"/>
      <c r="FB374" s="19"/>
      <c r="FC374" s="19"/>
      <c r="FD374" s="19"/>
      <c r="FE374" s="19"/>
      <c r="FF374" s="19"/>
      <c r="FG374" s="19"/>
      <c r="FH374" s="19"/>
      <c r="FI374" s="19"/>
      <c r="FJ374" s="19"/>
      <c r="FK374" s="19"/>
      <c r="FL374" s="19"/>
      <c r="FM374" s="19"/>
      <c r="FN374" s="19"/>
      <c r="FO374" s="19"/>
      <c r="FP374" s="19"/>
      <c r="FQ374" s="19"/>
      <c r="FR374" s="19"/>
      <c r="FS374" s="19"/>
      <c r="FT374" s="19"/>
      <c r="FU374" s="19"/>
      <c r="FV374" s="19"/>
      <c r="FW374" s="19"/>
      <c r="FX374" s="19"/>
      <c r="FY374" s="19"/>
      <c r="FZ374" s="19"/>
      <c r="GA374" s="19"/>
      <c r="GB374" s="19"/>
      <c r="GC374" s="19"/>
      <c r="GD374" s="19"/>
      <c r="GE374" s="19"/>
      <c r="GF374" s="19"/>
      <c r="GG374" s="19"/>
      <c r="GH374" s="19"/>
      <c r="GI374" s="19"/>
      <c r="GJ374" s="19"/>
      <c r="GK374" s="19"/>
      <c r="GL374" s="19"/>
      <c r="GM374" s="19"/>
      <c r="GN374" s="19"/>
      <c r="GO374" s="19"/>
      <c r="GP374" s="19"/>
      <c r="GQ374" s="19"/>
      <c r="GR374" s="19"/>
      <c r="GS374" s="19"/>
      <c r="GT374" s="19"/>
      <c r="GU374" s="19"/>
      <c r="GV374" s="19"/>
      <c r="GW374" s="19"/>
      <c r="GX374" s="19"/>
      <c r="GY374" s="19"/>
      <c r="GZ374" s="19"/>
      <c r="HA374" s="19"/>
      <c r="HB374" s="19"/>
    </row>
    <row r="375" spans="1:210" x14ac:dyDescent="0.25">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c r="BE375" s="19"/>
      <c r="BF375" s="19"/>
      <c r="BG375" s="19"/>
      <c r="BH375" s="19"/>
      <c r="BI375" s="19"/>
      <c r="BJ375" s="19"/>
      <c r="BK375" s="19"/>
      <c r="BL375" s="19"/>
      <c r="BM375" s="19"/>
      <c r="BN375" s="19"/>
      <c r="BO375" s="19"/>
      <c r="BP375" s="19"/>
      <c r="BQ375" s="19"/>
      <c r="BR375" s="19"/>
      <c r="BS375" s="19"/>
      <c r="BT375" s="19"/>
      <c r="BU375" s="19"/>
      <c r="BV375" s="19"/>
      <c r="BW375" s="19"/>
      <c r="BX375" s="19"/>
      <c r="BY375" s="19"/>
      <c r="BZ375" s="19"/>
      <c r="CA375" s="19"/>
      <c r="CB375" s="19"/>
      <c r="CC375" s="19"/>
      <c r="CD375" s="19"/>
      <c r="CE375" s="19"/>
      <c r="CF375" s="19"/>
      <c r="CG375" s="19"/>
      <c r="CH375" s="19"/>
      <c r="CI375" s="19"/>
      <c r="CJ375" s="19"/>
      <c r="CK375" s="19"/>
      <c r="CL375" s="19"/>
      <c r="CM375" s="19"/>
      <c r="CN375" s="19"/>
      <c r="CO375" s="19"/>
      <c r="CP375" s="19"/>
      <c r="CQ375" s="19"/>
      <c r="CR375" s="19"/>
      <c r="CS375" s="19"/>
      <c r="CT375" s="19"/>
      <c r="CU375" s="19"/>
      <c r="CV375" s="19"/>
      <c r="CW375" s="19"/>
      <c r="CX375" s="19"/>
      <c r="CY375" s="19"/>
      <c r="CZ375" s="19"/>
      <c r="DA375" s="19"/>
      <c r="DB375" s="19"/>
      <c r="DC375" s="19"/>
      <c r="DD375" s="19"/>
      <c r="DE375" s="19"/>
      <c r="DF375" s="19"/>
      <c r="DG375" s="19"/>
      <c r="DH375" s="19"/>
      <c r="DI375" s="19"/>
      <c r="DJ375" s="19"/>
      <c r="DK375" s="19"/>
      <c r="DL375" s="19"/>
      <c r="DM375" s="19"/>
      <c r="DN375" s="19"/>
      <c r="DO375" s="19"/>
      <c r="DP375" s="19"/>
      <c r="DQ375" s="19"/>
      <c r="DR375" s="19"/>
      <c r="DS375" s="19"/>
      <c r="DT375" s="19"/>
      <c r="DU375" s="19"/>
      <c r="DV375" s="19"/>
      <c r="DW375" s="19"/>
      <c r="DX375" s="19"/>
      <c r="DY375" s="19"/>
      <c r="DZ375" s="19"/>
      <c r="EA375" s="19"/>
      <c r="EB375" s="19"/>
      <c r="EC375" s="19"/>
      <c r="ED375" s="19"/>
      <c r="EE375" s="19"/>
      <c r="EF375" s="19"/>
      <c r="EG375" s="19"/>
      <c r="EH375" s="19"/>
      <c r="EI375" s="19"/>
      <c r="EJ375" s="19"/>
      <c r="EK375" s="19"/>
      <c r="EL375" s="19"/>
      <c r="EM375" s="19"/>
      <c r="EN375" s="19"/>
      <c r="EO375" s="19"/>
      <c r="EP375" s="19"/>
      <c r="EQ375" s="19"/>
      <c r="ER375" s="19"/>
      <c r="ES375" s="19"/>
      <c r="ET375" s="19"/>
      <c r="EU375" s="19"/>
      <c r="EV375" s="19"/>
      <c r="EW375" s="19"/>
      <c r="EX375" s="19"/>
      <c r="EY375" s="19"/>
      <c r="EZ375" s="19"/>
      <c r="FA375" s="19"/>
      <c r="FB375" s="19"/>
      <c r="FC375" s="19"/>
      <c r="FD375" s="19"/>
      <c r="FE375" s="19"/>
      <c r="FF375" s="19"/>
      <c r="FG375" s="19"/>
      <c r="FH375" s="19"/>
      <c r="FI375" s="19"/>
      <c r="FJ375" s="19"/>
      <c r="FK375" s="19"/>
      <c r="FL375" s="19"/>
      <c r="FM375" s="19"/>
      <c r="FN375" s="19"/>
      <c r="FO375" s="19"/>
      <c r="FP375" s="19"/>
      <c r="FQ375" s="19"/>
      <c r="FR375" s="19"/>
      <c r="FS375" s="19"/>
      <c r="FT375" s="19"/>
      <c r="FU375" s="19"/>
      <c r="FV375" s="19"/>
      <c r="FW375" s="19"/>
      <c r="FX375" s="19"/>
      <c r="FY375" s="19"/>
      <c r="FZ375" s="19"/>
      <c r="GA375" s="19"/>
      <c r="GB375" s="19"/>
      <c r="GC375" s="19"/>
      <c r="GD375" s="19"/>
      <c r="GE375" s="19"/>
      <c r="GF375" s="19"/>
      <c r="GG375" s="19"/>
      <c r="GH375" s="19"/>
      <c r="GI375" s="19"/>
      <c r="GJ375" s="19"/>
      <c r="GK375" s="19"/>
      <c r="GL375" s="19"/>
      <c r="GM375" s="19"/>
      <c r="GN375" s="19"/>
      <c r="GO375" s="19"/>
      <c r="GP375" s="19"/>
      <c r="GQ375" s="19"/>
      <c r="GR375" s="19"/>
      <c r="GS375" s="19"/>
      <c r="GT375" s="19"/>
      <c r="GU375" s="19"/>
      <c r="GV375" s="19"/>
      <c r="GW375" s="19"/>
      <c r="GX375" s="19"/>
      <c r="GY375" s="19"/>
      <c r="GZ375" s="19"/>
      <c r="HA375" s="19"/>
      <c r="HB375" s="19"/>
    </row>
    <row r="376" spans="1:210" x14ac:dyDescent="0.25">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c r="BE376" s="19"/>
      <c r="BF376" s="19"/>
      <c r="BG376" s="19"/>
      <c r="BH376" s="19"/>
      <c r="BI376" s="19"/>
      <c r="BJ376" s="19"/>
      <c r="BK376" s="19"/>
      <c r="BL376" s="19"/>
      <c r="BM376" s="19"/>
      <c r="BN376" s="19"/>
      <c r="BO376" s="19"/>
      <c r="BP376" s="19"/>
      <c r="BQ376" s="19"/>
      <c r="BR376" s="19"/>
      <c r="BS376" s="19"/>
      <c r="BT376" s="19"/>
      <c r="BU376" s="19"/>
      <c r="BV376" s="19"/>
      <c r="BW376" s="19"/>
      <c r="BX376" s="19"/>
      <c r="BY376" s="19"/>
      <c r="BZ376" s="19"/>
      <c r="CA376" s="19"/>
      <c r="CB376" s="19"/>
      <c r="CC376" s="19"/>
      <c r="CD376" s="19"/>
      <c r="CE376" s="19"/>
      <c r="CF376" s="19"/>
      <c r="CG376" s="19"/>
      <c r="CH376" s="19"/>
      <c r="CI376" s="19"/>
      <c r="CJ376" s="19"/>
      <c r="CK376" s="19"/>
      <c r="CL376" s="19"/>
      <c r="CM376" s="19"/>
      <c r="CN376" s="19"/>
      <c r="CO376" s="19"/>
      <c r="CP376" s="19"/>
      <c r="CQ376" s="19"/>
      <c r="CR376" s="19"/>
      <c r="CS376" s="19"/>
      <c r="CT376" s="19"/>
      <c r="CU376" s="19"/>
      <c r="CV376" s="19"/>
      <c r="CW376" s="19"/>
      <c r="CX376" s="19"/>
      <c r="CY376" s="19"/>
      <c r="CZ376" s="19"/>
      <c r="DA376" s="19"/>
      <c r="DB376" s="19"/>
      <c r="DC376" s="19"/>
      <c r="DD376" s="19"/>
      <c r="DE376" s="19"/>
      <c r="DF376" s="19"/>
      <c r="DG376" s="19"/>
      <c r="DH376" s="19"/>
      <c r="DI376" s="19"/>
      <c r="DJ376" s="19"/>
      <c r="DK376" s="19"/>
      <c r="DL376" s="19"/>
      <c r="DM376" s="19"/>
      <c r="DN376" s="19"/>
      <c r="DO376" s="19"/>
      <c r="DP376" s="19"/>
      <c r="DQ376" s="19"/>
      <c r="DR376" s="19"/>
      <c r="DS376" s="19"/>
      <c r="DT376" s="19"/>
      <c r="DU376" s="19"/>
      <c r="DV376" s="19"/>
      <c r="DW376" s="19"/>
      <c r="DX376" s="19"/>
      <c r="DY376" s="19"/>
      <c r="DZ376" s="19"/>
      <c r="EA376" s="19"/>
      <c r="EB376" s="19"/>
      <c r="EC376" s="19"/>
      <c r="ED376" s="19"/>
      <c r="EE376" s="19"/>
      <c r="EF376" s="19"/>
      <c r="EG376" s="19"/>
      <c r="EH376" s="19"/>
      <c r="EI376" s="19"/>
      <c r="EJ376" s="19"/>
      <c r="EK376" s="19"/>
      <c r="EL376" s="19"/>
      <c r="EM376" s="19"/>
      <c r="EN376" s="19"/>
      <c r="EO376" s="19"/>
      <c r="EP376" s="19"/>
      <c r="EQ376" s="19"/>
      <c r="ER376" s="19"/>
      <c r="ES376" s="19"/>
      <c r="ET376" s="19"/>
      <c r="EU376" s="19"/>
      <c r="EV376" s="19"/>
      <c r="EW376" s="19"/>
      <c r="EX376" s="19"/>
      <c r="EY376" s="19"/>
      <c r="EZ376" s="19"/>
      <c r="FA376" s="19"/>
      <c r="FB376" s="19"/>
      <c r="FC376" s="19"/>
      <c r="FD376" s="19"/>
      <c r="FE376" s="19"/>
      <c r="FF376" s="19"/>
      <c r="FG376" s="19"/>
      <c r="FH376" s="19"/>
      <c r="FI376" s="19"/>
      <c r="FJ376" s="19"/>
      <c r="FK376" s="19"/>
      <c r="FL376" s="19"/>
      <c r="FM376" s="19"/>
      <c r="FN376" s="19"/>
      <c r="FO376" s="19"/>
      <c r="FP376" s="19"/>
      <c r="FQ376" s="19"/>
      <c r="FR376" s="19"/>
      <c r="FS376" s="19"/>
      <c r="FT376" s="19"/>
      <c r="FU376" s="19"/>
      <c r="FV376" s="19"/>
      <c r="FW376" s="19"/>
      <c r="FX376" s="19"/>
      <c r="FY376" s="19"/>
      <c r="FZ376" s="19"/>
      <c r="GA376" s="19"/>
      <c r="GB376" s="19"/>
      <c r="GC376" s="19"/>
      <c r="GD376" s="19"/>
      <c r="GE376" s="19"/>
      <c r="GF376" s="19"/>
      <c r="GG376" s="19"/>
      <c r="GH376" s="19"/>
      <c r="GI376" s="19"/>
      <c r="GJ376" s="19"/>
      <c r="GK376" s="19"/>
      <c r="GL376" s="19"/>
      <c r="GM376" s="19"/>
      <c r="GN376" s="19"/>
      <c r="GO376" s="19"/>
      <c r="GP376" s="19"/>
      <c r="GQ376" s="19"/>
      <c r="GR376" s="19"/>
      <c r="GS376" s="19"/>
      <c r="GT376" s="19"/>
      <c r="GU376" s="19"/>
      <c r="GV376" s="19"/>
      <c r="GW376" s="19"/>
      <c r="GX376" s="19"/>
      <c r="GY376" s="19"/>
      <c r="GZ376" s="19"/>
      <c r="HA376" s="19"/>
      <c r="HB376" s="19"/>
    </row>
    <row r="377" spans="1:210" x14ac:dyDescent="0.25">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c r="BE377" s="19"/>
      <c r="BF377" s="19"/>
      <c r="BG377" s="19"/>
      <c r="BH377" s="19"/>
      <c r="BI377" s="19"/>
      <c r="BJ377" s="19"/>
      <c r="BK377" s="19"/>
      <c r="BL377" s="19"/>
      <c r="BM377" s="19"/>
      <c r="BN377" s="19"/>
      <c r="BO377" s="19"/>
      <c r="BP377" s="19"/>
      <c r="BQ377" s="19"/>
      <c r="BR377" s="19"/>
      <c r="BS377" s="19"/>
      <c r="BT377" s="19"/>
      <c r="BU377" s="19"/>
      <c r="BV377" s="19"/>
      <c r="BW377" s="19"/>
      <c r="BX377" s="19"/>
      <c r="BY377" s="19"/>
      <c r="BZ377" s="19"/>
      <c r="CA377" s="19"/>
      <c r="CB377" s="19"/>
      <c r="CC377" s="19"/>
      <c r="CD377" s="19"/>
      <c r="CE377" s="19"/>
      <c r="CF377" s="19"/>
      <c r="CG377" s="19"/>
      <c r="CH377" s="19"/>
      <c r="CI377" s="19"/>
      <c r="CJ377" s="19"/>
      <c r="CK377" s="19"/>
      <c r="CL377" s="19"/>
      <c r="CM377" s="19"/>
      <c r="CN377" s="19"/>
      <c r="CO377" s="19"/>
      <c r="CP377" s="19"/>
      <c r="CQ377" s="19"/>
      <c r="CR377" s="19"/>
      <c r="CS377" s="19"/>
      <c r="CT377" s="19"/>
      <c r="CU377" s="19"/>
      <c r="CV377" s="19"/>
      <c r="CW377" s="19"/>
      <c r="CX377" s="19"/>
      <c r="CY377" s="19"/>
      <c r="CZ377" s="19"/>
      <c r="DA377" s="19"/>
      <c r="DB377" s="19"/>
      <c r="DC377" s="19"/>
      <c r="DD377" s="19"/>
      <c r="DE377" s="19"/>
      <c r="DF377" s="19"/>
      <c r="DG377" s="19"/>
      <c r="DH377" s="19"/>
      <c r="DI377" s="19"/>
      <c r="DJ377" s="19"/>
      <c r="DK377" s="19"/>
      <c r="DL377" s="19"/>
      <c r="DM377" s="19"/>
      <c r="DN377" s="19"/>
      <c r="DO377" s="19"/>
      <c r="DP377" s="19"/>
      <c r="DQ377" s="19"/>
      <c r="DR377" s="19"/>
      <c r="DS377" s="19"/>
      <c r="DT377" s="19"/>
      <c r="DU377" s="19"/>
      <c r="DV377" s="19"/>
      <c r="DW377" s="19"/>
      <c r="DX377" s="19"/>
      <c r="DY377" s="19"/>
      <c r="DZ377" s="19"/>
      <c r="EA377" s="19"/>
      <c r="EB377" s="19"/>
      <c r="EC377" s="19"/>
      <c r="ED377" s="19"/>
      <c r="EE377" s="19"/>
      <c r="EF377" s="19"/>
      <c r="EG377" s="19"/>
      <c r="EH377" s="19"/>
      <c r="EI377" s="19"/>
      <c r="EJ377" s="19"/>
      <c r="EK377" s="19"/>
      <c r="EL377" s="19"/>
      <c r="EM377" s="19"/>
      <c r="EN377" s="19"/>
      <c r="EO377" s="19"/>
      <c r="EP377" s="19"/>
      <c r="EQ377" s="19"/>
      <c r="ER377" s="19"/>
      <c r="ES377" s="19"/>
      <c r="ET377" s="19"/>
      <c r="EU377" s="19"/>
      <c r="EV377" s="19"/>
      <c r="EW377" s="19"/>
      <c r="EX377" s="19"/>
      <c r="EY377" s="19"/>
      <c r="EZ377" s="19"/>
      <c r="FA377" s="19"/>
      <c r="FB377" s="19"/>
      <c r="FC377" s="19"/>
      <c r="FD377" s="19"/>
      <c r="FE377" s="19"/>
      <c r="FF377" s="19"/>
      <c r="FG377" s="19"/>
      <c r="FH377" s="19"/>
      <c r="FI377" s="19"/>
      <c r="FJ377" s="19"/>
      <c r="FK377" s="19"/>
      <c r="FL377" s="19"/>
      <c r="FM377" s="19"/>
      <c r="FN377" s="19"/>
      <c r="FO377" s="19"/>
      <c r="FP377" s="19"/>
      <c r="FQ377" s="19"/>
      <c r="FR377" s="19"/>
      <c r="FS377" s="19"/>
      <c r="FT377" s="19"/>
      <c r="FU377" s="19"/>
      <c r="FV377" s="19"/>
      <c r="FW377" s="19"/>
      <c r="FX377" s="19"/>
      <c r="FY377" s="19"/>
      <c r="FZ377" s="19"/>
      <c r="GA377" s="19"/>
      <c r="GB377" s="19"/>
      <c r="GC377" s="19"/>
      <c r="GD377" s="19"/>
      <c r="GE377" s="19"/>
      <c r="GF377" s="19"/>
      <c r="GG377" s="19"/>
      <c r="GH377" s="19"/>
      <c r="GI377" s="19"/>
      <c r="GJ377" s="19"/>
      <c r="GK377" s="19"/>
      <c r="GL377" s="19"/>
      <c r="GM377" s="19"/>
      <c r="GN377" s="19"/>
      <c r="GO377" s="19"/>
      <c r="GP377" s="19"/>
      <c r="GQ377" s="19"/>
      <c r="GR377" s="19"/>
      <c r="GS377" s="19"/>
      <c r="GT377" s="19"/>
      <c r="GU377" s="19"/>
      <c r="GV377" s="19"/>
      <c r="GW377" s="19"/>
      <c r="GX377" s="19"/>
      <c r="GY377" s="19"/>
      <c r="GZ377" s="19"/>
      <c r="HA377" s="19"/>
      <c r="HB377" s="19"/>
    </row>
    <row r="378" spans="1:210" x14ac:dyDescent="0.25">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c r="BE378" s="19"/>
      <c r="BF378" s="19"/>
      <c r="BG378" s="19"/>
      <c r="BH378" s="19"/>
      <c r="BI378" s="19"/>
      <c r="BJ378" s="19"/>
      <c r="BK378" s="19"/>
      <c r="BL378" s="19"/>
      <c r="BM378" s="19"/>
      <c r="BN378" s="19"/>
      <c r="BO378" s="19"/>
      <c r="BP378" s="19"/>
      <c r="BQ378" s="19"/>
      <c r="BR378" s="19"/>
      <c r="BS378" s="19"/>
      <c r="BT378" s="19"/>
      <c r="BU378" s="19"/>
      <c r="BV378" s="19"/>
      <c r="BW378" s="19"/>
      <c r="BX378" s="19"/>
      <c r="BY378" s="19"/>
      <c r="BZ378" s="19"/>
      <c r="CA378" s="19"/>
      <c r="CB378" s="19"/>
      <c r="CC378" s="19"/>
      <c r="CD378" s="19"/>
      <c r="CE378" s="19"/>
      <c r="CF378" s="19"/>
      <c r="CG378" s="19"/>
      <c r="CH378" s="19"/>
      <c r="CI378" s="19"/>
      <c r="CJ378" s="19"/>
      <c r="CK378" s="19"/>
      <c r="CL378" s="19"/>
      <c r="CM378" s="19"/>
      <c r="CN378" s="19"/>
      <c r="CO378" s="19"/>
      <c r="CP378" s="19"/>
      <c r="CQ378" s="19"/>
      <c r="CR378" s="19"/>
      <c r="CS378" s="19"/>
      <c r="CT378" s="19"/>
      <c r="CU378" s="19"/>
      <c r="CV378" s="19"/>
      <c r="CW378" s="19"/>
      <c r="CX378" s="19"/>
      <c r="CY378" s="19"/>
      <c r="CZ378" s="19"/>
      <c r="DA378" s="19"/>
      <c r="DB378" s="19"/>
      <c r="DC378" s="19"/>
      <c r="DD378" s="19"/>
      <c r="DE378" s="19"/>
      <c r="DF378" s="19"/>
      <c r="DG378" s="19"/>
      <c r="DH378" s="19"/>
      <c r="DI378" s="19"/>
      <c r="DJ378" s="19"/>
      <c r="DK378" s="19"/>
      <c r="DL378" s="19"/>
      <c r="DM378" s="19"/>
      <c r="DN378" s="19"/>
      <c r="DO378" s="19"/>
      <c r="DP378" s="19"/>
      <c r="DQ378" s="19"/>
      <c r="DR378" s="19"/>
      <c r="DS378" s="19"/>
      <c r="DT378" s="19"/>
      <c r="DU378" s="19"/>
      <c r="DV378" s="19"/>
      <c r="DW378" s="19"/>
      <c r="DX378" s="19"/>
      <c r="DY378" s="19"/>
      <c r="DZ378" s="19"/>
      <c r="EA378" s="19"/>
      <c r="EB378" s="19"/>
      <c r="EC378" s="19"/>
      <c r="ED378" s="19"/>
      <c r="EE378" s="19"/>
      <c r="EF378" s="19"/>
      <c r="EG378" s="19"/>
      <c r="EH378" s="19"/>
      <c r="EI378" s="19"/>
      <c r="EJ378" s="19"/>
      <c r="EK378" s="19"/>
      <c r="EL378" s="19"/>
      <c r="EM378" s="19"/>
      <c r="EN378" s="19"/>
      <c r="EO378" s="19"/>
      <c r="EP378" s="19"/>
      <c r="EQ378" s="19"/>
      <c r="ER378" s="19"/>
      <c r="ES378" s="19"/>
      <c r="ET378" s="19"/>
      <c r="EU378" s="19"/>
      <c r="EV378" s="19"/>
      <c r="EW378" s="19"/>
      <c r="EX378" s="19"/>
      <c r="EY378" s="19"/>
      <c r="EZ378" s="19"/>
      <c r="FA378" s="19"/>
      <c r="FB378" s="19"/>
      <c r="FC378" s="19"/>
      <c r="FD378" s="19"/>
      <c r="FE378" s="19"/>
      <c r="FF378" s="19"/>
      <c r="FG378" s="19"/>
      <c r="FH378" s="19"/>
      <c r="FI378" s="19"/>
      <c r="FJ378" s="19"/>
      <c r="FK378" s="19"/>
      <c r="FL378" s="19"/>
      <c r="FM378" s="19"/>
      <c r="FN378" s="19"/>
      <c r="FO378" s="19"/>
      <c r="FP378" s="19"/>
      <c r="FQ378" s="19"/>
      <c r="FR378" s="19"/>
      <c r="FS378" s="19"/>
      <c r="FT378" s="19"/>
      <c r="FU378" s="19"/>
      <c r="FV378" s="19"/>
      <c r="FW378" s="19"/>
      <c r="FX378" s="19"/>
      <c r="FY378" s="19"/>
      <c r="FZ378" s="19"/>
      <c r="GA378" s="19"/>
      <c r="GB378" s="19"/>
      <c r="GC378" s="19"/>
      <c r="GD378" s="19"/>
      <c r="GE378" s="19"/>
      <c r="GF378" s="19"/>
      <c r="GG378" s="19"/>
      <c r="GH378" s="19"/>
      <c r="GI378" s="19"/>
      <c r="GJ378" s="19"/>
      <c r="GK378" s="19"/>
      <c r="GL378" s="19"/>
      <c r="GM378" s="19"/>
      <c r="GN378" s="19"/>
      <c r="GO378" s="19"/>
      <c r="GP378" s="19"/>
      <c r="GQ378" s="19"/>
      <c r="GR378" s="19"/>
      <c r="GS378" s="19"/>
      <c r="GT378" s="19"/>
      <c r="GU378" s="19"/>
      <c r="GV378" s="19"/>
      <c r="GW378" s="19"/>
      <c r="GX378" s="19"/>
      <c r="GY378" s="19"/>
      <c r="GZ378" s="19"/>
      <c r="HA378" s="19"/>
      <c r="HB378" s="19"/>
    </row>
    <row r="379" spans="1:210" x14ac:dyDescent="0.25">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c r="BE379" s="19"/>
      <c r="BF379" s="19"/>
      <c r="BG379" s="19"/>
      <c r="BH379" s="19"/>
      <c r="BI379" s="19"/>
      <c r="BJ379" s="19"/>
      <c r="BK379" s="19"/>
      <c r="BL379" s="19"/>
      <c r="BM379" s="19"/>
      <c r="BN379" s="19"/>
      <c r="BO379" s="19"/>
      <c r="BP379" s="19"/>
      <c r="BQ379" s="19"/>
      <c r="BR379" s="19"/>
      <c r="BS379" s="19"/>
      <c r="BT379" s="19"/>
      <c r="BU379" s="19"/>
      <c r="BV379" s="19"/>
      <c r="BW379" s="19"/>
      <c r="BX379" s="19"/>
      <c r="BY379" s="19"/>
      <c r="BZ379" s="19"/>
      <c r="CA379" s="19"/>
      <c r="CB379" s="19"/>
      <c r="CC379" s="19"/>
      <c r="CD379" s="19"/>
      <c r="CE379" s="19"/>
      <c r="CF379" s="19"/>
      <c r="CG379" s="19"/>
      <c r="CH379" s="19"/>
      <c r="CI379" s="19"/>
      <c r="CJ379" s="19"/>
      <c r="CK379" s="19"/>
      <c r="CL379" s="19"/>
      <c r="CM379" s="19"/>
      <c r="CN379" s="19"/>
      <c r="CO379" s="19"/>
      <c r="CP379" s="19"/>
      <c r="CQ379" s="19"/>
      <c r="CR379" s="19"/>
      <c r="CS379" s="19"/>
      <c r="CT379" s="19"/>
      <c r="CU379" s="19"/>
      <c r="CV379" s="19"/>
      <c r="CW379" s="19"/>
      <c r="CX379" s="19"/>
      <c r="CY379" s="19"/>
      <c r="CZ379" s="19"/>
      <c r="DA379" s="19"/>
      <c r="DB379" s="19"/>
      <c r="DC379" s="19"/>
      <c r="DD379" s="19"/>
      <c r="DE379" s="19"/>
      <c r="DF379" s="19"/>
      <c r="DG379" s="19"/>
      <c r="DH379" s="19"/>
      <c r="DI379" s="19"/>
      <c r="DJ379" s="19"/>
      <c r="DK379" s="19"/>
      <c r="DL379" s="19"/>
      <c r="DM379" s="19"/>
      <c r="DN379" s="19"/>
      <c r="DO379" s="19"/>
      <c r="DP379" s="19"/>
      <c r="DQ379" s="19"/>
      <c r="DR379" s="19"/>
      <c r="DS379" s="19"/>
      <c r="DT379" s="19"/>
      <c r="DU379" s="19"/>
      <c r="DV379" s="19"/>
      <c r="DW379" s="19"/>
      <c r="DX379" s="19"/>
      <c r="DY379" s="19"/>
      <c r="DZ379" s="19"/>
      <c r="EA379" s="19"/>
      <c r="EB379" s="19"/>
      <c r="EC379" s="19"/>
      <c r="ED379" s="19"/>
      <c r="EE379" s="19"/>
      <c r="EF379" s="19"/>
      <c r="EG379" s="19"/>
      <c r="EH379" s="19"/>
      <c r="EI379" s="19"/>
      <c r="EJ379" s="19"/>
      <c r="EK379" s="19"/>
      <c r="EL379" s="19"/>
      <c r="EM379" s="19"/>
      <c r="EN379" s="19"/>
      <c r="EO379" s="19"/>
      <c r="EP379" s="19"/>
      <c r="EQ379" s="19"/>
      <c r="ER379" s="19"/>
      <c r="ES379" s="19"/>
      <c r="ET379" s="19"/>
      <c r="EU379" s="19"/>
      <c r="EV379" s="19"/>
      <c r="EW379" s="19"/>
      <c r="EX379" s="19"/>
      <c r="EY379" s="19"/>
      <c r="EZ379" s="19"/>
      <c r="FA379" s="19"/>
      <c r="FB379" s="19"/>
      <c r="FC379" s="19"/>
      <c r="FD379" s="19"/>
      <c r="FE379" s="19"/>
      <c r="FF379" s="19"/>
      <c r="FG379" s="19"/>
      <c r="FH379" s="19"/>
      <c r="FI379" s="19"/>
      <c r="FJ379" s="19"/>
      <c r="FK379" s="19"/>
      <c r="FL379" s="19"/>
      <c r="FM379" s="19"/>
      <c r="FN379" s="19"/>
      <c r="FO379" s="19"/>
      <c r="FP379" s="19"/>
      <c r="FQ379" s="19"/>
      <c r="FR379" s="19"/>
      <c r="FS379" s="19"/>
      <c r="FT379" s="19"/>
      <c r="FU379" s="19"/>
      <c r="FV379" s="19"/>
      <c r="FW379" s="19"/>
      <c r="FX379" s="19"/>
      <c r="FY379" s="19"/>
      <c r="FZ379" s="19"/>
      <c r="GA379" s="19"/>
      <c r="GB379" s="19"/>
      <c r="GC379" s="19"/>
      <c r="GD379" s="19"/>
      <c r="GE379" s="19"/>
      <c r="GF379" s="19"/>
      <c r="GG379" s="19"/>
      <c r="GH379" s="19"/>
      <c r="GI379" s="19"/>
      <c r="GJ379" s="19"/>
      <c r="GK379" s="19"/>
      <c r="GL379" s="19"/>
      <c r="GM379" s="19"/>
      <c r="GN379" s="19"/>
      <c r="GO379" s="19"/>
      <c r="GP379" s="19"/>
      <c r="GQ379" s="19"/>
      <c r="GR379" s="19"/>
      <c r="GS379" s="19"/>
      <c r="GT379" s="19"/>
      <c r="GU379" s="19"/>
      <c r="GV379" s="19"/>
      <c r="GW379" s="19"/>
      <c r="GX379" s="19"/>
      <c r="GY379" s="19"/>
      <c r="GZ379" s="19"/>
      <c r="HA379" s="19"/>
      <c r="HB379" s="19"/>
    </row>
    <row r="380" spans="1:210" x14ac:dyDescent="0.25">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c r="BE380" s="19"/>
      <c r="BF380" s="19"/>
      <c r="BG380" s="19"/>
      <c r="BH380" s="19"/>
      <c r="BI380" s="19"/>
      <c r="BJ380" s="19"/>
      <c r="BK380" s="19"/>
      <c r="BL380" s="19"/>
      <c r="BM380" s="19"/>
      <c r="BN380" s="19"/>
      <c r="BO380" s="19"/>
      <c r="BP380" s="19"/>
      <c r="BQ380" s="19"/>
      <c r="BR380" s="19"/>
      <c r="BS380" s="19"/>
      <c r="BT380" s="19"/>
      <c r="BU380" s="19"/>
      <c r="BV380" s="19"/>
      <c r="BW380" s="19"/>
      <c r="BX380" s="19"/>
      <c r="BY380" s="19"/>
      <c r="BZ380" s="19"/>
      <c r="CA380" s="19"/>
      <c r="CB380" s="19"/>
      <c r="CC380" s="19"/>
      <c r="CD380" s="19"/>
      <c r="CE380" s="19"/>
      <c r="CF380" s="19"/>
      <c r="CG380" s="19"/>
      <c r="CH380" s="19"/>
      <c r="CI380" s="19"/>
      <c r="CJ380" s="19"/>
      <c r="CK380" s="19"/>
      <c r="CL380" s="19"/>
      <c r="CM380" s="19"/>
      <c r="CN380" s="19"/>
      <c r="CO380" s="19"/>
      <c r="CP380" s="19"/>
      <c r="CQ380" s="19"/>
      <c r="CR380" s="19"/>
      <c r="CS380" s="19"/>
      <c r="CT380" s="19"/>
      <c r="CU380" s="19"/>
      <c r="CV380" s="19"/>
      <c r="CW380" s="19"/>
      <c r="CX380" s="19"/>
      <c r="CY380" s="19"/>
      <c r="CZ380" s="19"/>
      <c r="DA380" s="19"/>
      <c r="DB380" s="19"/>
      <c r="DC380" s="19"/>
      <c r="DD380" s="19"/>
      <c r="DE380" s="19"/>
      <c r="DF380" s="19"/>
      <c r="DG380" s="19"/>
      <c r="DH380" s="19"/>
      <c r="DI380" s="19"/>
      <c r="DJ380" s="19"/>
      <c r="DK380" s="19"/>
      <c r="DL380" s="19"/>
      <c r="DM380" s="19"/>
      <c r="DN380" s="19"/>
      <c r="DO380" s="19"/>
      <c r="DP380" s="19"/>
      <c r="DQ380" s="19"/>
      <c r="DR380" s="19"/>
      <c r="DS380" s="19"/>
      <c r="DT380" s="19"/>
      <c r="DU380" s="19"/>
      <c r="DV380" s="19"/>
      <c r="DW380" s="19"/>
      <c r="DX380" s="19"/>
      <c r="DY380" s="19"/>
      <c r="DZ380" s="19"/>
      <c r="EA380" s="19"/>
      <c r="EB380" s="19"/>
      <c r="EC380" s="19"/>
      <c r="ED380" s="19"/>
      <c r="EE380" s="19"/>
      <c r="EF380" s="19"/>
      <c r="EG380" s="19"/>
      <c r="EH380" s="19"/>
      <c r="EI380" s="19"/>
      <c r="EJ380" s="19"/>
      <c r="EK380" s="19"/>
      <c r="EL380" s="19"/>
      <c r="EM380" s="19"/>
      <c r="EN380" s="19"/>
      <c r="EO380" s="19"/>
      <c r="EP380" s="19"/>
      <c r="EQ380" s="19"/>
      <c r="ER380" s="19"/>
      <c r="ES380" s="19"/>
      <c r="ET380" s="19"/>
      <c r="EU380" s="19"/>
      <c r="EV380" s="19"/>
      <c r="EW380" s="19"/>
      <c r="EX380" s="19"/>
      <c r="EY380" s="19"/>
      <c r="EZ380" s="19"/>
      <c r="FA380" s="19"/>
      <c r="FB380" s="19"/>
      <c r="FC380" s="19"/>
      <c r="FD380" s="19"/>
      <c r="FE380" s="19"/>
      <c r="FF380" s="19"/>
      <c r="FG380" s="19"/>
      <c r="FH380" s="19"/>
      <c r="FI380" s="19"/>
      <c r="FJ380" s="19"/>
      <c r="FK380" s="19"/>
      <c r="FL380" s="19"/>
      <c r="FM380" s="19"/>
      <c r="FN380" s="19"/>
      <c r="FO380" s="19"/>
      <c r="FP380" s="19"/>
      <c r="FQ380" s="19"/>
      <c r="FR380" s="19"/>
      <c r="FS380" s="19"/>
      <c r="FT380" s="19"/>
      <c r="FU380" s="19"/>
      <c r="FV380" s="19"/>
      <c r="FW380" s="19"/>
      <c r="FX380" s="19"/>
      <c r="FY380" s="19"/>
      <c r="FZ380" s="19"/>
      <c r="GA380" s="19"/>
      <c r="GB380" s="19"/>
      <c r="GC380" s="19"/>
      <c r="GD380" s="19"/>
      <c r="GE380" s="19"/>
      <c r="GF380" s="19"/>
      <c r="GG380" s="19"/>
      <c r="GH380" s="19"/>
      <c r="GI380" s="19"/>
      <c r="GJ380" s="19"/>
      <c r="GK380" s="19"/>
      <c r="GL380" s="19"/>
      <c r="GM380" s="19"/>
      <c r="GN380" s="19"/>
      <c r="GO380" s="19"/>
      <c r="GP380" s="19"/>
      <c r="GQ380" s="19"/>
      <c r="GR380" s="19"/>
      <c r="GS380" s="19"/>
      <c r="GT380" s="19"/>
      <c r="GU380" s="19"/>
      <c r="GV380" s="19"/>
      <c r="GW380" s="19"/>
      <c r="GX380" s="19"/>
      <c r="GY380" s="19"/>
      <c r="GZ380" s="19"/>
      <c r="HA380" s="19"/>
      <c r="HB380" s="19"/>
    </row>
    <row r="381" spans="1:210" x14ac:dyDescent="0.25">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c r="BE381" s="19"/>
      <c r="BF381" s="19"/>
      <c r="BG381" s="19"/>
      <c r="BH381" s="19"/>
      <c r="BI381" s="19"/>
      <c r="BJ381" s="19"/>
      <c r="BK381" s="19"/>
      <c r="BL381" s="19"/>
      <c r="BM381" s="19"/>
      <c r="BN381" s="19"/>
      <c r="BO381" s="19"/>
      <c r="BP381" s="19"/>
      <c r="BQ381" s="19"/>
      <c r="BR381" s="19"/>
      <c r="BS381" s="19"/>
      <c r="BT381" s="19"/>
      <c r="BU381" s="19"/>
      <c r="BV381" s="19"/>
      <c r="BW381" s="19"/>
      <c r="BX381" s="19"/>
      <c r="BY381" s="19"/>
      <c r="BZ381" s="19"/>
      <c r="CA381" s="19"/>
      <c r="CB381" s="19"/>
      <c r="CC381" s="19"/>
      <c r="CD381" s="19"/>
      <c r="CE381" s="19"/>
      <c r="CF381" s="19"/>
      <c r="CG381" s="19"/>
      <c r="CH381" s="19"/>
      <c r="CI381" s="19"/>
      <c r="CJ381" s="19"/>
      <c r="CK381" s="19"/>
      <c r="CL381" s="19"/>
      <c r="CM381" s="19"/>
      <c r="CN381" s="19"/>
      <c r="CO381" s="19"/>
      <c r="CP381" s="19"/>
      <c r="CQ381" s="19"/>
      <c r="CR381" s="19"/>
      <c r="CS381" s="19"/>
      <c r="CT381" s="19"/>
      <c r="CU381" s="19"/>
      <c r="CV381" s="19"/>
      <c r="CW381" s="19"/>
      <c r="CX381" s="19"/>
      <c r="CY381" s="19"/>
      <c r="CZ381" s="19"/>
      <c r="DA381" s="19"/>
      <c r="DB381" s="19"/>
      <c r="DC381" s="19"/>
      <c r="DD381" s="19"/>
      <c r="DE381" s="19"/>
      <c r="DF381" s="19"/>
      <c r="DG381" s="19"/>
      <c r="DH381" s="19"/>
      <c r="DI381" s="19"/>
      <c r="DJ381" s="19"/>
      <c r="DK381" s="19"/>
      <c r="DL381" s="19"/>
      <c r="DM381" s="19"/>
      <c r="DN381" s="19"/>
      <c r="DO381" s="19"/>
      <c r="DP381" s="19"/>
      <c r="DQ381" s="19"/>
      <c r="DR381" s="19"/>
      <c r="DS381" s="19"/>
      <c r="DT381" s="19"/>
      <c r="DU381" s="19"/>
      <c r="DV381" s="19"/>
      <c r="DW381" s="19"/>
      <c r="DX381" s="19"/>
      <c r="DY381" s="19"/>
      <c r="DZ381" s="19"/>
      <c r="EA381" s="19"/>
      <c r="EB381" s="19"/>
      <c r="EC381" s="19"/>
      <c r="ED381" s="19"/>
      <c r="EE381" s="19"/>
      <c r="EF381" s="19"/>
      <c r="EG381" s="19"/>
      <c r="EH381" s="19"/>
      <c r="EI381" s="19"/>
      <c r="EJ381" s="19"/>
      <c r="EK381" s="19"/>
      <c r="EL381" s="19"/>
      <c r="EM381" s="19"/>
      <c r="EN381" s="19"/>
      <c r="EO381" s="19"/>
      <c r="EP381" s="19"/>
      <c r="EQ381" s="19"/>
      <c r="ER381" s="19"/>
      <c r="ES381" s="19"/>
      <c r="ET381" s="19"/>
      <c r="EU381" s="19"/>
      <c r="EV381" s="19"/>
      <c r="EW381" s="19"/>
      <c r="EX381" s="19"/>
      <c r="EY381" s="19"/>
      <c r="EZ381" s="19"/>
      <c r="FA381" s="19"/>
      <c r="FB381" s="19"/>
      <c r="FC381" s="19"/>
      <c r="FD381" s="19"/>
      <c r="FE381" s="19"/>
      <c r="FF381" s="19"/>
      <c r="FG381" s="19"/>
      <c r="FH381" s="19"/>
      <c r="FI381" s="19"/>
      <c r="FJ381" s="19"/>
      <c r="FK381" s="19"/>
      <c r="FL381" s="19"/>
      <c r="FM381" s="19"/>
      <c r="FN381" s="19"/>
      <c r="FO381" s="19"/>
      <c r="FP381" s="19"/>
      <c r="FQ381" s="19"/>
      <c r="FR381" s="19"/>
      <c r="FS381" s="19"/>
      <c r="FT381" s="19"/>
      <c r="FU381" s="19"/>
      <c r="FV381" s="19"/>
      <c r="FW381" s="19"/>
      <c r="FX381" s="19"/>
      <c r="FY381" s="19"/>
      <c r="FZ381" s="19"/>
      <c r="GA381" s="19"/>
      <c r="GB381" s="19"/>
      <c r="GC381" s="19"/>
      <c r="GD381" s="19"/>
      <c r="GE381" s="19"/>
      <c r="GF381" s="19"/>
      <c r="GG381" s="19"/>
      <c r="GH381" s="19"/>
      <c r="GI381" s="19"/>
      <c r="GJ381" s="19"/>
      <c r="GK381" s="19"/>
      <c r="GL381" s="19"/>
      <c r="GM381" s="19"/>
      <c r="GN381" s="19"/>
      <c r="GO381" s="19"/>
      <c r="GP381" s="19"/>
      <c r="GQ381" s="19"/>
      <c r="GR381" s="19"/>
      <c r="GS381" s="19"/>
      <c r="GT381" s="19"/>
      <c r="GU381" s="19"/>
      <c r="GV381" s="19"/>
      <c r="GW381" s="19"/>
      <c r="GX381" s="19"/>
      <c r="GY381" s="19"/>
      <c r="GZ381" s="19"/>
      <c r="HA381" s="19"/>
      <c r="HB381" s="19"/>
    </row>
    <row r="382" spans="1:210" x14ac:dyDescent="0.25">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c r="BE382" s="19"/>
      <c r="BF382" s="19"/>
      <c r="BG382" s="19"/>
      <c r="BH382" s="19"/>
      <c r="BI382" s="19"/>
      <c r="BJ382" s="19"/>
      <c r="BK382" s="19"/>
      <c r="BL382" s="19"/>
      <c r="BM382" s="19"/>
      <c r="BN382" s="19"/>
      <c r="BO382" s="19"/>
      <c r="BP382" s="19"/>
      <c r="BQ382" s="19"/>
      <c r="BR382" s="19"/>
      <c r="BS382" s="19"/>
      <c r="BT382" s="19"/>
      <c r="BU382" s="19"/>
      <c r="BV382" s="19"/>
      <c r="BW382" s="19"/>
      <c r="BX382" s="19"/>
      <c r="BY382" s="19"/>
      <c r="BZ382" s="19"/>
      <c r="CA382" s="19"/>
      <c r="CB382" s="19"/>
      <c r="CC382" s="19"/>
      <c r="CD382" s="19"/>
      <c r="CE382" s="19"/>
      <c r="CF382" s="19"/>
      <c r="CG382" s="19"/>
      <c r="CH382" s="19"/>
      <c r="CI382" s="19"/>
      <c r="CJ382" s="19"/>
      <c r="CK382" s="19"/>
      <c r="CL382" s="19"/>
      <c r="CM382" s="19"/>
      <c r="CN382" s="19"/>
      <c r="CO382" s="19"/>
      <c r="CP382" s="19"/>
      <c r="CQ382" s="19"/>
      <c r="CR382" s="19"/>
      <c r="CS382" s="19"/>
      <c r="CT382" s="19"/>
      <c r="CU382" s="19"/>
      <c r="CV382" s="19"/>
      <c r="CW382" s="19"/>
      <c r="CX382" s="19"/>
      <c r="CY382" s="19"/>
      <c r="CZ382" s="19"/>
      <c r="DA382" s="19"/>
      <c r="DB382" s="19"/>
      <c r="DC382" s="19"/>
      <c r="DD382" s="19"/>
      <c r="DE382" s="19"/>
      <c r="DF382" s="19"/>
      <c r="DG382" s="19"/>
      <c r="DH382" s="19"/>
      <c r="DI382" s="19"/>
      <c r="DJ382" s="19"/>
      <c r="DK382" s="19"/>
      <c r="DL382" s="19"/>
      <c r="DM382" s="19"/>
      <c r="DN382" s="19"/>
      <c r="DO382" s="19"/>
      <c r="DP382" s="19"/>
      <c r="DQ382" s="19"/>
      <c r="DR382" s="19"/>
      <c r="DS382" s="19"/>
      <c r="DT382" s="19"/>
      <c r="DU382" s="19"/>
      <c r="DV382" s="19"/>
      <c r="DW382" s="19"/>
      <c r="DX382" s="19"/>
      <c r="DY382" s="19"/>
      <c r="DZ382" s="19"/>
      <c r="EA382" s="19"/>
      <c r="EB382" s="19"/>
      <c r="EC382" s="19"/>
      <c r="ED382" s="19"/>
      <c r="EE382" s="19"/>
      <c r="EF382" s="19"/>
      <c r="EG382" s="19"/>
      <c r="EH382" s="19"/>
      <c r="EI382" s="19"/>
      <c r="EJ382" s="19"/>
      <c r="EK382" s="19"/>
      <c r="EL382" s="19"/>
      <c r="EM382" s="19"/>
      <c r="EN382" s="19"/>
      <c r="EO382" s="19"/>
      <c r="EP382" s="19"/>
      <c r="EQ382" s="19"/>
      <c r="ER382" s="19"/>
      <c r="ES382" s="19"/>
      <c r="ET382" s="19"/>
      <c r="EU382" s="19"/>
      <c r="EV382" s="19"/>
      <c r="EW382" s="19"/>
      <c r="EX382" s="19"/>
      <c r="EY382" s="19"/>
      <c r="EZ382" s="19"/>
      <c r="FA382" s="19"/>
      <c r="FB382" s="19"/>
      <c r="FC382" s="19"/>
      <c r="FD382" s="19"/>
      <c r="FE382" s="19"/>
      <c r="FF382" s="19"/>
      <c r="FG382" s="19"/>
      <c r="FH382" s="19"/>
      <c r="FI382" s="19"/>
      <c r="FJ382" s="19"/>
      <c r="FK382" s="19"/>
      <c r="FL382" s="19"/>
      <c r="FM382" s="19"/>
      <c r="FN382" s="19"/>
      <c r="FO382" s="19"/>
      <c r="FP382" s="19"/>
      <c r="FQ382" s="19"/>
      <c r="FR382" s="19"/>
      <c r="FS382" s="19"/>
      <c r="FT382" s="19"/>
      <c r="FU382" s="19"/>
      <c r="FV382" s="19"/>
      <c r="FW382" s="19"/>
      <c r="FX382" s="19"/>
      <c r="FY382" s="19"/>
      <c r="FZ382" s="19"/>
      <c r="GA382" s="19"/>
      <c r="GB382" s="19"/>
      <c r="GC382" s="19"/>
      <c r="GD382" s="19"/>
      <c r="GE382" s="19"/>
      <c r="GF382" s="19"/>
      <c r="GG382" s="19"/>
      <c r="GH382" s="19"/>
      <c r="GI382" s="19"/>
      <c r="GJ382" s="19"/>
      <c r="GK382" s="19"/>
      <c r="GL382" s="19"/>
      <c r="GM382" s="19"/>
      <c r="GN382" s="19"/>
      <c r="GO382" s="19"/>
      <c r="GP382" s="19"/>
      <c r="GQ382" s="19"/>
      <c r="GR382" s="19"/>
      <c r="GS382" s="19"/>
      <c r="GT382" s="19"/>
      <c r="GU382" s="19"/>
      <c r="GV382" s="19"/>
      <c r="GW382" s="19"/>
      <c r="GX382" s="19"/>
      <c r="GY382" s="19"/>
      <c r="GZ382" s="19"/>
      <c r="HA382" s="19"/>
      <c r="HB382" s="19"/>
    </row>
    <row r="383" spans="1:210" x14ac:dyDescent="0.25">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c r="BE383" s="19"/>
      <c r="BF383" s="19"/>
      <c r="BG383" s="19"/>
      <c r="BH383" s="19"/>
      <c r="BI383" s="19"/>
      <c r="BJ383" s="19"/>
      <c r="BK383" s="19"/>
      <c r="BL383" s="19"/>
      <c r="BM383" s="19"/>
      <c r="BN383" s="19"/>
      <c r="BO383" s="19"/>
      <c r="BP383" s="19"/>
      <c r="BQ383" s="19"/>
      <c r="BR383" s="19"/>
      <c r="BS383" s="19"/>
      <c r="BT383" s="19"/>
      <c r="BU383" s="19"/>
      <c r="BV383" s="19"/>
      <c r="BW383" s="19"/>
      <c r="BX383" s="19"/>
      <c r="BY383" s="19"/>
      <c r="BZ383" s="19"/>
      <c r="CA383" s="19"/>
      <c r="CB383" s="19"/>
      <c r="CC383" s="19"/>
      <c r="CD383" s="19"/>
      <c r="CE383" s="19"/>
      <c r="CF383" s="19"/>
      <c r="CG383" s="19"/>
      <c r="CH383" s="19"/>
      <c r="CI383" s="19"/>
      <c r="CJ383" s="19"/>
      <c r="CK383" s="19"/>
      <c r="CL383" s="19"/>
      <c r="CM383" s="19"/>
      <c r="CN383" s="19"/>
      <c r="CO383" s="19"/>
      <c r="CP383" s="19"/>
      <c r="CQ383" s="19"/>
      <c r="CR383" s="19"/>
      <c r="CS383" s="19"/>
      <c r="CT383" s="19"/>
      <c r="CU383" s="19"/>
      <c r="CV383" s="19"/>
      <c r="CW383" s="19"/>
      <c r="CX383" s="19"/>
      <c r="CY383" s="19"/>
      <c r="CZ383" s="19"/>
      <c r="DA383" s="19"/>
      <c r="DB383" s="19"/>
      <c r="DC383" s="19"/>
      <c r="DD383" s="19"/>
      <c r="DE383" s="19"/>
      <c r="DF383" s="19"/>
      <c r="DG383" s="19"/>
      <c r="DH383" s="19"/>
      <c r="DI383" s="19"/>
      <c r="DJ383" s="19"/>
      <c r="DK383" s="19"/>
      <c r="DL383" s="19"/>
      <c r="DM383" s="19"/>
      <c r="DN383" s="19"/>
      <c r="DO383" s="19"/>
      <c r="DP383" s="19"/>
      <c r="DQ383" s="19"/>
      <c r="DR383" s="19"/>
      <c r="DS383" s="19"/>
      <c r="DT383" s="19"/>
      <c r="DU383" s="19"/>
      <c r="DV383" s="19"/>
      <c r="DW383" s="19"/>
      <c r="DX383" s="19"/>
      <c r="DY383" s="19"/>
      <c r="DZ383" s="19"/>
      <c r="EA383" s="19"/>
      <c r="EB383" s="19"/>
      <c r="EC383" s="19"/>
      <c r="ED383" s="19"/>
      <c r="EE383" s="19"/>
      <c r="EF383" s="19"/>
      <c r="EG383" s="19"/>
      <c r="EH383" s="19"/>
      <c r="EI383" s="19"/>
      <c r="EJ383" s="19"/>
      <c r="EK383" s="19"/>
      <c r="EL383" s="19"/>
      <c r="EM383" s="19"/>
      <c r="EN383" s="19"/>
      <c r="EO383" s="19"/>
      <c r="EP383" s="19"/>
      <c r="EQ383" s="19"/>
      <c r="ER383" s="19"/>
      <c r="ES383" s="19"/>
      <c r="ET383" s="19"/>
      <c r="EU383" s="19"/>
      <c r="EV383" s="19"/>
      <c r="EW383" s="19"/>
      <c r="EX383" s="19"/>
      <c r="EY383" s="19"/>
      <c r="EZ383" s="19"/>
      <c r="FA383" s="19"/>
      <c r="FB383" s="19"/>
      <c r="FC383" s="19"/>
      <c r="FD383" s="19"/>
      <c r="FE383" s="19"/>
      <c r="FF383" s="19"/>
      <c r="FG383" s="19"/>
      <c r="FH383" s="19"/>
      <c r="FI383" s="19"/>
      <c r="FJ383" s="19"/>
      <c r="FK383" s="19"/>
      <c r="FL383" s="19"/>
      <c r="FM383" s="19"/>
      <c r="FN383" s="19"/>
      <c r="FO383" s="19"/>
      <c r="FP383" s="19"/>
      <c r="FQ383" s="19"/>
      <c r="FR383" s="19"/>
      <c r="FS383" s="19"/>
      <c r="FT383" s="19"/>
      <c r="FU383" s="19"/>
      <c r="FV383" s="19"/>
      <c r="FW383" s="19"/>
      <c r="FX383" s="19"/>
      <c r="FY383" s="19"/>
      <c r="FZ383" s="19"/>
      <c r="GA383" s="19"/>
      <c r="GB383" s="19"/>
      <c r="GC383" s="19"/>
      <c r="GD383" s="19"/>
      <c r="GE383" s="19"/>
      <c r="GF383" s="19"/>
      <c r="GG383" s="19"/>
      <c r="GH383" s="19"/>
      <c r="GI383" s="19"/>
      <c r="GJ383" s="19"/>
      <c r="GK383" s="19"/>
      <c r="GL383" s="19"/>
      <c r="GM383" s="19"/>
      <c r="GN383" s="19"/>
      <c r="GO383" s="19"/>
      <c r="GP383" s="19"/>
      <c r="GQ383" s="19"/>
      <c r="GR383" s="19"/>
      <c r="GS383" s="19"/>
      <c r="GT383" s="19"/>
      <c r="GU383" s="19"/>
      <c r="GV383" s="19"/>
      <c r="GW383" s="19"/>
      <c r="GX383" s="19"/>
      <c r="GY383" s="19"/>
      <c r="GZ383" s="19"/>
      <c r="HA383" s="19"/>
      <c r="HB383" s="19"/>
    </row>
    <row r="384" spans="1:210" x14ac:dyDescent="0.25">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c r="BE384" s="19"/>
      <c r="BF384" s="19"/>
      <c r="BG384" s="19"/>
      <c r="BH384" s="19"/>
      <c r="BI384" s="19"/>
      <c r="BJ384" s="19"/>
      <c r="BK384" s="19"/>
      <c r="BL384" s="19"/>
      <c r="BM384" s="19"/>
      <c r="BN384" s="19"/>
      <c r="BO384" s="19"/>
      <c r="BP384" s="19"/>
      <c r="BQ384" s="19"/>
      <c r="BR384" s="19"/>
      <c r="BS384" s="19"/>
      <c r="BT384" s="19"/>
      <c r="BU384" s="19"/>
      <c r="BV384" s="19"/>
      <c r="BW384" s="19"/>
      <c r="BX384" s="19"/>
      <c r="BY384" s="19"/>
      <c r="BZ384" s="19"/>
      <c r="CA384" s="19"/>
      <c r="CB384" s="19"/>
      <c r="CC384" s="19"/>
      <c r="CD384" s="19"/>
      <c r="CE384" s="19"/>
      <c r="CF384" s="19"/>
      <c r="CG384" s="19"/>
      <c r="CH384" s="19"/>
      <c r="CI384" s="19"/>
      <c r="CJ384" s="19"/>
      <c r="CK384" s="19"/>
      <c r="CL384" s="19"/>
      <c r="CM384" s="19"/>
      <c r="CN384" s="19"/>
      <c r="CO384" s="19"/>
      <c r="CP384" s="19"/>
      <c r="CQ384" s="19"/>
      <c r="CR384" s="19"/>
      <c r="CS384" s="19"/>
      <c r="CT384" s="19"/>
      <c r="CU384" s="19"/>
      <c r="CV384" s="19"/>
      <c r="CW384" s="19"/>
      <c r="CX384" s="19"/>
      <c r="CY384" s="19"/>
      <c r="CZ384" s="19"/>
      <c r="DA384" s="19"/>
      <c r="DB384" s="19"/>
      <c r="DC384" s="19"/>
      <c r="DD384" s="19"/>
      <c r="DE384" s="19"/>
      <c r="DF384" s="19"/>
      <c r="DG384" s="19"/>
      <c r="DH384" s="19"/>
      <c r="DI384" s="19"/>
      <c r="DJ384" s="19"/>
      <c r="DK384" s="19"/>
      <c r="DL384" s="19"/>
      <c r="DM384" s="19"/>
      <c r="DN384" s="19"/>
      <c r="DO384" s="19"/>
      <c r="DP384" s="19"/>
      <c r="DQ384" s="19"/>
      <c r="DR384" s="19"/>
      <c r="DS384" s="19"/>
      <c r="DT384" s="19"/>
      <c r="DU384" s="19"/>
      <c r="DV384" s="19"/>
      <c r="DW384" s="19"/>
      <c r="DX384" s="19"/>
      <c r="DY384" s="19"/>
      <c r="DZ384" s="19"/>
      <c r="EA384" s="19"/>
      <c r="EB384" s="19"/>
      <c r="EC384" s="19"/>
      <c r="ED384" s="19"/>
      <c r="EE384" s="19"/>
      <c r="EF384" s="19"/>
      <c r="EG384" s="19"/>
      <c r="EH384" s="19"/>
      <c r="EI384" s="19"/>
      <c r="EJ384" s="19"/>
      <c r="EK384" s="19"/>
      <c r="EL384" s="19"/>
      <c r="EM384" s="19"/>
      <c r="EN384" s="19"/>
      <c r="EO384" s="19"/>
      <c r="EP384" s="19"/>
      <c r="EQ384" s="19"/>
      <c r="ER384" s="19"/>
      <c r="ES384" s="19"/>
      <c r="ET384" s="19"/>
      <c r="EU384" s="19"/>
      <c r="EV384" s="19"/>
      <c r="EW384" s="19"/>
      <c r="EX384" s="19"/>
      <c r="EY384" s="19"/>
      <c r="EZ384" s="19"/>
      <c r="FA384" s="19"/>
      <c r="FB384" s="19"/>
      <c r="FC384" s="19"/>
      <c r="FD384" s="19"/>
      <c r="FE384" s="19"/>
      <c r="FF384" s="19"/>
      <c r="FG384" s="19"/>
      <c r="FH384" s="19"/>
      <c r="FI384" s="19"/>
      <c r="FJ384" s="19"/>
      <c r="FK384" s="19"/>
      <c r="FL384" s="19"/>
      <c r="FM384" s="19"/>
      <c r="FN384" s="19"/>
      <c r="FO384" s="19"/>
      <c r="FP384" s="19"/>
      <c r="FQ384" s="19"/>
      <c r="FR384" s="19"/>
      <c r="FS384" s="19"/>
      <c r="FT384" s="19"/>
      <c r="FU384" s="19"/>
      <c r="FV384" s="19"/>
      <c r="FW384" s="19"/>
      <c r="FX384" s="19"/>
      <c r="FY384" s="19"/>
      <c r="FZ384" s="19"/>
      <c r="GA384" s="19"/>
      <c r="GB384" s="19"/>
      <c r="GC384" s="19"/>
      <c r="GD384" s="19"/>
      <c r="GE384" s="19"/>
      <c r="GF384" s="19"/>
      <c r="GG384" s="19"/>
      <c r="GH384" s="19"/>
      <c r="GI384" s="19"/>
      <c r="GJ384" s="19"/>
      <c r="GK384" s="19"/>
      <c r="GL384" s="19"/>
      <c r="GM384" s="19"/>
      <c r="GN384" s="19"/>
      <c r="GO384" s="19"/>
      <c r="GP384" s="19"/>
      <c r="GQ384" s="19"/>
      <c r="GR384" s="19"/>
      <c r="GS384" s="19"/>
      <c r="GT384" s="19"/>
      <c r="GU384" s="19"/>
      <c r="GV384" s="19"/>
      <c r="GW384" s="19"/>
      <c r="GX384" s="19"/>
      <c r="GY384" s="19"/>
      <c r="GZ384" s="19"/>
      <c r="HA384" s="19"/>
      <c r="HB384" s="19"/>
    </row>
    <row r="385" spans="1:210" x14ac:dyDescent="0.25">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c r="BE385" s="19"/>
      <c r="BF385" s="19"/>
      <c r="BG385" s="19"/>
      <c r="BH385" s="19"/>
      <c r="BI385" s="19"/>
      <c r="BJ385" s="19"/>
      <c r="BK385" s="19"/>
      <c r="BL385" s="19"/>
      <c r="BM385" s="19"/>
      <c r="BN385" s="19"/>
      <c r="BO385" s="19"/>
      <c r="BP385" s="19"/>
      <c r="BQ385" s="19"/>
      <c r="BR385" s="19"/>
      <c r="BS385" s="19"/>
      <c r="BT385" s="19"/>
      <c r="BU385" s="19"/>
      <c r="BV385" s="19"/>
      <c r="BW385" s="19"/>
      <c r="BX385" s="19"/>
      <c r="BY385" s="19"/>
      <c r="BZ385" s="19"/>
      <c r="CA385" s="19"/>
      <c r="CB385" s="19"/>
      <c r="CC385" s="19"/>
      <c r="CD385" s="19"/>
      <c r="CE385" s="19"/>
      <c r="CF385" s="19"/>
      <c r="CG385" s="19"/>
      <c r="CH385" s="19"/>
      <c r="CI385" s="19"/>
      <c r="CJ385" s="19"/>
      <c r="CK385" s="19"/>
      <c r="CL385" s="19"/>
      <c r="CM385" s="19"/>
      <c r="CN385" s="19"/>
      <c r="CO385" s="19"/>
      <c r="CP385" s="19"/>
      <c r="CQ385" s="19"/>
      <c r="CR385" s="19"/>
      <c r="CS385" s="19"/>
      <c r="CT385" s="19"/>
      <c r="CU385" s="19"/>
      <c r="CV385" s="19"/>
      <c r="CW385" s="19"/>
      <c r="CX385" s="19"/>
      <c r="CY385" s="19"/>
      <c r="CZ385" s="19"/>
      <c r="DA385" s="19"/>
      <c r="DB385" s="19"/>
      <c r="DC385" s="19"/>
      <c r="DD385" s="19"/>
      <c r="DE385" s="19"/>
      <c r="DF385" s="19"/>
      <c r="DG385" s="19"/>
      <c r="DH385" s="19"/>
      <c r="DI385" s="19"/>
      <c r="DJ385" s="19"/>
      <c r="DK385" s="19"/>
      <c r="DL385" s="19"/>
      <c r="DM385" s="19"/>
      <c r="DN385" s="19"/>
      <c r="DO385" s="19"/>
      <c r="DP385" s="19"/>
      <c r="DQ385" s="19"/>
      <c r="DR385" s="19"/>
      <c r="DS385" s="19"/>
      <c r="DT385" s="19"/>
      <c r="DU385" s="19"/>
      <c r="DV385" s="19"/>
      <c r="DW385" s="19"/>
      <c r="DX385" s="19"/>
      <c r="DY385" s="19"/>
      <c r="DZ385" s="19"/>
      <c r="EA385" s="19"/>
      <c r="EB385" s="19"/>
      <c r="EC385" s="19"/>
      <c r="ED385" s="19"/>
      <c r="EE385" s="19"/>
      <c r="EF385" s="19"/>
      <c r="EG385" s="19"/>
      <c r="EH385" s="19"/>
      <c r="EI385" s="19"/>
      <c r="EJ385" s="19"/>
      <c r="EK385" s="19"/>
      <c r="EL385" s="19"/>
      <c r="EM385" s="19"/>
      <c r="EN385" s="19"/>
      <c r="EO385" s="19"/>
      <c r="EP385" s="19"/>
      <c r="EQ385" s="19"/>
      <c r="ER385" s="19"/>
      <c r="ES385" s="19"/>
      <c r="ET385" s="19"/>
      <c r="EU385" s="19"/>
      <c r="EV385" s="19"/>
      <c r="EW385" s="19"/>
      <c r="EX385" s="19"/>
      <c r="EY385" s="19"/>
      <c r="EZ385" s="19"/>
      <c r="FA385" s="19"/>
      <c r="FB385" s="19"/>
      <c r="FC385" s="19"/>
      <c r="FD385" s="19"/>
      <c r="FE385" s="19"/>
      <c r="FF385" s="19"/>
      <c r="FG385" s="19"/>
      <c r="FH385" s="19"/>
      <c r="FI385" s="19"/>
      <c r="FJ385" s="19"/>
      <c r="FK385" s="19"/>
      <c r="FL385" s="19"/>
      <c r="FM385" s="19"/>
      <c r="FN385" s="19"/>
      <c r="FO385" s="19"/>
      <c r="FP385" s="19"/>
      <c r="FQ385" s="19"/>
      <c r="FR385" s="19"/>
      <c r="FS385" s="19"/>
      <c r="FT385" s="19"/>
      <c r="FU385" s="19"/>
      <c r="FV385" s="19"/>
      <c r="FW385" s="19"/>
      <c r="FX385" s="19"/>
      <c r="FY385" s="19"/>
      <c r="FZ385" s="19"/>
      <c r="GA385" s="19"/>
      <c r="GB385" s="19"/>
      <c r="GC385" s="19"/>
      <c r="GD385" s="19"/>
      <c r="GE385" s="19"/>
      <c r="GF385" s="19"/>
      <c r="GG385" s="19"/>
      <c r="GH385" s="19"/>
      <c r="GI385" s="19"/>
      <c r="GJ385" s="19"/>
      <c r="GK385" s="19"/>
      <c r="GL385" s="19"/>
      <c r="GM385" s="19"/>
      <c r="GN385" s="19"/>
      <c r="GO385" s="19"/>
      <c r="GP385" s="19"/>
      <c r="GQ385" s="19"/>
      <c r="GR385" s="19"/>
      <c r="GS385" s="19"/>
      <c r="GT385" s="19"/>
      <c r="GU385" s="19"/>
      <c r="GV385" s="19"/>
      <c r="GW385" s="19"/>
      <c r="GX385" s="19"/>
      <c r="GY385" s="19"/>
      <c r="GZ385" s="19"/>
      <c r="HA385" s="19"/>
      <c r="HB385" s="19"/>
    </row>
    <row r="386" spans="1:210" x14ac:dyDescent="0.25">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c r="BE386" s="19"/>
      <c r="BF386" s="19"/>
      <c r="BG386" s="19"/>
      <c r="BH386" s="19"/>
      <c r="BI386" s="19"/>
      <c r="BJ386" s="19"/>
      <c r="BK386" s="19"/>
      <c r="BL386" s="19"/>
      <c r="BM386" s="19"/>
      <c r="BN386" s="19"/>
      <c r="BO386" s="19"/>
      <c r="BP386" s="19"/>
      <c r="BQ386" s="19"/>
      <c r="BR386" s="19"/>
      <c r="BS386" s="19"/>
      <c r="BT386" s="19"/>
      <c r="BU386" s="19"/>
      <c r="BV386" s="19"/>
      <c r="BW386" s="19"/>
      <c r="BX386" s="19"/>
      <c r="BY386" s="19"/>
      <c r="BZ386" s="19"/>
      <c r="CA386" s="19"/>
      <c r="CB386" s="19"/>
      <c r="CC386" s="19"/>
      <c r="CD386" s="19"/>
      <c r="CE386" s="19"/>
      <c r="CF386" s="19"/>
      <c r="CG386" s="19"/>
      <c r="CH386" s="19"/>
      <c r="CI386" s="19"/>
      <c r="CJ386" s="19"/>
      <c r="CK386" s="19"/>
      <c r="CL386" s="19"/>
      <c r="CM386" s="19"/>
      <c r="CN386" s="19"/>
      <c r="CO386" s="19"/>
      <c r="CP386" s="19"/>
      <c r="CQ386" s="19"/>
      <c r="CR386" s="19"/>
      <c r="CS386" s="19"/>
      <c r="CT386" s="19"/>
      <c r="CU386" s="19"/>
      <c r="CV386" s="19"/>
      <c r="CW386" s="19"/>
      <c r="CX386" s="19"/>
      <c r="CY386" s="19"/>
      <c r="CZ386" s="19"/>
      <c r="DA386" s="19"/>
      <c r="DB386" s="19"/>
      <c r="DC386" s="19"/>
      <c r="DD386" s="19"/>
      <c r="DE386" s="19"/>
      <c r="DF386" s="19"/>
      <c r="DG386" s="19"/>
      <c r="DH386" s="19"/>
      <c r="DI386" s="19"/>
      <c r="DJ386" s="19"/>
      <c r="DK386" s="19"/>
      <c r="DL386" s="19"/>
      <c r="DM386" s="19"/>
      <c r="DN386" s="19"/>
      <c r="DO386" s="19"/>
      <c r="DP386" s="19"/>
      <c r="DQ386" s="19"/>
      <c r="DR386" s="19"/>
      <c r="DS386" s="19"/>
      <c r="DT386" s="19"/>
      <c r="DU386" s="19"/>
      <c r="DV386" s="19"/>
      <c r="DW386" s="19"/>
      <c r="DX386" s="19"/>
      <c r="DY386" s="19"/>
      <c r="DZ386" s="19"/>
      <c r="EA386" s="19"/>
      <c r="EB386" s="19"/>
      <c r="EC386" s="19"/>
      <c r="ED386" s="19"/>
      <c r="EE386" s="19"/>
      <c r="EF386" s="19"/>
      <c r="EG386" s="19"/>
      <c r="EH386" s="19"/>
      <c r="EI386" s="19"/>
      <c r="EJ386" s="19"/>
      <c r="EK386" s="19"/>
      <c r="EL386" s="19"/>
      <c r="EM386" s="19"/>
      <c r="EN386" s="19"/>
      <c r="EO386" s="19"/>
      <c r="EP386" s="19"/>
      <c r="EQ386" s="19"/>
      <c r="ER386" s="19"/>
      <c r="ES386" s="19"/>
      <c r="ET386" s="19"/>
      <c r="EU386" s="19"/>
      <c r="EV386" s="19"/>
      <c r="EW386" s="19"/>
      <c r="EX386" s="19"/>
      <c r="EY386" s="19"/>
      <c r="EZ386" s="19"/>
      <c r="FA386" s="19"/>
      <c r="FB386" s="19"/>
      <c r="FC386" s="19"/>
      <c r="FD386" s="19"/>
      <c r="FE386" s="19"/>
      <c r="FF386" s="19"/>
      <c r="FG386" s="19"/>
      <c r="FH386" s="19"/>
      <c r="FI386" s="19"/>
      <c r="FJ386" s="19"/>
      <c r="FK386" s="19"/>
      <c r="FL386" s="19"/>
      <c r="FM386" s="19"/>
      <c r="FN386" s="19"/>
      <c r="FO386" s="19"/>
      <c r="FP386" s="19"/>
      <c r="FQ386" s="19"/>
      <c r="FR386" s="19"/>
      <c r="FS386" s="19"/>
      <c r="FT386" s="19"/>
      <c r="FU386" s="19"/>
      <c r="FV386" s="19"/>
      <c r="FW386" s="19"/>
      <c r="FX386" s="19"/>
      <c r="FY386" s="19"/>
      <c r="FZ386" s="19"/>
      <c r="GA386" s="19"/>
      <c r="GB386" s="19"/>
      <c r="GC386" s="19"/>
      <c r="GD386" s="19"/>
      <c r="GE386" s="19"/>
      <c r="GF386" s="19"/>
      <c r="GG386" s="19"/>
      <c r="GH386" s="19"/>
      <c r="GI386" s="19"/>
      <c r="GJ386" s="19"/>
      <c r="GK386" s="19"/>
      <c r="GL386" s="19"/>
      <c r="GM386" s="19"/>
      <c r="GN386" s="19"/>
      <c r="GO386" s="19"/>
      <c r="GP386" s="19"/>
      <c r="GQ386" s="19"/>
      <c r="GR386" s="19"/>
      <c r="GS386" s="19"/>
      <c r="GT386" s="19"/>
      <c r="GU386" s="19"/>
      <c r="GV386" s="19"/>
      <c r="GW386" s="19"/>
      <c r="GX386" s="19"/>
      <c r="GY386" s="19"/>
      <c r="GZ386" s="19"/>
      <c r="HA386" s="19"/>
      <c r="HB386" s="19"/>
    </row>
    <row r="387" spans="1:210" x14ac:dyDescent="0.25">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c r="BE387" s="19"/>
      <c r="BF387" s="19"/>
      <c r="BG387" s="19"/>
      <c r="BH387" s="19"/>
      <c r="BI387" s="19"/>
      <c r="BJ387" s="19"/>
      <c r="BK387" s="19"/>
      <c r="BL387" s="19"/>
      <c r="BM387" s="19"/>
      <c r="BN387" s="19"/>
      <c r="BO387" s="19"/>
      <c r="BP387" s="19"/>
      <c r="BQ387" s="19"/>
      <c r="BR387" s="19"/>
      <c r="BS387" s="19"/>
      <c r="BT387" s="19"/>
      <c r="BU387" s="19"/>
      <c r="BV387" s="19"/>
      <c r="BW387" s="19"/>
      <c r="BX387" s="19"/>
      <c r="BY387" s="19"/>
      <c r="BZ387" s="19"/>
      <c r="CA387" s="19"/>
      <c r="CB387" s="19"/>
      <c r="CC387" s="19"/>
      <c r="CD387" s="19"/>
      <c r="CE387" s="19"/>
      <c r="CF387" s="19"/>
      <c r="CG387" s="19"/>
      <c r="CH387" s="19"/>
      <c r="CI387" s="19"/>
      <c r="CJ387" s="19"/>
      <c r="CK387" s="19"/>
      <c r="CL387" s="19"/>
      <c r="CM387" s="19"/>
      <c r="CN387" s="19"/>
      <c r="CO387" s="19"/>
      <c r="CP387" s="19"/>
      <c r="CQ387" s="19"/>
      <c r="CR387" s="19"/>
      <c r="CS387" s="19"/>
      <c r="CT387" s="19"/>
      <c r="CU387" s="19"/>
      <c r="CV387" s="19"/>
      <c r="CW387" s="19"/>
      <c r="CX387" s="19"/>
      <c r="CY387" s="19"/>
      <c r="CZ387" s="19"/>
      <c r="DA387" s="19"/>
      <c r="DB387" s="19"/>
      <c r="DC387" s="19"/>
      <c r="DD387" s="19"/>
      <c r="DE387" s="19"/>
      <c r="DF387" s="19"/>
      <c r="DG387" s="19"/>
      <c r="DH387" s="19"/>
      <c r="DI387" s="19"/>
      <c r="DJ387" s="19"/>
      <c r="DK387" s="19"/>
      <c r="DL387" s="19"/>
      <c r="DM387" s="19"/>
      <c r="DN387" s="19"/>
      <c r="DO387" s="19"/>
      <c r="DP387" s="19"/>
      <c r="DQ387" s="19"/>
      <c r="DR387" s="19"/>
      <c r="DS387" s="19"/>
      <c r="DT387" s="19"/>
      <c r="DU387" s="19"/>
      <c r="DV387" s="19"/>
      <c r="DW387" s="19"/>
      <c r="DX387" s="19"/>
      <c r="DY387" s="19"/>
      <c r="DZ387" s="19"/>
      <c r="EA387" s="19"/>
      <c r="EB387" s="19"/>
      <c r="EC387" s="19"/>
      <c r="ED387" s="19"/>
      <c r="EE387" s="19"/>
      <c r="EF387" s="19"/>
      <c r="EG387" s="19"/>
      <c r="EH387" s="19"/>
      <c r="EI387" s="19"/>
      <c r="EJ387" s="19"/>
      <c r="EK387" s="19"/>
      <c r="EL387" s="19"/>
      <c r="EM387" s="19"/>
      <c r="EN387" s="19"/>
      <c r="EO387" s="19"/>
      <c r="EP387" s="19"/>
      <c r="EQ387" s="19"/>
      <c r="ER387" s="19"/>
      <c r="ES387" s="19"/>
      <c r="ET387" s="19"/>
      <c r="EU387" s="19"/>
      <c r="EV387" s="19"/>
      <c r="EW387" s="19"/>
      <c r="EX387" s="19"/>
      <c r="EY387" s="19"/>
      <c r="EZ387" s="19"/>
      <c r="FA387" s="19"/>
      <c r="FB387" s="19"/>
      <c r="FC387" s="19"/>
      <c r="FD387" s="19"/>
      <c r="FE387" s="19"/>
      <c r="FF387" s="19"/>
      <c r="FG387" s="19"/>
      <c r="FH387" s="19"/>
      <c r="FI387" s="19"/>
      <c r="FJ387" s="19"/>
      <c r="FK387" s="19"/>
      <c r="FL387" s="19"/>
      <c r="FM387" s="19"/>
      <c r="FN387" s="19"/>
      <c r="FO387" s="19"/>
      <c r="FP387" s="19"/>
      <c r="FQ387" s="19"/>
      <c r="FR387" s="19"/>
      <c r="FS387" s="19"/>
      <c r="FT387" s="19"/>
      <c r="FU387" s="19"/>
      <c r="FV387" s="19"/>
      <c r="FW387" s="19"/>
      <c r="FX387" s="19"/>
      <c r="FY387" s="19"/>
      <c r="FZ387" s="19"/>
      <c r="GA387" s="19"/>
      <c r="GB387" s="19"/>
      <c r="GC387" s="19"/>
      <c r="GD387" s="19"/>
      <c r="GE387" s="19"/>
      <c r="GF387" s="19"/>
      <c r="GG387" s="19"/>
      <c r="GH387" s="19"/>
      <c r="GI387" s="19"/>
      <c r="GJ387" s="19"/>
      <c r="GK387" s="19"/>
      <c r="GL387" s="19"/>
      <c r="GM387" s="19"/>
      <c r="GN387" s="19"/>
      <c r="GO387" s="19"/>
      <c r="GP387" s="19"/>
      <c r="GQ387" s="19"/>
      <c r="GR387" s="19"/>
      <c r="GS387" s="19"/>
      <c r="GT387" s="19"/>
      <c r="GU387" s="19"/>
      <c r="GV387" s="19"/>
      <c r="GW387" s="19"/>
      <c r="GX387" s="19"/>
      <c r="GY387" s="19"/>
      <c r="GZ387" s="19"/>
      <c r="HA387" s="19"/>
      <c r="HB387" s="19"/>
    </row>
    <row r="388" spans="1:210" x14ac:dyDescent="0.25">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c r="BE388" s="19"/>
      <c r="BF388" s="19"/>
      <c r="BG388" s="19"/>
      <c r="BH388" s="19"/>
      <c r="BI388" s="19"/>
      <c r="BJ388" s="19"/>
      <c r="BK388" s="19"/>
      <c r="BL388" s="19"/>
      <c r="BM388" s="19"/>
      <c r="BN388" s="19"/>
      <c r="BO388" s="19"/>
      <c r="BP388" s="19"/>
      <c r="BQ388" s="19"/>
      <c r="BR388" s="19"/>
      <c r="BS388" s="19"/>
      <c r="BT388" s="19"/>
      <c r="BU388" s="19"/>
      <c r="BV388" s="19"/>
      <c r="BW388" s="19"/>
      <c r="BX388" s="19"/>
      <c r="BY388" s="19"/>
      <c r="BZ388" s="19"/>
      <c r="CA388" s="19"/>
      <c r="CB388" s="19"/>
      <c r="CC388" s="19"/>
      <c r="CD388" s="19"/>
      <c r="CE388" s="19"/>
      <c r="CF388" s="19"/>
      <c r="CG388" s="19"/>
      <c r="CH388" s="19"/>
      <c r="CI388" s="19"/>
      <c r="CJ388" s="19"/>
      <c r="CK388" s="19"/>
      <c r="CL388" s="19"/>
      <c r="CM388" s="19"/>
      <c r="CN388" s="19"/>
      <c r="CO388" s="19"/>
      <c r="CP388" s="19"/>
      <c r="CQ388" s="19"/>
      <c r="CR388" s="19"/>
      <c r="CS388" s="19"/>
      <c r="CT388" s="19"/>
      <c r="CU388" s="19"/>
      <c r="CV388" s="19"/>
      <c r="CW388" s="19"/>
      <c r="CX388" s="19"/>
      <c r="CY388" s="19"/>
      <c r="CZ388" s="19"/>
      <c r="DA388" s="19"/>
      <c r="DB388" s="19"/>
      <c r="DC388" s="19"/>
      <c r="DD388" s="19"/>
      <c r="DE388" s="19"/>
      <c r="DF388" s="19"/>
      <c r="DG388" s="19"/>
      <c r="DH388" s="19"/>
      <c r="DI388" s="19"/>
      <c r="DJ388" s="19"/>
      <c r="DK388" s="19"/>
      <c r="DL388" s="19"/>
      <c r="DM388" s="19"/>
      <c r="DN388" s="19"/>
      <c r="DO388" s="19"/>
      <c r="DP388" s="19"/>
      <c r="DQ388" s="19"/>
      <c r="DR388" s="19"/>
      <c r="DS388" s="19"/>
      <c r="DT388" s="19"/>
      <c r="DU388" s="19"/>
      <c r="DV388" s="19"/>
      <c r="DW388" s="19"/>
      <c r="DX388" s="19"/>
      <c r="DY388" s="19"/>
      <c r="DZ388" s="19"/>
      <c r="EA388" s="19"/>
      <c r="EB388" s="19"/>
      <c r="EC388" s="19"/>
      <c r="ED388" s="19"/>
      <c r="EE388" s="19"/>
      <c r="EF388" s="19"/>
      <c r="EG388" s="19"/>
      <c r="EH388" s="19"/>
      <c r="EI388" s="19"/>
      <c r="EJ388" s="19"/>
      <c r="EK388" s="19"/>
      <c r="EL388" s="19"/>
      <c r="EM388" s="19"/>
      <c r="EN388" s="19"/>
      <c r="EO388" s="19"/>
      <c r="EP388" s="19"/>
      <c r="EQ388" s="19"/>
      <c r="ER388" s="19"/>
      <c r="ES388" s="19"/>
      <c r="ET388" s="19"/>
      <c r="EU388" s="19"/>
      <c r="EV388" s="19"/>
      <c r="EW388" s="19"/>
      <c r="EX388" s="19"/>
      <c r="EY388" s="19"/>
      <c r="EZ388" s="19"/>
      <c r="FA388" s="19"/>
      <c r="FB388" s="19"/>
      <c r="FC388" s="19"/>
      <c r="FD388" s="19"/>
      <c r="FE388" s="19"/>
      <c r="FF388" s="19"/>
      <c r="FG388" s="19"/>
      <c r="FH388" s="19"/>
      <c r="FI388" s="19"/>
      <c r="FJ388" s="19"/>
      <c r="FK388" s="19"/>
      <c r="FL388" s="19"/>
      <c r="FM388" s="19"/>
      <c r="FN388" s="19"/>
      <c r="FO388" s="19"/>
      <c r="FP388" s="19"/>
      <c r="FQ388" s="19"/>
      <c r="FR388" s="19"/>
      <c r="FS388" s="19"/>
      <c r="FT388" s="19"/>
      <c r="FU388" s="19"/>
      <c r="FV388" s="19"/>
      <c r="FW388" s="19"/>
      <c r="FX388" s="19"/>
      <c r="FY388" s="19"/>
      <c r="FZ388" s="19"/>
      <c r="GA388" s="19"/>
      <c r="GB388" s="19"/>
      <c r="GC388" s="19"/>
      <c r="GD388" s="19"/>
      <c r="GE388" s="19"/>
      <c r="GF388" s="19"/>
      <c r="GG388" s="19"/>
      <c r="GH388" s="19"/>
      <c r="GI388" s="19"/>
      <c r="GJ388" s="19"/>
      <c r="GK388" s="19"/>
      <c r="GL388" s="19"/>
      <c r="GM388" s="19"/>
      <c r="GN388" s="19"/>
      <c r="GO388" s="19"/>
      <c r="GP388" s="19"/>
      <c r="GQ388" s="19"/>
      <c r="GR388" s="19"/>
      <c r="GS388" s="19"/>
      <c r="GT388" s="19"/>
      <c r="GU388" s="19"/>
      <c r="GV388" s="19"/>
      <c r="GW388" s="19"/>
      <c r="GX388" s="19"/>
      <c r="GY388" s="19"/>
      <c r="GZ388" s="19"/>
      <c r="HA388" s="19"/>
      <c r="HB388" s="19"/>
    </row>
    <row r="389" spans="1:210" x14ac:dyDescent="0.25">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c r="BE389" s="19"/>
      <c r="BF389" s="19"/>
      <c r="BG389" s="19"/>
      <c r="BH389" s="19"/>
      <c r="BI389" s="19"/>
      <c r="BJ389" s="19"/>
      <c r="BK389" s="19"/>
      <c r="BL389" s="19"/>
      <c r="BM389" s="19"/>
      <c r="BN389" s="19"/>
      <c r="BO389" s="19"/>
      <c r="BP389" s="19"/>
      <c r="BQ389" s="19"/>
      <c r="BR389" s="19"/>
      <c r="BS389" s="19"/>
      <c r="BT389" s="19"/>
      <c r="BU389" s="19"/>
      <c r="BV389" s="19"/>
      <c r="BW389" s="19"/>
      <c r="BX389" s="19"/>
      <c r="BY389" s="19"/>
      <c r="BZ389" s="19"/>
      <c r="CA389" s="19"/>
      <c r="CB389" s="19"/>
      <c r="CC389" s="19"/>
      <c r="CD389" s="19"/>
      <c r="CE389" s="19"/>
      <c r="CF389" s="19"/>
      <c r="CG389" s="19"/>
      <c r="CH389" s="19"/>
      <c r="CI389" s="19"/>
      <c r="CJ389" s="19"/>
      <c r="CK389" s="19"/>
      <c r="CL389" s="19"/>
      <c r="CM389" s="19"/>
      <c r="CN389" s="19"/>
      <c r="CO389" s="19"/>
      <c r="CP389" s="19"/>
      <c r="CQ389" s="19"/>
      <c r="CR389" s="19"/>
      <c r="CS389" s="19"/>
      <c r="CT389" s="19"/>
      <c r="CU389" s="19"/>
      <c r="CV389" s="19"/>
      <c r="CW389" s="19"/>
      <c r="CX389" s="19"/>
      <c r="CY389" s="19"/>
      <c r="CZ389" s="19"/>
      <c r="DA389" s="19"/>
      <c r="DB389" s="19"/>
      <c r="DC389" s="19"/>
      <c r="DD389" s="19"/>
      <c r="DE389" s="19"/>
      <c r="DF389" s="19"/>
      <c r="DG389" s="19"/>
      <c r="DH389" s="19"/>
      <c r="DI389" s="19"/>
      <c r="DJ389" s="19"/>
      <c r="DK389" s="19"/>
      <c r="DL389" s="19"/>
      <c r="DM389" s="19"/>
      <c r="DN389" s="19"/>
      <c r="DO389" s="19"/>
      <c r="DP389" s="19"/>
      <c r="DQ389" s="19"/>
      <c r="DR389" s="19"/>
      <c r="DS389" s="19"/>
      <c r="DT389" s="19"/>
      <c r="DU389" s="19"/>
      <c r="DV389" s="19"/>
      <c r="DW389" s="19"/>
      <c r="DX389" s="19"/>
      <c r="DY389" s="19"/>
      <c r="DZ389" s="19"/>
      <c r="EA389" s="19"/>
      <c r="EB389" s="19"/>
      <c r="EC389" s="19"/>
      <c r="ED389" s="19"/>
      <c r="EE389" s="19"/>
      <c r="EF389" s="19"/>
      <c r="EG389" s="19"/>
      <c r="EH389" s="19"/>
      <c r="EI389" s="19"/>
      <c r="EJ389" s="19"/>
      <c r="EK389" s="19"/>
      <c r="EL389" s="19"/>
      <c r="EM389" s="19"/>
      <c r="EN389" s="19"/>
      <c r="EO389" s="19"/>
      <c r="EP389" s="19"/>
      <c r="EQ389" s="19"/>
      <c r="ER389" s="19"/>
      <c r="ES389" s="19"/>
      <c r="ET389" s="19"/>
      <c r="EU389" s="19"/>
      <c r="EV389" s="19"/>
      <c r="EW389" s="19"/>
      <c r="EX389" s="19"/>
      <c r="EY389" s="19"/>
      <c r="EZ389" s="19"/>
      <c r="FA389" s="19"/>
      <c r="FB389" s="19"/>
      <c r="FC389" s="19"/>
      <c r="FD389" s="19"/>
      <c r="FE389" s="19"/>
      <c r="FF389" s="19"/>
      <c r="FG389" s="19"/>
      <c r="FH389" s="19"/>
      <c r="FI389" s="19"/>
      <c r="FJ389" s="19"/>
      <c r="FK389" s="19"/>
      <c r="FL389" s="19"/>
      <c r="FM389" s="19"/>
      <c r="FN389" s="19"/>
      <c r="FO389" s="19"/>
      <c r="FP389" s="19"/>
      <c r="FQ389" s="19"/>
      <c r="FR389" s="19"/>
      <c r="FS389" s="19"/>
      <c r="FT389" s="19"/>
      <c r="FU389" s="19"/>
      <c r="FV389" s="19"/>
      <c r="FW389" s="19"/>
      <c r="FX389" s="19"/>
      <c r="FY389" s="19"/>
      <c r="FZ389" s="19"/>
      <c r="GA389" s="19"/>
      <c r="GB389" s="19"/>
      <c r="GC389" s="19"/>
      <c r="GD389" s="19"/>
      <c r="GE389" s="19"/>
      <c r="GF389" s="19"/>
      <c r="GG389" s="19"/>
      <c r="GH389" s="19"/>
      <c r="GI389" s="19"/>
      <c r="GJ389" s="19"/>
      <c r="GK389" s="19"/>
      <c r="GL389" s="19"/>
      <c r="GM389" s="19"/>
      <c r="GN389" s="19"/>
      <c r="GO389" s="19"/>
      <c r="GP389" s="19"/>
      <c r="GQ389" s="19"/>
      <c r="GR389" s="19"/>
      <c r="GS389" s="19"/>
      <c r="GT389" s="19"/>
      <c r="GU389" s="19"/>
      <c r="GV389" s="19"/>
      <c r="GW389" s="19"/>
      <c r="GX389" s="19"/>
      <c r="GY389" s="19"/>
      <c r="GZ389" s="19"/>
      <c r="HA389" s="19"/>
      <c r="HB389" s="19"/>
    </row>
    <row r="390" spans="1:210" x14ac:dyDescent="0.25">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c r="BE390" s="19"/>
      <c r="BF390" s="19"/>
      <c r="BG390" s="19"/>
      <c r="BH390" s="19"/>
      <c r="BI390" s="19"/>
      <c r="BJ390" s="19"/>
      <c r="BK390" s="19"/>
      <c r="BL390" s="19"/>
      <c r="BM390" s="19"/>
      <c r="BN390" s="19"/>
      <c r="BO390" s="19"/>
      <c r="BP390" s="19"/>
      <c r="BQ390" s="19"/>
      <c r="BR390" s="19"/>
      <c r="BS390" s="19"/>
      <c r="BT390" s="19"/>
      <c r="BU390" s="19"/>
      <c r="BV390" s="19"/>
      <c r="BW390" s="19"/>
      <c r="BX390" s="19"/>
      <c r="BY390" s="19"/>
      <c r="BZ390" s="19"/>
      <c r="CA390" s="19"/>
      <c r="CB390" s="19"/>
      <c r="CC390" s="19"/>
      <c r="CD390" s="19"/>
      <c r="CE390" s="19"/>
      <c r="CF390" s="19"/>
      <c r="CG390" s="19"/>
      <c r="CH390" s="19"/>
      <c r="CI390" s="19"/>
      <c r="CJ390" s="19"/>
      <c r="CK390" s="19"/>
      <c r="CL390" s="19"/>
      <c r="CM390" s="19"/>
      <c r="CN390" s="19"/>
      <c r="CO390" s="19"/>
      <c r="CP390" s="19"/>
      <c r="CQ390" s="19"/>
      <c r="CR390" s="19"/>
      <c r="CS390" s="19"/>
      <c r="CT390" s="19"/>
      <c r="CU390" s="19"/>
      <c r="CV390" s="19"/>
      <c r="CW390" s="19"/>
      <c r="CX390" s="19"/>
      <c r="CY390" s="19"/>
      <c r="CZ390" s="19"/>
      <c r="DA390" s="19"/>
      <c r="DB390" s="19"/>
      <c r="DC390" s="19"/>
      <c r="DD390" s="19"/>
      <c r="DE390" s="19"/>
      <c r="DF390" s="19"/>
      <c r="DG390" s="19"/>
      <c r="DH390" s="19"/>
      <c r="DI390" s="19"/>
      <c r="DJ390" s="19"/>
      <c r="DK390" s="19"/>
      <c r="DL390" s="19"/>
      <c r="DM390" s="19"/>
      <c r="DN390" s="19"/>
      <c r="DO390" s="19"/>
      <c r="DP390" s="19"/>
      <c r="DQ390" s="19"/>
      <c r="DR390" s="19"/>
      <c r="DS390" s="19"/>
      <c r="DT390" s="19"/>
      <c r="DU390" s="19"/>
      <c r="DV390" s="19"/>
      <c r="DW390" s="19"/>
      <c r="DX390" s="19"/>
      <c r="DY390" s="19"/>
      <c r="DZ390" s="19"/>
      <c r="EA390" s="19"/>
      <c r="EB390" s="19"/>
      <c r="EC390" s="19"/>
      <c r="ED390" s="19"/>
      <c r="EE390" s="19"/>
      <c r="EF390" s="19"/>
      <c r="EG390" s="19"/>
      <c r="EH390" s="19"/>
      <c r="EI390" s="19"/>
      <c r="EJ390" s="19"/>
      <c r="EK390" s="19"/>
      <c r="EL390" s="19"/>
      <c r="EM390" s="19"/>
      <c r="EN390" s="19"/>
      <c r="EO390" s="19"/>
      <c r="EP390" s="19"/>
      <c r="EQ390" s="19"/>
      <c r="ER390" s="19"/>
      <c r="ES390" s="19"/>
      <c r="ET390" s="19"/>
      <c r="EU390" s="19"/>
      <c r="EV390" s="19"/>
      <c r="EW390" s="19"/>
      <c r="EX390" s="19"/>
      <c r="EY390" s="19"/>
      <c r="EZ390" s="19"/>
      <c r="FA390" s="19"/>
      <c r="FB390" s="19"/>
      <c r="FC390" s="19"/>
      <c r="FD390" s="19"/>
      <c r="FE390" s="19"/>
      <c r="FF390" s="19"/>
      <c r="FG390" s="19"/>
      <c r="FH390" s="19"/>
      <c r="FI390" s="19"/>
      <c r="FJ390" s="19"/>
      <c r="FK390" s="19"/>
      <c r="FL390" s="19"/>
      <c r="FM390" s="19"/>
      <c r="FN390" s="19"/>
      <c r="FO390" s="19"/>
      <c r="FP390" s="19"/>
      <c r="FQ390" s="19"/>
      <c r="FR390" s="19"/>
      <c r="FS390" s="19"/>
      <c r="FT390" s="19"/>
      <c r="FU390" s="19"/>
      <c r="FV390" s="19"/>
      <c r="FW390" s="19"/>
      <c r="FX390" s="19"/>
      <c r="FY390" s="19"/>
      <c r="FZ390" s="19"/>
      <c r="GA390" s="19"/>
      <c r="GB390" s="19"/>
      <c r="GC390" s="19"/>
      <c r="GD390" s="19"/>
      <c r="GE390" s="19"/>
      <c r="GF390" s="19"/>
      <c r="GG390" s="19"/>
      <c r="GH390" s="19"/>
      <c r="GI390" s="19"/>
      <c r="GJ390" s="19"/>
      <c r="GK390" s="19"/>
      <c r="GL390" s="19"/>
      <c r="GM390" s="19"/>
      <c r="GN390" s="19"/>
      <c r="GO390" s="19"/>
      <c r="GP390" s="19"/>
      <c r="GQ390" s="19"/>
      <c r="GR390" s="19"/>
      <c r="GS390" s="19"/>
      <c r="GT390" s="19"/>
      <c r="GU390" s="19"/>
      <c r="GV390" s="19"/>
      <c r="GW390" s="19"/>
      <c r="GX390" s="19"/>
      <c r="GY390" s="19"/>
      <c r="GZ390" s="19"/>
      <c r="HA390" s="19"/>
      <c r="HB390" s="19"/>
    </row>
    <row r="391" spans="1:210" x14ac:dyDescent="0.25">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c r="BE391" s="19"/>
      <c r="BF391" s="19"/>
      <c r="BG391" s="19"/>
      <c r="BH391" s="19"/>
      <c r="BI391" s="19"/>
      <c r="BJ391" s="19"/>
      <c r="BK391" s="19"/>
      <c r="BL391" s="19"/>
      <c r="BM391" s="19"/>
      <c r="BN391" s="19"/>
      <c r="BO391" s="19"/>
      <c r="BP391" s="19"/>
      <c r="BQ391" s="19"/>
      <c r="BR391" s="19"/>
      <c r="BS391" s="19"/>
      <c r="BT391" s="19"/>
      <c r="BU391" s="19"/>
      <c r="BV391" s="19"/>
      <c r="BW391" s="19"/>
      <c r="BX391" s="19"/>
      <c r="BY391" s="19"/>
      <c r="BZ391" s="19"/>
      <c r="CA391" s="19"/>
      <c r="CB391" s="19"/>
      <c r="CC391" s="19"/>
      <c r="CD391" s="19"/>
      <c r="CE391" s="19"/>
      <c r="CF391" s="19"/>
      <c r="CG391" s="19"/>
      <c r="CH391" s="19"/>
      <c r="CI391" s="19"/>
      <c r="CJ391" s="19"/>
      <c r="CK391" s="19"/>
      <c r="CL391" s="19"/>
      <c r="CM391" s="19"/>
      <c r="CN391" s="19"/>
      <c r="CO391" s="19"/>
      <c r="CP391" s="19"/>
      <c r="CQ391" s="19"/>
      <c r="CR391" s="19"/>
      <c r="CS391" s="19"/>
      <c r="CT391" s="19"/>
      <c r="CU391" s="19"/>
      <c r="CV391" s="19"/>
      <c r="CW391" s="19"/>
      <c r="CX391" s="19"/>
      <c r="CY391" s="19"/>
      <c r="CZ391" s="19"/>
      <c r="DA391" s="19"/>
      <c r="DB391" s="19"/>
      <c r="DC391" s="19"/>
      <c r="DD391" s="19"/>
      <c r="DE391" s="19"/>
      <c r="DF391" s="19"/>
      <c r="DG391" s="19"/>
      <c r="DH391" s="19"/>
      <c r="DI391" s="19"/>
      <c r="DJ391" s="19"/>
      <c r="DK391" s="19"/>
      <c r="DL391" s="19"/>
      <c r="DM391" s="19"/>
      <c r="DN391" s="19"/>
      <c r="DO391" s="19"/>
      <c r="DP391" s="19"/>
      <c r="DQ391" s="19"/>
      <c r="DR391" s="19"/>
      <c r="DS391" s="19"/>
      <c r="DT391" s="19"/>
      <c r="DU391" s="19"/>
      <c r="DV391" s="19"/>
      <c r="DW391" s="19"/>
      <c r="DX391" s="19"/>
      <c r="DY391" s="19"/>
      <c r="DZ391" s="19"/>
      <c r="EA391" s="19"/>
      <c r="EB391" s="19"/>
      <c r="EC391" s="19"/>
      <c r="ED391" s="19"/>
      <c r="EE391" s="19"/>
      <c r="EF391" s="19"/>
      <c r="EG391" s="19"/>
      <c r="EH391" s="19"/>
      <c r="EI391" s="19"/>
      <c r="EJ391" s="19"/>
      <c r="EK391" s="19"/>
      <c r="EL391" s="19"/>
      <c r="EM391" s="19"/>
      <c r="EN391" s="19"/>
      <c r="EO391" s="19"/>
      <c r="EP391" s="19"/>
      <c r="EQ391" s="19"/>
      <c r="ER391" s="19"/>
      <c r="ES391" s="19"/>
      <c r="ET391" s="19"/>
      <c r="EU391" s="19"/>
      <c r="EV391" s="19"/>
      <c r="EW391" s="19"/>
      <c r="EX391" s="19"/>
      <c r="EY391" s="19"/>
      <c r="EZ391" s="19"/>
      <c r="FA391" s="19"/>
      <c r="FB391" s="19"/>
      <c r="FC391" s="19"/>
      <c r="FD391" s="19"/>
      <c r="FE391" s="19"/>
      <c r="FF391" s="19"/>
      <c r="FG391" s="19"/>
      <c r="FH391" s="19"/>
      <c r="FI391" s="19"/>
      <c r="FJ391" s="19"/>
      <c r="FK391" s="19"/>
      <c r="FL391" s="19"/>
      <c r="FM391" s="19"/>
      <c r="FN391" s="19"/>
      <c r="FO391" s="19"/>
      <c r="FP391" s="19"/>
      <c r="FQ391" s="19"/>
      <c r="FR391" s="19"/>
      <c r="FS391" s="19"/>
      <c r="FT391" s="19"/>
      <c r="FU391" s="19"/>
      <c r="FV391" s="19"/>
      <c r="FW391" s="19"/>
      <c r="FX391" s="19"/>
      <c r="FY391" s="19"/>
      <c r="FZ391" s="19"/>
      <c r="GA391" s="19"/>
      <c r="GB391" s="19"/>
      <c r="GC391" s="19"/>
      <c r="GD391" s="19"/>
      <c r="GE391" s="19"/>
      <c r="GF391" s="19"/>
      <c r="GG391" s="19"/>
      <c r="GH391" s="19"/>
      <c r="GI391" s="19"/>
      <c r="GJ391" s="19"/>
      <c r="GK391" s="19"/>
      <c r="GL391" s="19"/>
      <c r="GM391" s="19"/>
      <c r="GN391" s="19"/>
      <c r="GO391" s="19"/>
      <c r="GP391" s="19"/>
      <c r="GQ391" s="19"/>
      <c r="GR391" s="19"/>
      <c r="GS391" s="19"/>
      <c r="GT391" s="19"/>
      <c r="GU391" s="19"/>
      <c r="GV391" s="19"/>
      <c r="GW391" s="19"/>
      <c r="GX391" s="19"/>
      <c r="GY391" s="19"/>
      <c r="GZ391" s="19"/>
      <c r="HA391" s="19"/>
      <c r="HB391" s="19"/>
    </row>
    <row r="392" spans="1:210" x14ac:dyDescent="0.25">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c r="BE392" s="19"/>
      <c r="BF392" s="19"/>
      <c r="BG392" s="19"/>
      <c r="BH392" s="19"/>
      <c r="BI392" s="19"/>
      <c r="BJ392" s="19"/>
      <c r="BK392" s="19"/>
      <c r="BL392" s="19"/>
      <c r="BM392" s="19"/>
      <c r="BN392" s="19"/>
      <c r="BO392" s="19"/>
      <c r="BP392" s="19"/>
      <c r="BQ392" s="19"/>
      <c r="BR392" s="19"/>
      <c r="BS392" s="19"/>
      <c r="BT392" s="19"/>
      <c r="BU392" s="19"/>
      <c r="BV392" s="19"/>
      <c r="BW392" s="19"/>
      <c r="BX392" s="19"/>
      <c r="BY392" s="19"/>
      <c r="BZ392" s="19"/>
      <c r="CA392" s="19"/>
      <c r="CB392" s="19"/>
      <c r="CC392" s="19"/>
      <c r="CD392" s="19"/>
      <c r="CE392" s="19"/>
      <c r="CF392" s="19"/>
      <c r="CG392" s="19"/>
      <c r="CH392" s="19"/>
      <c r="CI392" s="19"/>
      <c r="CJ392" s="19"/>
      <c r="CK392" s="19"/>
      <c r="CL392" s="19"/>
      <c r="CM392" s="19"/>
      <c r="CN392" s="19"/>
      <c r="CO392" s="19"/>
      <c r="CP392" s="19"/>
      <c r="CQ392" s="19"/>
      <c r="CR392" s="19"/>
      <c r="CS392" s="19"/>
      <c r="CT392" s="19"/>
      <c r="CU392" s="19"/>
      <c r="CV392" s="19"/>
      <c r="CW392" s="19"/>
      <c r="CX392" s="19"/>
      <c r="CY392" s="19"/>
      <c r="CZ392" s="19"/>
      <c r="DA392" s="19"/>
      <c r="DB392" s="19"/>
      <c r="DC392" s="19"/>
      <c r="DD392" s="19"/>
      <c r="DE392" s="19"/>
      <c r="DF392" s="19"/>
      <c r="DG392" s="19"/>
      <c r="DH392" s="19"/>
      <c r="DI392" s="19"/>
      <c r="DJ392" s="19"/>
      <c r="DK392" s="19"/>
      <c r="DL392" s="19"/>
      <c r="DM392" s="19"/>
      <c r="DN392" s="19"/>
      <c r="DO392" s="19"/>
      <c r="DP392" s="19"/>
      <c r="DQ392" s="19"/>
      <c r="DR392" s="19"/>
      <c r="DS392" s="19"/>
      <c r="DT392" s="19"/>
      <c r="DU392" s="19"/>
      <c r="DV392" s="19"/>
      <c r="DW392" s="19"/>
      <c r="DX392" s="19"/>
      <c r="DY392" s="19"/>
      <c r="DZ392" s="19"/>
      <c r="EA392" s="19"/>
      <c r="EB392" s="19"/>
      <c r="EC392" s="19"/>
      <c r="ED392" s="19"/>
      <c r="EE392" s="19"/>
      <c r="EF392" s="19"/>
      <c r="EG392" s="19"/>
      <c r="EH392" s="19"/>
      <c r="EI392" s="19"/>
      <c r="EJ392" s="19"/>
      <c r="EK392" s="19"/>
      <c r="EL392" s="19"/>
      <c r="EM392" s="19"/>
      <c r="EN392" s="19"/>
      <c r="EO392" s="19"/>
      <c r="EP392" s="19"/>
      <c r="EQ392" s="19"/>
      <c r="ER392" s="19"/>
      <c r="ES392" s="19"/>
      <c r="ET392" s="19"/>
      <c r="EU392" s="19"/>
      <c r="EV392" s="19"/>
      <c r="EW392" s="19"/>
      <c r="EX392" s="19"/>
      <c r="EY392" s="19"/>
      <c r="EZ392" s="19"/>
      <c r="FA392" s="19"/>
      <c r="FB392" s="19"/>
      <c r="FC392" s="19"/>
      <c r="FD392" s="19"/>
      <c r="FE392" s="19"/>
      <c r="FF392" s="19"/>
      <c r="FG392" s="19"/>
      <c r="FH392" s="19"/>
      <c r="FI392" s="19"/>
      <c r="FJ392" s="19"/>
      <c r="FK392" s="19"/>
      <c r="FL392" s="19"/>
      <c r="FM392" s="19"/>
      <c r="FN392" s="19"/>
      <c r="FO392" s="19"/>
      <c r="FP392" s="19"/>
      <c r="FQ392" s="19"/>
      <c r="FR392" s="19"/>
      <c r="FS392" s="19"/>
      <c r="FT392" s="19"/>
      <c r="FU392" s="19"/>
      <c r="FV392" s="19"/>
      <c r="FW392" s="19"/>
      <c r="FX392" s="19"/>
      <c r="FY392" s="19"/>
      <c r="FZ392" s="19"/>
      <c r="GA392" s="19"/>
      <c r="GB392" s="19"/>
      <c r="GC392" s="19"/>
      <c r="GD392" s="19"/>
      <c r="GE392" s="19"/>
      <c r="GF392" s="19"/>
      <c r="GG392" s="19"/>
      <c r="GH392" s="19"/>
      <c r="GI392" s="19"/>
      <c r="GJ392" s="19"/>
      <c r="GK392" s="19"/>
      <c r="GL392" s="19"/>
      <c r="GM392" s="19"/>
      <c r="GN392" s="19"/>
      <c r="GO392" s="19"/>
      <c r="GP392" s="19"/>
      <c r="GQ392" s="19"/>
      <c r="GR392" s="19"/>
      <c r="GS392" s="19"/>
      <c r="GT392" s="19"/>
      <c r="GU392" s="19"/>
      <c r="GV392" s="19"/>
      <c r="GW392" s="19"/>
      <c r="GX392" s="19"/>
      <c r="GY392" s="19"/>
      <c r="GZ392" s="19"/>
      <c r="HA392" s="19"/>
      <c r="HB392" s="19"/>
    </row>
    <row r="393" spans="1:210" x14ac:dyDescent="0.25">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c r="BE393" s="19"/>
      <c r="BF393" s="19"/>
      <c r="BG393" s="19"/>
      <c r="BH393" s="19"/>
      <c r="BI393" s="19"/>
      <c r="BJ393" s="19"/>
      <c r="BK393" s="19"/>
      <c r="BL393" s="19"/>
      <c r="BM393" s="19"/>
      <c r="BN393" s="19"/>
      <c r="BO393" s="19"/>
      <c r="BP393" s="19"/>
      <c r="BQ393" s="19"/>
      <c r="BR393" s="19"/>
      <c r="BS393" s="19"/>
      <c r="BT393" s="19"/>
      <c r="BU393" s="19"/>
      <c r="BV393" s="19"/>
      <c r="BW393" s="19"/>
      <c r="BX393" s="19"/>
      <c r="BY393" s="19"/>
      <c r="BZ393" s="19"/>
      <c r="CA393" s="19"/>
      <c r="CB393" s="19"/>
      <c r="CC393" s="19"/>
      <c r="CD393" s="19"/>
      <c r="CE393" s="19"/>
      <c r="CF393" s="19"/>
      <c r="CG393" s="19"/>
      <c r="CH393" s="19"/>
      <c r="CI393" s="19"/>
      <c r="CJ393" s="19"/>
      <c r="CK393" s="19"/>
      <c r="CL393" s="19"/>
      <c r="CM393" s="19"/>
      <c r="CN393" s="19"/>
      <c r="CO393" s="19"/>
      <c r="CP393" s="19"/>
      <c r="CQ393" s="19"/>
      <c r="CR393" s="19"/>
      <c r="CS393" s="19"/>
      <c r="CT393" s="19"/>
      <c r="CU393" s="19"/>
      <c r="CV393" s="19"/>
      <c r="CW393" s="19"/>
      <c r="CX393" s="19"/>
      <c r="CY393" s="19"/>
      <c r="CZ393" s="19"/>
      <c r="DA393" s="19"/>
      <c r="DB393" s="19"/>
      <c r="DC393" s="19"/>
      <c r="DD393" s="19"/>
      <c r="DE393" s="19"/>
      <c r="DF393" s="19"/>
      <c r="DG393" s="19"/>
      <c r="DH393" s="19"/>
      <c r="DI393" s="19"/>
      <c r="DJ393" s="19"/>
      <c r="DK393" s="19"/>
      <c r="DL393" s="19"/>
      <c r="DM393" s="19"/>
      <c r="DN393" s="19"/>
      <c r="DO393" s="19"/>
      <c r="DP393" s="19"/>
      <c r="DQ393" s="19"/>
      <c r="DR393" s="19"/>
      <c r="DS393" s="19"/>
      <c r="DT393" s="19"/>
      <c r="DU393" s="19"/>
      <c r="DV393" s="19"/>
      <c r="DW393" s="19"/>
      <c r="DX393" s="19"/>
      <c r="DY393" s="19"/>
      <c r="DZ393" s="19"/>
      <c r="EA393" s="19"/>
      <c r="EB393" s="19"/>
      <c r="EC393" s="19"/>
      <c r="ED393" s="19"/>
      <c r="EE393" s="19"/>
      <c r="EF393" s="19"/>
      <c r="EG393" s="19"/>
      <c r="EH393" s="19"/>
      <c r="EI393" s="19"/>
      <c r="EJ393" s="19"/>
      <c r="EK393" s="19"/>
      <c r="EL393" s="19"/>
      <c r="EM393" s="19"/>
      <c r="EN393" s="19"/>
      <c r="EO393" s="19"/>
      <c r="EP393" s="19"/>
      <c r="EQ393" s="19"/>
      <c r="ER393" s="19"/>
      <c r="ES393" s="19"/>
      <c r="ET393" s="19"/>
      <c r="EU393" s="19"/>
      <c r="EV393" s="19"/>
      <c r="EW393" s="19"/>
      <c r="EX393" s="19"/>
      <c r="EY393" s="19"/>
      <c r="EZ393" s="19"/>
      <c r="FA393" s="19"/>
      <c r="FB393" s="19"/>
      <c r="FC393" s="19"/>
      <c r="FD393" s="19"/>
      <c r="FE393" s="19"/>
      <c r="FF393" s="19"/>
      <c r="FG393" s="19"/>
      <c r="FH393" s="19"/>
      <c r="FI393" s="19"/>
      <c r="FJ393" s="19"/>
      <c r="FK393" s="19"/>
      <c r="FL393" s="19"/>
      <c r="FM393" s="19"/>
      <c r="FN393" s="19"/>
      <c r="FO393" s="19"/>
      <c r="FP393" s="19"/>
      <c r="FQ393" s="19"/>
      <c r="FR393" s="19"/>
      <c r="FS393" s="19"/>
      <c r="FT393" s="19"/>
      <c r="FU393" s="19"/>
      <c r="FV393" s="19"/>
      <c r="FW393" s="19"/>
      <c r="FX393" s="19"/>
      <c r="FY393" s="19"/>
      <c r="FZ393" s="19"/>
      <c r="GA393" s="19"/>
      <c r="GB393" s="19"/>
      <c r="GC393" s="19"/>
      <c r="GD393" s="19"/>
      <c r="GE393" s="19"/>
      <c r="GF393" s="19"/>
      <c r="GG393" s="19"/>
      <c r="GH393" s="19"/>
      <c r="GI393" s="19"/>
      <c r="GJ393" s="19"/>
      <c r="GK393" s="19"/>
      <c r="GL393" s="19"/>
      <c r="GM393" s="19"/>
      <c r="GN393" s="19"/>
      <c r="GO393" s="19"/>
      <c r="GP393" s="19"/>
      <c r="GQ393" s="19"/>
      <c r="GR393" s="19"/>
      <c r="GS393" s="19"/>
      <c r="GT393" s="19"/>
      <c r="GU393" s="19"/>
      <c r="GV393" s="19"/>
      <c r="GW393" s="19"/>
      <c r="GX393" s="19"/>
      <c r="GY393" s="19"/>
      <c r="GZ393" s="19"/>
      <c r="HA393" s="19"/>
      <c r="HB393" s="19"/>
    </row>
    <row r="394" spans="1:210" x14ac:dyDescent="0.25">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c r="BE394" s="19"/>
      <c r="BF394" s="19"/>
      <c r="BG394" s="19"/>
      <c r="BH394" s="19"/>
      <c r="BI394" s="19"/>
      <c r="BJ394" s="19"/>
      <c r="BK394" s="19"/>
      <c r="BL394" s="19"/>
      <c r="BM394" s="19"/>
      <c r="BN394" s="19"/>
      <c r="BO394" s="19"/>
      <c r="BP394" s="19"/>
      <c r="BQ394" s="19"/>
      <c r="BR394" s="19"/>
      <c r="BS394" s="19"/>
      <c r="BT394" s="19"/>
      <c r="BU394" s="19"/>
      <c r="BV394" s="19"/>
      <c r="BW394" s="19"/>
      <c r="BX394" s="19"/>
      <c r="BY394" s="19"/>
      <c r="BZ394" s="19"/>
      <c r="CA394" s="19"/>
      <c r="CB394" s="19"/>
      <c r="CC394" s="19"/>
      <c r="CD394" s="19"/>
      <c r="CE394" s="19"/>
      <c r="CF394" s="19"/>
      <c r="CG394" s="19"/>
      <c r="CH394" s="19"/>
      <c r="CI394" s="19"/>
      <c r="CJ394" s="19"/>
      <c r="CK394" s="19"/>
      <c r="CL394" s="19"/>
      <c r="CM394" s="19"/>
      <c r="CN394" s="19"/>
      <c r="CO394" s="19"/>
      <c r="CP394" s="19"/>
      <c r="CQ394" s="19"/>
      <c r="CR394" s="19"/>
      <c r="CS394" s="19"/>
      <c r="CT394" s="19"/>
      <c r="CU394" s="19"/>
      <c r="CV394" s="19"/>
      <c r="CW394" s="19"/>
      <c r="CX394" s="19"/>
      <c r="CY394" s="19"/>
      <c r="CZ394" s="19"/>
      <c r="DA394" s="19"/>
      <c r="DB394" s="19"/>
      <c r="DC394" s="19"/>
      <c r="DD394" s="19"/>
      <c r="DE394" s="19"/>
      <c r="DF394" s="19"/>
      <c r="DG394" s="19"/>
      <c r="DH394" s="19"/>
      <c r="DI394" s="19"/>
      <c r="DJ394" s="19"/>
      <c r="DK394" s="19"/>
      <c r="DL394" s="19"/>
      <c r="DM394" s="19"/>
      <c r="DN394" s="19"/>
      <c r="DO394" s="19"/>
      <c r="DP394" s="19"/>
      <c r="DQ394" s="19"/>
      <c r="DR394" s="19"/>
      <c r="DS394" s="19"/>
      <c r="DT394" s="19"/>
      <c r="DU394" s="19"/>
      <c r="DV394" s="19"/>
      <c r="DW394" s="19"/>
      <c r="DX394" s="19"/>
      <c r="DY394" s="19"/>
      <c r="DZ394" s="19"/>
      <c r="EA394" s="19"/>
      <c r="EB394" s="19"/>
      <c r="EC394" s="19"/>
      <c r="ED394" s="19"/>
      <c r="EE394" s="19"/>
      <c r="EF394" s="19"/>
      <c r="EG394" s="19"/>
      <c r="EH394" s="19"/>
      <c r="EI394" s="19"/>
      <c r="EJ394" s="19"/>
      <c r="EK394" s="19"/>
      <c r="EL394" s="19"/>
      <c r="EM394" s="19"/>
      <c r="EN394" s="19"/>
      <c r="EO394" s="19"/>
      <c r="EP394" s="19"/>
      <c r="EQ394" s="19"/>
      <c r="ER394" s="19"/>
      <c r="ES394" s="19"/>
      <c r="ET394" s="19"/>
      <c r="EU394" s="19"/>
      <c r="EV394" s="19"/>
      <c r="EW394" s="19"/>
      <c r="EX394" s="19"/>
      <c r="EY394" s="19"/>
      <c r="EZ394" s="19"/>
      <c r="FA394" s="19"/>
      <c r="FB394" s="19"/>
      <c r="FC394" s="19"/>
      <c r="FD394" s="19"/>
      <c r="FE394" s="19"/>
      <c r="FF394" s="19"/>
      <c r="FG394" s="19"/>
      <c r="FH394" s="19"/>
      <c r="FI394" s="19"/>
      <c r="FJ394" s="19"/>
      <c r="FK394" s="19"/>
      <c r="FL394" s="19"/>
      <c r="FM394" s="19"/>
      <c r="FN394" s="19"/>
      <c r="FO394" s="19"/>
      <c r="FP394" s="19"/>
      <c r="FQ394" s="19"/>
      <c r="FR394" s="19"/>
      <c r="FS394" s="19"/>
      <c r="FT394" s="19"/>
      <c r="FU394" s="19"/>
      <c r="FV394" s="19"/>
      <c r="FW394" s="19"/>
      <c r="FX394" s="19"/>
      <c r="FY394" s="19"/>
      <c r="FZ394" s="19"/>
      <c r="GA394" s="19"/>
      <c r="GB394" s="19"/>
      <c r="GC394" s="19"/>
      <c r="GD394" s="19"/>
      <c r="GE394" s="19"/>
      <c r="GF394" s="19"/>
      <c r="GG394" s="19"/>
      <c r="GH394" s="19"/>
      <c r="GI394" s="19"/>
      <c r="GJ394" s="19"/>
      <c r="GK394" s="19"/>
      <c r="GL394" s="19"/>
      <c r="GM394" s="19"/>
      <c r="GN394" s="19"/>
      <c r="GO394" s="19"/>
      <c r="GP394" s="19"/>
      <c r="GQ394" s="19"/>
      <c r="GR394" s="19"/>
      <c r="GS394" s="19"/>
      <c r="GT394" s="19"/>
      <c r="GU394" s="19"/>
      <c r="GV394" s="19"/>
      <c r="GW394" s="19"/>
      <c r="GX394" s="19"/>
      <c r="GY394" s="19"/>
      <c r="GZ394" s="19"/>
      <c r="HA394" s="19"/>
      <c r="HB394" s="19"/>
    </row>
    <row r="395" spans="1:210" x14ac:dyDescent="0.25">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c r="BE395" s="19"/>
      <c r="BF395" s="19"/>
      <c r="BG395" s="19"/>
      <c r="BH395" s="19"/>
      <c r="BI395" s="19"/>
      <c r="BJ395" s="19"/>
      <c r="BK395" s="19"/>
      <c r="BL395" s="19"/>
      <c r="BM395" s="19"/>
      <c r="BN395" s="19"/>
      <c r="BO395" s="19"/>
      <c r="BP395" s="19"/>
      <c r="BQ395" s="19"/>
      <c r="BR395" s="19"/>
      <c r="BS395" s="19"/>
      <c r="BT395" s="19"/>
      <c r="BU395" s="19"/>
      <c r="BV395" s="19"/>
      <c r="BW395" s="19"/>
      <c r="BX395" s="19"/>
      <c r="BY395" s="19"/>
      <c r="BZ395" s="19"/>
      <c r="CA395" s="19"/>
      <c r="CB395" s="19"/>
      <c r="CC395" s="19"/>
      <c r="CD395" s="19"/>
      <c r="CE395" s="19"/>
      <c r="CF395" s="19"/>
      <c r="CG395" s="19"/>
      <c r="CH395" s="19"/>
      <c r="CI395" s="19"/>
      <c r="CJ395" s="19"/>
      <c r="CK395" s="19"/>
      <c r="CL395" s="19"/>
      <c r="CM395" s="19"/>
      <c r="CN395" s="19"/>
      <c r="CO395" s="19"/>
      <c r="CP395" s="19"/>
      <c r="CQ395" s="19"/>
      <c r="CR395" s="19"/>
      <c r="CS395" s="19"/>
      <c r="CT395" s="19"/>
      <c r="CU395" s="19"/>
      <c r="CV395" s="19"/>
      <c r="CW395" s="19"/>
      <c r="CX395" s="19"/>
      <c r="CY395" s="19"/>
      <c r="CZ395" s="19"/>
      <c r="DA395" s="19"/>
      <c r="DB395" s="19"/>
      <c r="DC395" s="19"/>
      <c r="DD395" s="19"/>
      <c r="DE395" s="19"/>
      <c r="DF395" s="19"/>
      <c r="DG395" s="19"/>
      <c r="DH395" s="19"/>
      <c r="DI395" s="19"/>
      <c r="DJ395" s="19"/>
      <c r="DK395" s="19"/>
      <c r="DL395" s="19"/>
      <c r="DM395" s="19"/>
      <c r="DN395" s="19"/>
      <c r="DO395" s="19"/>
      <c r="DP395" s="19"/>
      <c r="DQ395" s="19"/>
      <c r="DR395" s="19"/>
      <c r="DS395" s="19"/>
      <c r="DT395" s="19"/>
      <c r="DU395" s="19"/>
      <c r="DV395" s="19"/>
      <c r="DW395" s="19"/>
      <c r="DX395" s="19"/>
      <c r="DY395" s="19"/>
      <c r="DZ395" s="19"/>
      <c r="EA395" s="19"/>
      <c r="EB395" s="19"/>
      <c r="EC395" s="19"/>
      <c r="ED395" s="19"/>
      <c r="EE395" s="19"/>
      <c r="EF395" s="19"/>
      <c r="EG395" s="19"/>
      <c r="EH395" s="19"/>
      <c r="EI395" s="19"/>
      <c r="EJ395" s="19"/>
      <c r="EK395" s="19"/>
      <c r="EL395" s="19"/>
      <c r="EM395" s="19"/>
      <c r="EN395" s="19"/>
      <c r="EO395" s="19"/>
      <c r="EP395" s="19"/>
      <c r="EQ395" s="19"/>
      <c r="ER395" s="19"/>
      <c r="ES395" s="19"/>
      <c r="ET395" s="19"/>
      <c r="EU395" s="19"/>
      <c r="EV395" s="19"/>
      <c r="EW395" s="19"/>
      <c r="EX395" s="19"/>
      <c r="EY395" s="19"/>
      <c r="EZ395" s="19"/>
      <c r="FA395" s="19"/>
      <c r="FB395" s="19"/>
      <c r="FC395" s="19"/>
      <c r="FD395" s="19"/>
      <c r="FE395" s="19"/>
      <c r="FF395" s="19"/>
      <c r="FG395" s="19"/>
      <c r="FH395" s="19"/>
      <c r="FI395" s="19"/>
      <c r="FJ395" s="19"/>
      <c r="FK395" s="19"/>
      <c r="FL395" s="19"/>
      <c r="FM395" s="19"/>
      <c r="FN395" s="19"/>
      <c r="FO395" s="19"/>
      <c r="FP395" s="19"/>
      <c r="FQ395" s="19"/>
      <c r="FR395" s="19"/>
      <c r="FS395" s="19"/>
      <c r="FT395" s="19"/>
      <c r="FU395" s="19"/>
      <c r="FV395" s="19"/>
      <c r="FW395" s="19"/>
      <c r="FX395" s="19"/>
      <c r="FY395" s="19"/>
      <c r="FZ395" s="19"/>
      <c r="GA395" s="19"/>
      <c r="GB395" s="19"/>
      <c r="GC395" s="19"/>
      <c r="GD395" s="19"/>
      <c r="GE395" s="19"/>
      <c r="GF395" s="19"/>
      <c r="GG395" s="19"/>
      <c r="GH395" s="19"/>
      <c r="GI395" s="19"/>
      <c r="GJ395" s="19"/>
      <c r="GK395" s="19"/>
      <c r="GL395" s="19"/>
      <c r="GM395" s="19"/>
      <c r="GN395" s="19"/>
      <c r="GO395" s="19"/>
      <c r="GP395" s="19"/>
      <c r="GQ395" s="19"/>
      <c r="GR395" s="19"/>
      <c r="GS395" s="19"/>
      <c r="GT395" s="19"/>
      <c r="GU395" s="19"/>
      <c r="GV395" s="19"/>
      <c r="GW395" s="19"/>
      <c r="GX395" s="19"/>
      <c r="GY395" s="19"/>
      <c r="GZ395" s="19"/>
      <c r="HA395" s="19"/>
      <c r="HB395" s="19"/>
    </row>
    <row r="396" spans="1:210" x14ac:dyDescent="0.25">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c r="BE396" s="19"/>
      <c r="BF396" s="19"/>
      <c r="BG396" s="19"/>
      <c r="BH396" s="19"/>
      <c r="BI396" s="19"/>
      <c r="BJ396" s="19"/>
      <c r="BK396" s="19"/>
      <c r="BL396" s="19"/>
      <c r="BM396" s="19"/>
      <c r="BN396" s="19"/>
      <c r="BO396" s="19"/>
      <c r="BP396" s="19"/>
      <c r="BQ396" s="19"/>
      <c r="BR396" s="19"/>
      <c r="BS396" s="19"/>
      <c r="BT396" s="19"/>
      <c r="BU396" s="19"/>
      <c r="BV396" s="19"/>
      <c r="BW396" s="19"/>
      <c r="BX396" s="19"/>
      <c r="BY396" s="19"/>
      <c r="BZ396" s="19"/>
      <c r="CA396" s="19"/>
      <c r="CB396" s="19"/>
      <c r="CC396" s="19"/>
      <c r="CD396" s="19"/>
      <c r="CE396" s="19"/>
      <c r="CF396" s="19"/>
      <c r="CG396" s="19"/>
      <c r="CH396" s="19"/>
      <c r="CI396" s="19"/>
      <c r="CJ396" s="19"/>
      <c r="CK396" s="19"/>
      <c r="CL396" s="19"/>
      <c r="CM396" s="19"/>
      <c r="CN396" s="19"/>
      <c r="CO396" s="19"/>
      <c r="CP396" s="19"/>
      <c r="CQ396" s="19"/>
      <c r="CR396" s="19"/>
      <c r="CS396" s="19"/>
      <c r="CT396" s="19"/>
      <c r="CU396" s="19"/>
      <c r="CV396" s="19"/>
      <c r="CW396" s="19"/>
      <c r="CX396" s="19"/>
      <c r="CY396" s="19"/>
      <c r="CZ396" s="19"/>
      <c r="DA396" s="19"/>
      <c r="DB396" s="19"/>
      <c r="DC396" s="19"/>
      <c r="DD396" s="19"/>
      <c r="DE396" s="19"/>
      <c r="DF396" s="19"/>
      <c r="DG396" s="19"/>
      <c r="DH396" s="19"/>
      <c r="DI396" s="19"/>
      <c r="DJ396" s="19"/>
      <c r="DK396" s="19"/>
      <c r="DL396" s="19"/>
      <c r="DM396" s="19"/>
      <c r="DN396" s="19"/>
      <c r="DO396" s="19"/>
      <c r="DP396" s="19"/>
      <c r="DQ396" s="19"/>
      <c r="DR396" s="19"/>
      <c r="DS396" s="19"/>
      <c r="DT396" s="19"/>
      <c r="DU396" s="19"/>
      <c r="DV396" s="19"/>
      <c r="DW396" s="19"/>
      <c r="DX396" s="19"/>
      <c r="DY396" s="19"/>
      <c r="DZ396" s="19"/>
      <c r="EA396" s="19"/>
      <c r="EB396" s="19"/>
      <c r="EC396" s="19"/>
      <c r="ED396" s="19"/>
      <c r="EE396" s="19"/>
      <c r="EF396" s="19"/>
      <c r="EG396" s="19"/>
      <c r="EH396" s="19"/>
      <c r="EI396" s="19"/>
      <c r="EJ396" s="19"/>
      <c r="EK396" s="19"/>
      <c r="EL396" s="19"/>
      <c r="EM396" s="19"/>
      <c r="EN396" s="19"/>
      <c r="EO396" s="19"/>
      <c r="EP396" s="19"/>
      <c r="EQ396" s="19"/>
      <c r="ER396" s="19"/>
      <c r="ES396" s="19"/>
      <c r="ET396" s="19"/>
      <c r="EU396" s="19"/>
      <c r="EV396" s="19"/>
      <c r="EW396" s="19"/>
      <c r="EX396" s="19"/>
      <c r="EY396" s="19"/>
      <c r="EZ396" s="19"/>
      <c r="FA396" s="19"/>
      <c r="FB396" s="19"/>
      <c r="FC396" s="19"/>
      <c r="FD396" s="19"/>
      <c r="FE396" s="19"/>
      <c r="FF396" s="19"/>
      <c r="FG396" s="19"/>
      <c r="FH396" s="19"/>
      <c r="FI396" s="19"/>
      <c r="FJ396" s="19"/>
      <c r="FK396" s="19"/>
      <c r="FL396" s="19"/>
      <c r="FM396" s="19"/>
      <c r="FN396" s="19"/>
      <c r="FO396" s="19"/>
      <c r="FP396" s="19"/>
      <c r="FQ396" s="19"/>
      <c r="FR396" s="19"/>
      <c r="FS396" s="19"/>
      <c r="FT396" s="19"/>
      <c r="FU396" s="19"/>
      <c r="FV396" s="19"/>
      <c r="FW396" s="19"/>
      <c r="FX396" s="19"/>
      <c r="FY396" s="19"/>
      <c r="FZ396" s="19"/>
      <c r="GA396" s="19"/>
      <c r="GB396" s="19"/>
      <c r="GC396" s="19"/>
      <c r="GD396" s="19"/>
      <c r="GE396" s="19"/>
      <c r="GF396" s="19"/>
      <c r="GG396" s="19"/>
      <c r="GH396" s="19"/>
      <c r="GI396" s="19"/>
      <c r="GJ396" s="19"/>
      <c r="GK396" s="19"/>
      <c r="GL396" s="19"/>
      <c r="GM396" s="19"/>
      <c r="GN396" s="19"/>
      <c r="GO396" s="19"/>
      <c r="GP396" s="19"/>
      <c r="GQ396" s="19"/>
      <c r="GR396" s="19"/>
      <c r="GS396" s="19"/>
      <c r="GT396" s="19"/>
      <c r="GU396" s="19"/>
      <c r="GV396" s="19"/>
      <c r="GW396" s="19"/>
      <c r="GX396" s="19"/>
      <c r="GY396" s="19"/>
      <c r="GZ396" s="19"/>
      <c r="HA396" s="19"/>
      <c r="HB396" s="19"/>
    </row>
    <row r="397" spans="1:210" x14ac:dyDescent="0.25">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c r="BE397" s="19"/>
      <c r="BF397" s="19"/>
      <c r="BG397" s="19"/>
      <c r="BH397" s="19"/>
      <c r="BI397" s="19"/>
      <c r="BJ397" s="19"/>
      <c r="BK397" s="19"/>
      <c r="BL397" s="19"/>
      <c r="BM397" s="19"/>
      <c r="BN397" s="19"/>
      <c r="BO397" s="19"/>
      <c r="BP397" s="19"/>
      <c r="BQ397" s="19"/>
      <c r="BR397" s="19"/>
      <c r="BS397" s="19"/>
      <c r="BT397" s="19"/>
      <c r="BU397" s="19"/>
      <c r="BV397" s="19"/>
      <c r="BW397" s="19"/>
      <c r="BX397" s="19"/>
      <c r="BY397" s="19"/>
      <c r="BZ397" s="19"/>
      <c r="CA397" s="19"/>
      <c r="CB397" s="19"/>
      <c r="CC397" s="19"/>
      <c r="CD397" s="19"/>
      <c r="CE397" s="19"/>
      <c r="CF397" s="19"/>
      <c r="CG397" s="19"/>
      <c r="CH397" s="19"/>
      <c r="CI397" s="19"/>
      <c r="CJ397" s="19"/>
      <c r="CK397" s="19"/>
      <c r="CL397" s="19"/>
      <c r="CM397" s="19"/>
      <c r="CN397" s="19"/>
      <c r="CO397" s="19"/>
      <c r="CP397" s="19"/>
      <c r="CQ397" s="19"/>
      <c r="CR397" s="19"/>
      <c r="CS397" s="19"/>
      <c r="CT397" s="19"/>
      <c r="CU397" s="19"/>
      <c r="CV397" s="19"/>
      <c r="CW397" s="19"/>
      <c r="CX397" s="19"/>
      <c r="CY397" s="19"/>
      <c r="CZ397" s="19"/>
      <c r="DA397" s="19"/>
      <c r="DB397" s="19"/>
      <c r="DC397" s="19"/>
      <c r="DD397" s="19"/>
      <c r="DE397" s="19"/>
      <c r="DF397" s="19"/>
      <c r="DG397" s="19"/>
      <c r="DH397" s="19"/>
      <c r="DI397" s="19"/>
      <c r="DJ397" s="19"/>
      <c r="DK397" s="19"/>
      <c r="DL397" s="19"/>
      <c r="DM397" s="19"/>
      <c r="DN397" s="19"/>
      <c r="DO397" s="19"/>
      <c r="DP397" s="19"/>
      <c r="DQ397" s="19"/>
      <c r="DR397" s="19"/>
      <c r="DS397" s="19"/>
      <c r="DT397" s="19"/>
      <c r="DU397" s="19"/>
      <c r="DV397" s="19"/>
      <c r="DW397" s="19"/>
      <c r="DX397" s="19"/>
      <c r="DY397" s="19"/>
      <c r="DZ397" s="19"/>
      <c r="EA397" s="19"/>
      <c r="EB397" s="19"/>
      <c r="EC397" s="19"/>
      <c r="ED397" s="19"/>
      <c r="EE397" s="19"/>
      <c r="EF397" s="19"/>
      <c r="EG397" s="19"/>
      <c r="EH397" s="19"/>
      <c r="EI397" s="19"/>
      <c r="EJ397" s="19"/>
      <c r="EK397" s="19"/>
      <c r="EL397" s="19"/>
      <c r="EM397" s="19"/>
      <c r="EN397" s="19"/>
      <c r="EO397" s="19"/>
      <c r="EP397" s="19"/>
      <c r="EQ397" s="19"/>
      <c r="ER397" s="19"/>
      <c r="ES397" s="19"/>
      <c r="ET397" s="19"/>
      <c r="EU397" s="19"/>
      <c r="EV397" s="19"/>
      <c r="EW397" s="19"/>
      <c r="EX397" s="19"/>
      <c r="EY397" s="19"/>
      <c r="EZ397" s="19"/>
      <c r="FA397" s="19"/>
      <c r="FB397" s="19"/>
      <c r="FC397" s="19"/>
      <c r="FD397" s="19"/>
      <c r="FE397" s="19"/>
      <c r="FF397" s="19"/>
      <c r="FG397" s="19"/>
      <c r="FH397" s="19"/>
      <c r="FI397" s="19"/>
      <c r="FJ397" s="19"/>
      <c r="FK397" s="19"/>
      <c r="FL397" s="19"/>
      <c r="FM397" s="19"/>
      <c r="FN397" s="19"/>
      <c r="FO397" s="19"/>
      <c r="FP397" s="19"/>
      <c r="FQ397" s="19"/>
      <c r="FR397" s="19"/>
      <c r="FS397" s="19"/>
      <c r="FT397" s="19"/>
      <c r="FU397" s="19"/>
      <c r="FV397" s="19"/>
      <c r="FW397" s="19"/>
      <c r="FX397" s="19"/>
      <c r="FY397" s="19"/>
      <c r="FZ397" s="19"/>
      <c r="GA397" s="19"/>
      <c r="GB397" s="19"/>
      <c r="GC397" s="19"/>
      <c r="GD397" s="19"/>
      <c r="GE397" s="19"/>
      <c r="GF397" s="19"/>
      <c r="GG397" s="19"/>
      <c r="GH397" s="19"/>
      <c r="GI397" s="19"/>
      <c r="GJ397" s="19"/>
      <c r="GK397" s="19"/>
      <c r="GL397" s="19"/>
      <c r="GM397" s="19"/>
      <c r="GN397" s="19"/>
      <c r="GO397" s="19"/>
      <c r="GP397" s="19"/>
      <c r="GQ397" s="19"/>
      <c r="GR397" s="19"/>
      <c r="GS397" s="19"/>
      <c r="GT397" s="19"/>
      <c r="GU397" s="19"/>
      <c r="GV397" s="19"/>
      <c r="GW397" s="19"/>
      <c r="GX397" s="19"/>
      <c r="GY397" s="19"/>
      <c r="GZ397" s="19"/>
      <c r="HA397" s="19"/>
      <c r="HB397" s="19"/>
    </row>
    <row r="398" spans="1:210" x14ac:dyDescent="0.25">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c r="BE398" s="19"/>
      <c r="BF398" s="19"/>
      <c r="BG398" s="19"/>
      <c r="BH398" s="19"/>
      <c r="BI398" s="19"/>
      <c r="BJ398" s="19"/>
      <c r="BK398" s="19"/>
      <c r="BL398" s="19"/>
      <c r="BM398" s="19"/>
      <c r="BN398" s="19"/>
      <c r="BO398" s="19"/>
      <c r="BP398" s="19"/>
      <c r="BQ398" s="19"/>
      <c r="BR398" s="19"/>
      <c r="BS398" s="19"/>
      <c r="BT398" s="19"/>
      <c r="BU398" s="19"/>
      <c r="BV398" s="19"/>
      <c r="BW398" s="19"/>
      <c r="BX398" s="19"/>
      <c r="BY398" s="19"/>
      <c r="BZ398" s="19"/>
      <c r="CA398" s="19"/>
      <c r="CB398" s="19"/>
      <c r="CC398" s="19"/>
      <c r="CD398" s="19"/>
      <c r="CE398" s="19"/>
      <c r="CF398" s="19"/>
      <c r="CG398" s="19"/>
      <c r="CH398" s="19"/>
      <c r="CI398" s="19"/>
      <c r="CJ398" s="19"/>
      <c r="CK398" s="19"/>
      <c r="CL398" s="19"/>
      <c r="CM398" s="19"/>
      <c r="CN398" s="19"/>
      <c r="CO398" s="19"/>
      <c r="CP398" s="19"/>
      <c r="CQ398" s="19"/>
      <c r="CR398" s="19"/>
      <c r="CS398" s="19"/>
      <c r="CT398" s="19"/>
      <c r="CU398" s="19"/>
      <c r="CV398" s="19"/>
      <c r="CW398" s="19"/>
      <c r="CX398" s="19"/>
      <c r="CY398" s="19"/>
      <c r="CZ398" s="19"/>
      <c r="DA398" s="19"/>
      <c r="DB398" s="19"/>
      <c r="DC398" s="19"/>
      <c r="DD398" s="19"/>
      <c r="DE398" s="19"/>
      <c r="DF398" s="19"/>
      <c r="DG398" s="19"/>
      <c r="DH398" s="19"/>
      <c r="DI398" s="19"/>
      <c r="DJ398" s="19"/>
      <c r="DK398" s="19"/>
      <c r="DL398" s="19"/>
      <c r="DM398" s="19"/>
      <c r="DN398" s="19"/>
      <c r="DO398" s="19"/>
      <c r="DP398" s="19"/>
      <c r="DQ398" s="19"/>
      <c r="DR398" s="19"/>
      <c r="DS398" s="19"/>
      <c r="DT398" s="19"/>
      <c r="DU398" s="19"/>
      <c r="DV398" s="19"/>
      <c r="DW398" s="19"/>
      <c r="DX398" s="19"/>
      <c r="DY398" s="19"/>
      <c r="DZ398" s="19"/>
      <c r="EA398" s="19"/>
      <c r="EB398" s="19"/>
      <c r="EC398" s="19"/>
      <c r="ED398" s="19"/>
      <c r="EE398" s="19"/>
      <c r="EF398" s="19"/>
      <c r="EG398" s="19"/>
      <c r="EH398" s="19"/>
      <c r="EI398" s="19"/>
      <c r="EJ398" s="19"/>
      <c r="EK398" s="19"/>
      <c r="EL398" s="19"/>
      <c r="EM398" s="19"/>
      <c r="EN398" s="19"/>
      <c r="EO398" s="19"/>
      <c r="EP398" s="19"/>
      <c r="EQ398" s="19"/>
      <c r="ER398" s="19"/>
      <c r="ES398" s="19"/>
      <c r="ET398" s="19"/>
      <c r="EU398" s="19"/>
      <c r="EV398" s="19"/>
      <c r="EW398" s="19"/>
      <c r="EX398" s="19"/>
      <c r="EY398" s="19"/>
      <c r="EZ398" s="19"/>
      <c r="FA398" s="19"/>
      <c r="FB398" s="19"/>
      <c r="FC398" s="19"/>
      <c r="FD398" s="19"/>
      <c r="FE398" s="19"/>
      <c r="FF398" s="19"/>
      <c r="FG398" s="19"/>
      <c r="FH398" s="19"/>
      <c r="FI398" s="19"/>
      <c r="FJ398" s="19"/>
      <c r="FK398" s="19"/>
      <c r="FL398" s="19"/>
      <c r="FM398" s="19"/>
      <c r="FN398" s="19"/>
      <c r="FO398" s="19"/>
      <c r="FP398" s="19"/>
      <c r="FQ398" s="19"/>
      <c r="FR398" s="19"/>
      <c r="FS398" s="19"/>
      <c r="FT398" s="19"/>
      <c r="FU398" s="19"/>
      <c r="FV398" s="19"/>
      <c r="FW398" s="19"/>
      <c r="FX398" s="19"/>
      <c r="FY398" s="19"/>
      <c r="FZ398" s="19"/>
      <c r="GA398" s="19"/>
      <c r="GB398" s="19"/>
      <c r="GC398" s="19"/>
      <c r="GD398" s="19"/>
      <c r="GE398" s="19"/>
      <c r="GF398" s="19"/>
      <c r="GG398" s="19"/>
      <c r="GH398" s="19"/>
      <c r="GI398" s="19"/>
      <c r="GJ398" s="19"/>
      <c r="GK398" s="19"/>
      <c r="GL398" s="19"/>
      <c r="GM398" s="19"/>
      <c r="GN398" s="19"/>
      <c r="GO398" s="19"/>
      <c r="GP398" s="19"/>
      <c r="GQ398" s="19"/>
      <c r="GR398" s="19"/>
      <c r="GS398" s="19"/>
      <c r="GT398" s="19"/>
      <c r="GU398" s="19"/>
      <c r="GV398" s="19"/>
      <c r="GW398" s="19"/>
      <c r="GX398" s="19"/>
      <c r="GY398" s="19"/>
      <c r="GZ398" s="19"/>
      <c r="HA398" s="19"/>
      <c r="HB398" s="19"/>
    </row>
    <row r="399" spans="1:210" x14ac:dyDescent="0.25">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c r="BE399" s="19"/>
      <c r="BF399" s="19"/>
      <c r="BG399" s="19"/>
      <c r="BH399" s="19"/>
      <c r="BI399" s="19"/>
      <c r="BJ399" s="19"/>
      <c r="BK399" s="19"/>
      <c r="BL399" s="19"/>
      <c r="BM399" s="19"/>
      <c r="BN399" s="19"/>
      <c r="BO399" s="19"/>
      <c r="BP399" s="19"/>
      <c r="BQ399" s="19"/>
      <c r="BR399" s="19"/>
      <c r="BS399" s="19"/>
      <c r="BT399" s="19"/>
      <c r="BU399" s="19"/>
      <c r="BV399" s="19"/>
      <c r="BW399" s="19"/>
      <c r="BX399" s="19"/>
      <c r="BY399" s="19"/>
      <c r="BZ399" s="19"/>
      <c r="CA399" s="19"/>
      <c r="CB399" s="19"/>
      <c r="CC399" s="19"/>
      <c r="CD399" s="19"/>
      <c r="CE399" s="19"/>
      <c r="CF399" s="19"/>
      <c r="CG399" s="19"/>
      <c r="CH399" s="19"/>
      <c r="CI399" s="19"/>
      <c r="CJ399" s="19"/>
      <c r="CK399" s="19"/>
      <c r="CL399" s="19"/>
      <c r="CM399" s="19"/>
      <c r="CN399" s="19"/>
      <c r="CO399" s="19"/>
      <c r="CP399" s="19"/>
      <c r="CQ399" s="19"/>
      <c r="CR399" s="19"/>
      <c r="CS399" s="19"/>
      <c r="CT399" s="19"/>
      <c r="CU399" s="19"/>
      <c r="CV399" s="19"/>
      <c r="CW399" s="19"/>
      <c r="CX399" s="19"/>
      <c r="CY399" s="19"/>
      <c r="CZ399" s="19"/>
      <c r="DA399" s="19"/>
      <c r="DB399" s="19"/>
      <c r="DC399" s="19"/>
      <c r="DD399" s="19"/>
      <c r="DE399" s="19"/>
      <c r="DF399" s="19"/>
      <c r="DG399" s="19"/>
      <c r="DH399" s="19"/>
      <c r="DI399" s="19"/>
      <c r="DJ399" s="19"/>
      <c r="DK399" s="19"/>
      <c r="DL399" s="19"/>
      <c r="DM399" s="19"/>
      <c r="DN399" s="19"/>
      <c r="DO399" s="19"/>
      <c r="DP399" s="19"/>
      <c r="DQ399" s="19"/>
      <c r="DR399" s="19"/>
      <c r="DS399" s="19"/>
      <c r="DT399" s="19"/>
      <c r="DU399" s="19"/>
      <c r="DV399" s="19"/>
      <c r="DW399" s="19"/>
      <c r="DX399" s="19"/>
      <c r="DY399" s="19"/>
      <c r="DZ399" s="19"/>
      <c r="EA399" s="19"/>
      <c r="EB399" s="19"/>
      <c r="EC399" s="19"/>
      <c r="ED399" s="19"/>
      <c r="EE399" s="19"/>
      <c r="EF399" s="19"/>
      <c r="EG399" s="19"/>
      <c r="EH399" s="19"/>
      <c r="EI399" s="19"/>
      <c r="EJ399" s="19"/>
      <c r="EK399" s="19"/>
      <c r="EL399" s="19"/>
      <c r="EM399" s="19"/>
      <c r="EN399" s="19"/>
      <c r="EO399" s="19"/>
      <c r="EP399" s="19"/>
      <c r="EQ399" s="19"/>
      <c r="ER399" s="19"/>
      <c r="ES399" s="19"/>
      <c r="ET399" s="19"/>
      <c r="EU399" s="19"/>
      <c r="EV399" s="19"/>
      <c r="EW399" s="19"/>
      <c r="EX399" s="19"/>
      <c r="EY399" s="19"/>
      <c r="EZ399" s="19"/>
      <c r="FA399" s="19"/>
      <c r="FB399" s="19"/>
      <c r="FC399" s="19"/>
      <c r="FD399" s="19"/>
      <c r="FE399" s="19"/>
      <c r="FF399" s="19"/>
      <c r="FG399" s="19"/>
      <c r="FH399" s="19"/>
      <c r="FI399" s="19"/>
      <c r="FJ399" s="19"/>
      <c r="FK399" s="19"/>
      <c r="FL399" s="19"/>
      <c r="FM399" s="19"/>
      <c r="FN399" s="19"/>
      <c r="FO399" s="19"/>
      <c r="FP399" s="19"/>
      <c r="FQ399" s="19"/>
      <c r="FR399" s="19"/>
      <c r="FS399" s="19"/>
      <c r="FT399" s="19"/>
      <c r="FU399" s="19"/>
      <c r="FV399" s="19"/>
      <c r="FW399" s="19"/>
      <c r="FX399" s="19"/>
      <c r="FY399" s="19"/>
      <c r="FZ399" s="19"/>
      <c r="GA399" s="19"/>
      <c r="GB399" s="19"/>
      <c r="GC399" s="19"/>
      <c r="GD399" s="19"/>
      <c r="GE399" s="19"/>
      <c r="GF399" s="19"/>
      <c r="GG399" s="19"/>
      <c r="GH399" s="19"/>
      <c r="GI399" s="19"/>
      <c r="GJ399" s="19"/>
      <c r="GK399" s="19"/>
      <c r="GL399" s="19"/>
      <c r="GM399" s="19"/>
      <c r="GN399" s="19"/>
      <c r="GO399" s="19"/>
      <c r="GP399" s="19"/>
      <c r="GQ399" s="19"/>
      <c r="GR399" s="19"/>
      <c r="GS399" s="19"/>
      <c r="GT399" s="19"/>
      <c r="GU399" s="19"/>
      <c r="GV399" s="19"/>
      <c r="GW399" s="19"/>
      <c r="GX399" s="19"/>
      <c r="GY399" s="19"/>
      <c r="GZ399" s="19"/>
      <c r="HA399" s="19"/>
      <c r="HB399" s="19"/>
    </row>
    <row r="400" spans="1:210" x14ac:dyDescent="0.25">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c r="BE400" s="19"/>
      <c r="BF400" s="19"/>
      <c r="BG400" s="19"/>
      <c r="BH400" s="19"/>
      <c r="BI400" s="19"/>
      <c r="BJ400" s="19"/>
      <c r="BK400" s="19"/>
      <c r="BL400" s="19"/>
      <c r="BM400" s="19"/>
      <c r="BN400" s="19"/>
      <c r="BO400" s="19"/>
      <c r="BP400" s="19"/>
      <c r="BQ400" s="19"/>
      <c r="BR400" s="19"/>
      <c r="BS400" s="19"/>
      <c r="BT400" s="19"/>
      <c r="BU400" s="19"/>
      <c r="BV400" s="19"/>
      <c r="BW400" s="19"/>
      <c r="BX400" s="19"/>
      <c r="BY400" s="19"/>
      <c r="BZ400" s="19"/>
      <c r="CA400" s="19"/>
      <c r="CB400" s="19"/>
      <c r="CC400" s="19"/>
      <c r="CD400" s="19"/>
      <c r="CE400" s="19"/>
      <c r="CF400" s="19"/>
      <c r="CG400" s="19"/>
      <c r="CH400" s="19"/>
      <c r="CI400" s="19"/>
      <c r="CJ400" s="19"/>
      <c r="CK400" s="19"/>
      <c r="CL400" s="19"/>
      <c r="CM400" s="19"/>
      <c r="CN400" s="19"/>
      <c r="CO400" s="19"/>
      <c r="CP400" s="19"/>
      <c r="CQ400" s="19"/>
      <c r="CR400" s="19"/>
      <c r="CS400" s="19"/>
      <c r="CT400" s="19"/>
      <c r="CU400" s="19"/>
      <c r="CV400" s="19"/>
      <c r="CW400" s="19"/>
      <c r="CX400" s="19"/>
      <c r="CY400" s="19"/>
      <c r="CZ400" s="19"/>
      <c r="DA400" s="19"/>
      <c r="DB400" s="19"/>
      <c r="DC400" s="19"/>
      <c r="DD400" s="19"/>
      <c r="DE400" s="19"/>
      <c r="DF400" s="19"/>
      <c r="DG400" s="19"/>
      <c r="DH400" s="19"/>
      <c r="DI400" s="19"/>
      <c r="DJ400" s="19"/>
      <c r="DK400" s="19"/>
      <c r="DL400" s="19"/>
      <c r="DM400" s="19"/>
      <c r="DN400" s="19"/>
      <c r="DO400" s="19"/>
      <c r="DP400" s="19"/>
      <c r="DQ400" s="19"/>
      <c r="DR400" s="19"/>
      <c r="DS400" s="19"/>
      <c r="DT400" s="19"/>
      <c r="DU400" s="19"/>
      <c r="DV400" s="19"/>
      <c r="DW400" s="19"/>
      <c r="DX400" s="19"/>
      <c r="DY400" s="19"/>
      <c r="DZ400" s="19"/>
      <c r="EA400" s="19"/>
      <c r="EB400" s="19"/>
      <c r="EC400" s="19"/>
      <c r="ED400" s="19"/>
      <c r="EE400" s="19"/>
      <c r="EF400" s="19"/>
      <c r="EG400" s="19"/>
      <c r="EH400" s="19"/>
      <c r="EI400" s="19"/>
      <c r="EJ400" s="19"/>
      <c r="EK400" s="19"/>
      <c r="EL400" s="19"/>
      <c r="EM400" s="19"/>
      <c r="EN400" s="19"/>
      <c r="EO400" s="19"/>
      <c r="EP400" s="19"/>
      <c r="EQ400" s="19"/>
      <c r="ER400" s="19"/>
      <c r="ES400" s="19"/>
      <c r="ET400" s="19"/>
      <c r="EU400" s="19"/>
      <c r="EV400" s="19"/>
      <c r="EW400" s="19"/>
      <c r="EX400" s="19"/>
      <c r="EY400" s="19"/>
      <c r="EZ400" s="19"/>
      <c r="FA400" s="19"/>
      <c r="FB400" s="19"/>
      <c r="FC400" s="19"/>
      <c r="FD400" s="19"/>
      <c r="FE400" s="19"/>
      <c r="FF400" s="19"/>
      <c r="FG400" s="19"/>
      <c r="FH400" s="19"/>
      <c r="FI400" s="19"/>
      <c r="FJ400" s="19"/>
      <c r="FK400" s="19"/>
      <c r="FL400" s="19"/>
      <c r="FM400" s="19"/>
      <c r="FN400" s="19"/>
      <c r="FO400" s="19"/>
      <c r="FP400" s="19"/>
      <c r="FQ400" s="19"/>
      <c r="FR400" s="19"/>
      <c r="FS400" s="19"/>
      <c r="FT400" s="19"/>
      <c r="FU400" s="19"/>
      <c r="FV400" s="19"/>
      <c r="FW400" s="19"/>
      <c r="FX400" s="19"/>
      <c r="FY400" s="19"/>
      <c r="FZ400" s="19"/>
      <c r="GA400" s="19"/>
      <c r="GB400" s="19"/>
      <c r="GC400" s="19"/>
      <c r="GD400" s="19"/>
      <c r="GE400" s="19"/>
      <c r="GF400" s="19"/>
      <c r="GG400" s="19"/>
      <c r="GH400" s="19"/>
      <c r="GI400" s="19"/>
      <c r="GJ400" s="19"/>
      <c r="GK400" s="19"/>
      <c r="GL400" s="19"/>
      <c r="GM400" s="19"/>
      <c r="GN400" s="19"/>
      <c r="GO400" s="19"/>
      <c r="GP400" s="19"/>
      <c r="GQ400" s="19"/>
      <c r="GR400" s="19"/>
      <c r="GS400" s="19"/>
      <c r="GT400" s="19"/>
      <c r="GU400" s="19"/>
      <c r="GV400" s="19"/>
      <c r="GW400" s="19"/>
      <c r="GX400" s="19"/>
      <c r="GY400" s="19"/>
      <c r="GZ400" s="19"/>
      <c r="HA400" s="19"/>
      <c r="HB400" s="19"/>
    </row>
    <row r="401" spans="1:210" x14ac:dyDescent="0.25">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c r="BE401" s="19"/>
      <c r="BF401" s="19"/>
      <c r="BG401" s="19"/>
      <c r="BH401" s="19"/>
      <c r="BI401" s="19"/>
      <c r="BJ401" s="19"/>
      <c r="BK401" s="19"/>
      <c r="BL401" s="19"/>
      <c r="BM401" s="19"/>
      <c r="BN401" s="19"/>
      <c r="BO401" s="19"/>
      <c r="BP401" s="19"/>
      <c r="BQ401" s="19"/>
      <c r="BR401" s="19"/>
      <c r="BS401" s="19"/>
      <c r="BT401" s="19"/>
      <c r="BU401" s="19"/>
      <c r="BV401" s="19"/>
      <c r="BW401" s="19"/>
      <c r="BX401" s="19"/>
      <c r="BY401" s="19"/>
      <c r="BZ401" s="19"/>
      <c r="CA401" s="19"/>
      <c r="CB401" s="19"/>
      <c r="CC401" s="19"/>
      <c r="CD401" s="19"/>
      <c r="CE401" s="19"/>
      <c r="CF401" s="19"/>
      <c r="CG401" s="19"/>
      <c r="CH401" s="19"/>
      <c r="CI401" s="19"/>
      <c r="CJ401" s="19"/>
      <c r="CK401" s="19"/>
      <c r="CL401" s="19"/>
      <c r="CM401" s="19"/>
      <c r="CN401" s="19"/>
      <c r="CO401" s="19"/>
      <c r="CP401" s="19"/>
      <c r="CQ401" s="19"/>
      <c r="CR401" s="19"/>
      <c r="CS401" s="19"/>
      <c r="CT401" s="19"/>
      <c r="CU401" s="19"/>
      <c r="CV401" s="19"/>
      <c r="CW401" s="19"/>
      <c r="CX401" s="19"/>
      <c r="CY401" s="19"/>
      <c r="CZ401" s="19"/>
      <c r="DA401" s="19"/>
      <c r="DB401" s="19"/>
      <c r="DC401" s="19"/>
      <c r="DD401" s="19"/>
      <c r="DE401" s="19"/>
      <c r="DF401" s="19"/>
      <c r="DG401" s="19"/>
      <c r="DH401" s="19"/>
      <c r="DI401" s="19"/>
      <c r="DJ401" s="19"/>
      <c r="DK401" s="19"/>
      <c r="DL401" s="19"/>
      <c r="DM401" s="19"/>
      <c r="DN401" s="19"/>
      <c r="DO401" s="19"/>
      <c r="DP401" s="19"/>
      <c r="DQ401" s="19"/>
      <c r="DR401" s="19"/>
      <c r="DS401" s="19"/>
      <c r="DT401" s="19"/>
      <c r="DU401" s="19"/>
      <c r="DV401" s="19"/>
      <c r="DW401" s="19"/>
      <c r="DX401" s="19"/>
      <c r="DY401" s="19"/>
      <c r="DZ401" s="19"/>
      <c r="EA401" s="19"/>
      <c r="EB401" s="19"/>
      <c r="EC401" s="19"/>
      <c r="ED401" s="19"/>
      <c r="EE401" s="19"/>
      <c r="EF401" s="19"/>
      <c r="EG401" s="19"/>
      <c r="EH401" s="19"/>
      <c r="EI401" s="19"/>
      <c r="EJ401" s="19"/>
      <c r="EK401" s="19"/>
      <c r="EL401" s="19"/>
      <c r="EM401" s="19"/>
      <c r="EN401" s="19"/>
      <c r="EO401" s="19"/>
      <c r="EP401" s="19"/>
      <c r="EQ401" s="19"/>
      <c r="ER401" s="19"/>
      <c r="ES401" s="19"/>
      <c r="ET401" s="19"/>
      <c r="EU401" s="19"/>
      <c r="EV401" s="19"/>
      <c r="EW401" s="19"/>
      <c r="EX401" s="19"/>
      <c r="EY401" s="19"/>
      <c r="EZ401" s="19"/>
      <c r="FA401" s="19"/>
      <c r="FB401" s="19"/>
      <c r="FC401" s="19"/>
      <c r="FD401" s="19"/>
      <c r="FE401" s="19"/>
      <c r="FF401" s="19"/>
      <c r="FG401" s="19"/>
      <c r="FH401" s="19"/>
      <c r="FI401" s="19"/>
      <c r="FJ401" s="19"/>
      <c r="FK401" s="19"/>
      <c r="FL401" s="19"/>
      <c r="FM401" s="19"/>
      <c r="FN401" s="19"/>
      <c r="FO401" s="19"/>
      <c r="FP401" s="19"/>
      <c r="FQ401" s="19"/>
      <c r="FR401" s="19"/>
      <c r="FS401" s="19"/>
      <c r="FT401" s="19"/>
      <c r="FU401" s="19"/>
      <c r="FV401" s="19"/>
      <c r="FW401" s="19"/>
      <c r="FX401" s="19"/>
      <c r="FY401" s="19"/>
      <c r="FZ401" s="19"/>
      <c r="GA401" s="19"/>
      <c r="GB401" s="19"/>
      <c r="GC401" s="19"/>
      <c r="GD401" s="19"/>
      <c r="GE401" s="19"/>
      <c r="GF401" s="19"/>
      <c r="GG401" s="19"/>
      <c r="GH401" s="19"/>
      <c r="GI401" s="19"/>
      <c r="GJ401" s="19"/>
      <c r="GK401" s="19"/>
      <c r="GL401" s="19"/>
      <c r="GM401" s="19"/>
      <c r="GN401" s="19"/>
      <c r="GO401" s="19"/>
      <c r="GP401" s="19"/>
      <c r="GQ401" s="19"/>
      <c r="GR401" s="19"/>
      <c r="GS401" s="19"/>
      <c r="GT401" s="19"/>
      <c r="GU401" s="19"/>
      <c r="GV401" s="19"/>
      <c r="GW401" s="19"/>
      <c r="GX401" s="19"/>
      <c r="GY401" s="19"/>
      <c r="GZ401" s="19"/>
      <c r="HA401" s="19"/>
      <c r="HB401" s="19"/>
    </row>
    <row r="402" spans="1:210" x14ac:dyDescent="0.25">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c r="BE402" s="19"/>
      <c r="BF402" s="19"/>
      <c r="BG402" s="19"/>
      <c r="BH402" s="19"/>
      <c r="BI402" s="19"/>
      <c r="BJ402" s="19"/>
      <c r="BK402" s="19"/>
      <c r="BL402" s="19"/>
      <c r="BM402" s="19"/>
      <c r="BN402" s="19"/>
      <c r="BO402" s="19"/>
      <c r="BP402" s="19"/>
      <c r="BQ402" s="19"/>
      <c r="BR402" s="19"/>
      <c r="BS402" s="19"/>
      <c r="BT402" s="19"/>
      <c r="BU402" s="19"/>
      <c r="BV402" s="19"/>
      <c r="BW402" s="19"/>
      <c r="BX402" s="19"/>
      <c r="BY402" s="19"/>
      <c r="BZ402" s="19"/>
      <c r="CA402" s="19"/>
      <c r="CB402" s="19"/>
      <c r="CC402" s="19"/>
      <c r="CD402" s="19"/>
      <c r="CE402" s="19"/>
      <c r="CF402" s="19"/>
      <c r="CG402" s="19"/>
      <c r="CH402" s="19"/>
      <c r="CI402" s="19"/>
      <c r="CJ402" s="19"/>
      <c r="CK402" s="19"/>
      <c r="CL402" s="19"/>
      <c r="CM402" s="19"/>
      <c r="CN402" s="19"/>
      <c r="CO402" s="19"/>
      <c r="CP402" s="19"/>
      <c r="CQ402" s="19"/>
      <c r="CR402" s="19"/>
      <c r="CS402" s="19"/>
      <c r="CT402" s="19"/>
      <c r="CU402" s="19"/>
      <c r="CV402" s="19"/>
      <c r="CW402" s="19"/>
      <c r="CX402" s="19"/>
      <c r="CY402" s="19"/>
      <c r="CZ402" s="19"/>
      <c r="DA402" s="19"/>
      <c r="DB402" s="19"/>
      <c r="DC402" s="19"/>
      <c r="DD402" s="19"/>
      <c r="DE402" s="19"/>
      <c r="DF402" s="19"/>
      <c r="DG402" s="19"/>
      <c r="DH402" s="19"/>
      <c r="DI402" s="19"/>
      <c r="DJ402" s="19"/>
      <c r="DK402" s="19"/>
      <c r="DL402" s="19"/>
      <c r="DM402" s="19"/>
      <c r="DN402" s="19"/>
      <c r="DO402" s="19"/>
      <c r="DP402" s="19"/>
      <c r="DQ402" s="19"/>
      <c r="DR402" s="19"/>
      <c r="DS402" s="19"/>
      <c r="DT402" s="19"/>
      <c r="DU402" s="19"/>
      <c r="DV402" s="19"/>
      <c r="DW402" s="19"/>
      <c r="DX402" s="19"/>
      <c r="DY402" s="19"/>
      <c r="DZ402" s="19"/>
      <c r="EA402" s="19"/>
      <c r="EB402" s="19"/>
      <c r="EC402" s="19"/>
      <c r="ED402" s="19"/>
      <c r="EE402" s="19"/>
      <c r="EF402" s="19"/>
      <c r="EG402" s="19"/>
      <c r="EH402" s="19"/>
      <c r="EI402" s="19"/>
      <c r="EJ402" s="19"/>
      <c r="EK402" s="19"/>
      <c r="EL402" s="19"/>
      <c r="EM402" s="19"/>
      <c r="EN402" s="19"/>
      <c r="EO402" s="19"/>
      <c r="EP402" s="19"/>
      <c r="EQ402" s="19"/>
      <c r="ER402" s="19"/>
      <c r="ES402" s="19"/>
      <c r="ET402" s="19"/>
      <c r="EU402" s="19"/>
      <c r="EV402" s="19"/>
      <c r="EW402" s="19"/>
      <c r="EX402" s="19"/>
      <c r="EY402" s="19"/>
      <c r="EZ402" s="19"/>
      <c r="FA402" s="19"/>
      <c r="FB402" s="19"/>
      <c r="FC402" s="19"/>
      <c r="FD402" s="19"/>
      <c r="FE402" s="19"/>
      <c r="FF402" s="19"/>
      <c r="FG402" s="19"/>
      <c r="FH402" s="19"/>
      <c r="FI402" s="19"/>
      <c r="FJ402" s="19"/>
      <c r="FK402" s="19"/>
      <c r="FL402" s="19"/>
      <c r="FM402" s="19"/>
      <c r="FN402" s="19"/>
      <c r="FO402" s="19"/>
      <c r="FP402" s="19"/>
      <c r="FQ402" s="19"/>
      <c r="FR402" s="19"/>
      <c r="FS402" s="19"/>
      <c r="FT402" s="19"/>
      <c r="FU402" s="19"/>
      <c r="FV402" s="19"/>
      <c r="FW402" s="19"/>
      <c r="FX402" s="19"/>
      <c r="FY402" s="19"/>
      <c r="FZ402" s="19"/>
      <c r="GA402" s="19"/>
      <c r="GB402" s="19"/>
      <c r="GC402" s="19"/>
      <c r="GD402" s="19"/>
      <c r="GE402" s="19"/>
      <c r="GF402" s="19"/>
      <c r="GG402" s="19"/>
      <c r="GH402" s="19"/>
      <c r="GI402" s="19"/>
      <c r="GJ402" s="19"/>
      <c r="GK402" s="19"/>
      <c r="GL402" s="19"/>
      <c r="GM402" s="19"/>
      <c r="GN402" s="19"/>
      <c r="GO402" s="19"/>
      <c r="GP402" s="19"/>
      <c r="GQ402" s="19"/>
      <c r="GR402" s="19"/>
      <c r="GS402" s="19"/>
      <c r="GT402" s="19"/>
      <c r="GU402" s="19"/>
      <c r="GV402" s="19"/>
      <c r="GW402" s="19"/>
      <c r="GX402" s="19"/>
      <c r="GY402" s="19"/>
      <c r="GZ402" s="19"/>
      <c r="HA402" s="19"/>
      <c r="HB402" s="19"/>
    </row>
    <row r="403" spans="1:210" x14ac:dyDescent="0.25">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c r="BE403" s="19"/>
      <c r="BF403" s="19"/>
      <c r="BG403" s="19"/>
      <c r="BH403" s="19"/>
      <c r="BI403" s="19"/>
      <c r="BJ403" s="19"/>
      <c r="BK403" s="19"/>
      <c r="BL403" s="19"/>
      <c r="BM403" s="19"/>
      <c r="BN403" s="19"/>
      <c r="BO403" s="19"/>
      <c r="BP403" s="19"/>
      <c r="BQ403" s="19"/>
      <c r="BR403" s="19"/>
      <c r="BS403" s="19"/>
      <c r="BT403" s="19"/>
      <c r="BU403" s="19"/>
      <c r="BV403" s="19"/>
      <c r="BW403" s="19"/>
      <c r="BX403" s="19"/>
      <c r="BY403" s="19"/>
      <c r="BZ403" s="19"/>
      <c r="CA403" s="19"/>
      <c r="CB403" s="19"/>
      <c r="CC403" s="19"/>
      <c r="CD403" s="19"/>
      <c r="CE403" s="19"/>
      <c r="CF403" s="19"/>
      <c r="CG403" s="19"/>
      <c r="CH403" s="19"/>
      <c r="CI403" s="19"/>
      <c r="CJ403" s="19"/>
      <c r="CK403" s="19"/>
      <c r="CL403" s="19"/>
      <c r="CM403" s="19"/>
      <c r="CN403" s="19"/>
      <c r="CO403" s="19"/>
      <c r="CP403" s="19"/>
      <c r="CQ403" s="19"/>
      <c r="CR403" s="19"/>
      <c r="CS403" s="19"/>
      <c r="CT403" s="19"/>
      <c r="CU403" s="19"/>
      <c r="CV403" s="19"/>
      <c r="CW403" s="19"/>
      <c r="CX403" s="19"/>
      <c r="CY403" s="19"/>
      <c r="CZ403" s="19"/>
      <c r="DA403" s="19"/>
      <c r="DB403" s="19"/>
      <c r="DC403" s="19"/>
      <c r="DD403" s="19"/>
      <c r="DE403" s="19"/>
      <c r="DF403" s="19"/>
      <c r="DG403" s="19"/>
      <c r="DH403" s="19"/>
      <c r="DI403" s="19"/>
      <c r="DJ403" s="19"/>
      <c r="DK403" s="19"/>
      <c r="DL403" s="19"/>
      <c r="DM403" s="19"/>
      <c r="DN403" s="19"/>
      <c r="DO403" s="19"/>
      <c r="DP403" s="19"/>
      <c r="DQ403" s="19"/>
      <c r="DR403" s="19"/>
      <c r="DS403" s="19"/>
      <c r="DT403" s="19"/>
      <c r="DU403" s="19"/>
      <c r="DV403" s="19"/>
      <c r="DW403" s="19"/>
      <c r="DX403" s="19"/>
      <c r="DY403" s="19"/>
      <c r="DZ403" s="19"/>
      <c r="EA403" s="19"/>
      <c r="EB403" s="19"/>
      <c r="EC403" s="19"/>
      <c r="ED403" s="19"/>
      <c r="EE403" s="19"/>
      <c r="EF403" s="19"/>
      <c r="EG403" s="19"/>
      <c r="EH403" s="19"/>
      <c r="EI403" s="19"/>
      <c r="EJ403" s="19"/>
      <c r="EK403" s="19"/>
      <c r="EL403" s="19"/>
      <c r="EM403" s="19"/>
      <c r="EN403" s="19"/>
      <c r="EO403" s="19"/>
      <c r="EP403" s="19"/>
      <c r="EQ403" s="19"/>
      <c r="ER403" s="19"/>
      <c r="ES403" s="19"/>
      <c r="ET403" s="19"/>
      <c r="EU403" s="19"/>
      <c r="EV403" s="19"/>
      <c r="EW403" s="19"/>
      <c r="EX403" s="19"/>
      <c r="EY403" s="19"/>
      <c r="EZ403" s="19"/>
      <c r="FA403" s="19"/>
      <c r="FB403" s="19"/>
      <c r="FC403" s="19"/>
      <c r="FD403" s="19"/>
      <c r="FE403" s="19"/>
      <c r="FF403" s="19"/>
      <c r="FG403" s="19"/>
      <c r="FH403" s="19"/>
      <c r="FI403" s="19"/>
      <c r="FJ403" s="19"/>
      <c r="FK403" s="19"/>
      <c r="FL403" s="19"/>
      <c r="FM403" s="19"/>
      <c r="FN403" s="19"/>
      <c r="FO403" s="19"/>
      <c r="FP403" s="19"/>
      <c r="FQ403" s="19"/>
      <c r="FR403" s="19"/>
      <c r="FS403" s="19"/>
      <c r="FT403" s="19"/>
      <c r="FU403" s="19"/>
      <c r="FV403" s="19"/>
      <c r="FW403" s="19"/>
      <c r="FX403" s="19"/>
      <c r="FY403" s="19"/>
      <c r="FZ403" s="19"/>
      <c r="GA403" s="19"/>
      <c r="GB403" s="19"/>
      <c r="GC403" s="19"/>
      <c r="GD403" s="19"/>
      <c r="GE403" s="19"/>
      <c r="GF403" s="19"/>
      <c r="GG403" s="19"/>
      <c r="GH403" s="19"/>
      <c r="GI403" s="19"/>
      <c r="GJ403" s="19"/>
      <c r="GK403" s="19"/>
      <c r="GL403" s="19"/>
      <c r="GM403" s="19"/>
      <c r="GN403" s="19"/>
      <c r="GO403" s="19"/>
      <c r="GP403" s="19"/>
      <c r="GQ403" s="19"/>
      <c r="GR403" s="19"/>
      <c r="GS403" s="19"/>
      <c r="GT403" s="19"/>
      <c r="GU403" s="19"/>
      <c r="GV403" s="19"/>
      <c r="GW403" s="19"/>
      <c r="GX403" s="19"/>
      <c r="GY403" s="19"/>
      <c r="GZ403" s="19"/>
      <c r="HA403" s="19"/>
      <c r="HB403" s="19"/>
    </row>
    <row r="404" spans="1:210" x14ac:dyDescent="0.25">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c r="BE404" s="19"/>
      <c r="BF404" s="19"/>
      <c r="BG404" s="19"/>
      <c r="BH404" s="19"/>
      <c r="BI404" s="19"/>
      <c r="BJ404" s="19"/>
      <c r="BK404" s="19"/>
      <c r="BL404" s="19"/>
      <c r="BM404" s="19"/>
      <c r="BN404" s="19"/>
      <c r="BO404" s="19"/>
      <c r="BP404" s="19"/>
      <c r="BQ404" s="19"/>
      <c r="BR404" s="19"/>
      <c r="BS404" s="19"/>
      <c r="BT404" s="19"/>
      <c r="BU404" s="19"/>
      <c r="BV404" s="19"/>
      <c r="BW404" s="19"/>
      <c r="BX404" s="19"/>
      <c r="BY404" s="19"/>
      <c r="BZ404" s="19"/>
      <c r="CA404" s="19"/>
      <c r="CB404" s="19"/>
      <c r="CC404" s="19"/>
      <c r="CD404" s="19"/>
      <c r="CE404" s="19"/>
      <c r="CF404" s="19"/>
      <c r="CG404" s="19"/>
      <c r="CH404" s="19"/>
      <c r="CI404" s="19"/>
      <c r="CJ404" s="19"/>
      <c r="CK404" s="19"/>
      <c r="CL404" s="19"/>
      <c r="CM404" s="19"/>
      <c r="CN404" s="19"/>
      <c r="CO404" s="19"/>
      <c r="CP404" s="19"/>
      <c r="CQ404" s="19"/>
      <c r="CR404" s="19"/>
      <c r="CS404" s="19"/>
      <c r="CT404" s="19"/>
      <c r="CU404" s="19"/>
      <c r="CV404" s="19"/>
      <c r="CW404" s="19"/>
      <c r="CX404" s="19"/>
      <c r="CY404" s="19"/>
      <c r="CZ404" s="19"/>
      <c r="DA404" s="19"/>
      <c r="DB404" s="19"/>
      <c r="DC404" s="19"/>
      <c r="DD404" s="19"/>
      <c r="DE404" s="19"/>
      <c r="DF404" s="19"/>
      <c r="DG404" s="19"/>
      <c r="DH404" s="19"/>
      <c r="DI404" s="19"/>
      <c r="DJ404" s="19"/>
      <c r="DK404" s="19"/>
      <c r="DL404" s="19"/>
      <c r="DM404" s="19"/>
      <c r="DN404" s="19"/>
      <c r="DO404" s="19"/>
      <c r="DP404" s="19"/>
      <c r="DQ404" s="19"/>
      <c r="DR404" s="19"/>
      <c r="DS404" s="19"/>
      <c r="DT404" s="19"/>
      <c r="DU404" s="19"/>
      <c r="DV404" s="19"/>
      <c r="DW404" s="19"/>
      <c r="DX404" s="19"/>
      <c r="DY404" s="19"/>
      <c r="DZ404" s="19"/>
      <c r="EA404" s="19"/>
      <c r="EB404" s="19"/>
      <c r="EC404" s="19"/>
      <c r="ED404" s="19"/>
      <c r="EE404" s="19"/>
      <c r="EF404" s="19"/>
      <c r="EG404" s="19"/>
      <c r="EH404" s="19"/>
      <c r="EI404" s="19"/>
      <c r="EJ404" s="19"/>
      <c r="EK404" s="19"/>
      <c r="EL404" s="19"/>
      <c r="EM404" s="19"/>
      <c r="EN404" s="19"/>
      <c r="EO404" s="19"/>
      <c r="EP404" s="19"/>
      <c r="EQ404" s="19"/>
      <c r="ER404" s="19"/>
      <c r="ES404" s="19"/>
      <c r="ET404" s="19"/>
      <c r="EU404" s="19"/>
      <c r="EV404" s="19"/>
      <c r="EW404" s="19"/>
      <c r="EX404" s="19"/>
      <c r="EY404" s="19"/>
      <c r="EZ404" s="19"/>
      <c r="FA404" s="19"/>
      <c r="FB404" s="19"/>
      <c r="FC404" s="19"/>
      <c r="FD404" s="19"/>
      <c r="FE404" s="19"/>
      <c r="FF404" s="19"/>
      <c r="FG404" s="19"/>
      <c r="FH404" s="19"/>
      <c r="FI404" s="19"/>
      <c r="FJ404" s="19"/>
      <c r="FK404" s="19"/>
      <c r="FL404" s="19"/>
      <c r="FM404" s="19"/>
      <c r="FN404" s="19"/>
      <c r="FO404" s="19"/>
      <c r="FP404" s="19"/>
      <c r="FQ404" s="19"/>
      <c r="FR404" s="19"/>
      <c r="FS404" s="19"/>
      <c r="FT404" s="19"/>
      <c r="FU404" s="19"/>
      <c r="FV404" s="19"/>
      <c r="FW404" s="19"/>
      <c r="FX404" s="19"/>
      <c r="FY404" s="19"/>
      <c r="FZ404" s="19"/>
      <c r="GA404" s="19"/>
      <c r="GB404" s="19"/>
      <c r="GC404" s="19"/>
      <c r="GD404" s="19"/>
      <c r="GE404" s="19"/>
      <c r="GF404" s="19"/>
      <c r="GG404" s="19"/>
      <c r="GH404" s="19"/>
      <c r="GI404" s="19"/>
      <c r="GJ404" s="19"/>
      <c r="GK404" s="19"/>
      <c r="GL404" s="19"/>
      <c r="GM404" s="19"/>
      <c r="GN404" s="19"/>
      <c r="GO404" s="19"/>
      <c r="GP404" s="19"/>
      <c r="GQ404" s="19"/>
      <c r="GR404" s="19"/>
      <c r="GS404" s="19"/>
      <c r="GT404" s="19"/>
      <c r="GU404" s="19"/>
      <c r="GV404" s="19"/>
      <c r="GW404" s="19"/>
      <c r="GX404" s="19"/>
      <c r="GY404" s="19"/>
      <c r="GZ404" s="19"/>
      <c r="HA404" s="19"/>
      <c r="HB404" s="19"/>
    </row>
    <row r="405" spans="1:210" x14ac:dyDescent="0.25">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c r="BE405" s="19"/>
      <c r="BF405" s="19"/>
      <c r="BG405" s="19"/>
      <c r="BH405" s="19"/>
      <c r="BI405" s="19"/>
      <c r="BJ405" s="19"/>
      <c r="BK405" s="19"/>
      <c r="BL405" s="19"/>
      <c r="BM405" s="19"/>
      <c r="BN405" s="19"/>
      <c r="BO405" s="19"/>
      <c r="BP405" s="19"/>
      <c r="BQ405" s="19"/>
      <c r="BR405" s="19"/>
      <c r="BS405" s="19"/>
      <c r="BT405" s="19"/>
      <c r="BU405" s="19"/>
      <c r="BV405" s="19"/>
      <c r="BW405" s="19"/>
      <c r="BX405" s="19"/>
      <c r="BY405" s="19"/>
      <c r="BZ405" s="19"/>
      <c r="CA405" s="19"/>
      <c r="CB405" s="19"/>
      <c r="CC405" s="19"/>
      <c r="CD405" s="19"/>
      <c r="CE405" s="19"/>
      <c r="CF405" s="19"/>
      <c r="CG405" s="19"/>
      <c r="CH405" s="19"/>
      <c r="CI405" s="19"/>
      <c r="CJ405" s="19"/>
      <c r="CK405" s="19"/>
      <c r="CL405" s="19"/>
      <c r="CM405" s="19"/>
      <c r="CN405" s="19"/>
      <c r="CO405" s="19"/>
      <c r="CP405" s="19"/>
      <c r="CQ405" s="19"/>
      <c r="CR405" s="19"/>
      <c r="CS405" s="19"/>
      <c r="CT405" s="19"/>
      <c r="CU405" s="19"/>
      <c r="CV405" s="19"/>
      <c r="CW405" s="19"/>
      <c r="CX405" s="19"/>
      <c r="CY405" s="19"/>
      <c r="CZ405" s="19"/>
      <c r="DA405" s="19"/>
      <c r="DB405" s="19"/>
      <c r="DC405" s="19"/>
      <c r="DD405" s="19"/>
      <c r="DE405" s="19"/>
      <c r="DF405" s="19"/>
      <c r="DG405" s="19"/>
      <c r="DH405" s="19"/>
      <c r="DI405" s="19"/>
      <c r="DJ405" s="19"/>
      <c r="DK405" s="19"/>
      <c r="DL405" s="19"/>
      <c r="DM405" s="19"/>
      <c r="DN405" s="19"/>
      <c r="DO405" s="19"/>
      <c r="DP405" s="19"/>
      <c r="DQ405" s="19"/>
      <c r="DR405" s="19"/>
      <c r="DS405" s="19"/>
      <c r="DT405" s="19"/>
      <c r="DU405" s="19"/>
      <c r="DV405" s="19"/>
      <c r="DW405" s="19"/>
      <c r="DX405" s="19"/>
      <c r="DY405" s="19"/>
      <c r="DZ405" s="19"/>
      <c r="EA405" s="19"/>
      <c r="EB405" s="19"/>
      <c r="EC405" s="19"/>
      <c r="ED405" s="19"/>
      <c r="EE405" s="19"/>
      <c r="EF405" s="19"/>
      <c r="EG405" s="19"/>
      <c r="EH405" s="19"/>
      <c r="EI405" s="19"/>
      <c r="EJ405" s="19"/>
      <c r="EK405" s="19"/>
      <c r="EL405" s="19"/>
      <c r="EM405" s="19"/>
      <c r="EN405" s="19"/>
      <c r="EO405" s="19"/>
      <c r="EP405" s="19"/>
      <c r="EQ405" s="19"/>
      <c r="ER405" s="19"/>
      <c r="ES405" s="19"/>
      <c r="ET405" s="19"/>
      <c r="EU405" s="19"/>
      <c r="EV405" s="19"/>
      <c r="EW405" s="19"/>
      <c r="EX405" s="19"/>
      <c r="EY405" s="19"/>
      <c r="EZ405" s="19"/>
      <c r="FA405" s="19"/>
      <c r="FB405" s="19"/>
      <c r="FC405" s="19"/>
      <c r="FD405" s="19"/>
      <c r="FE405" s="19"/>
      <c r="FF405" s="19"/>
      <c r="FG405" s="19"/>
      <c r="FH405" s="19"/>
      <c r="FI405" s="19"/>
      <c r="FJ405" s="19"/>
      <c r="FK405" s="19"/>
      <c r="FL405" s="19"/>
      <c r="FM405" s="19"/>
      <c r="FN405" s="19"/>
      <c r="FO405" s="19"/>
      <c r="FP405" s="19"/>
      <c r="FQ405" s="19"/>
      <c r="FR405" s="19"/>
      <c r="FS405" s="19"/>
      <c r="FT405" s="19"/>
      <c r="FU405" s="19"/>
      <c r="FV405" s="19"/>
      <c r="FW405" s="19"/>
      <c r="FX405" s="19"/>
      <c r="FY405" s="19"/>
      <c r="FZ405" s="19"/>
      <c r="GA405" s="19"/>
      <c r="GB405" s="19"/>
      <c r="GC405" s="19"/>
      <c r="GD405" s="19"/>
      <c r="GE405" s="19"/>
      <c r="GF405" s="19"/>
      <c r="GG405" s="19"/>
      <c r="GH405" s="19"/>
      <c r="GI405" s="19"/>
      <c r="GJ405" s="19"/>
      <c r="GK405" s="19"/>
      <c r="GL405" s="19"/>
      <c r="GM405" s="19"/>
      <c r="GN405" s="19"/>
      <c r="GO405" s="19"/>
      <c r="GP405" s="19"/>
      <c r="GQ405" s="19"/>
      <c r="GR405" s="19"/>
      <c r="GS405" s="19"/>
      <c r="GT405" s="19"/>
      <c r="GU405" s="19"/>
      <c r="GV405" s="19"/>
      <c r="GW405" s="19"/>
      <c r="GX405" s="19"/>
      <c r="GY405" s="19"/>
      <c r="GZ405" s="19"/>
      <c r="HA405" s="19"/>
      <c r="HB405" s="19"/>
    </row>
    <row r="406" spans="1:210" x14ac:dyDescent="0.25">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c r="BE406" s="19"/>
      <c r="BF406" s="19"/>
      <c r="BG406" s="19"/>
      <c r="BH406" s="19"/>
      <c r="BI406" s="19"/>
      <c r="BJ406" s="19"/>
      <c r="BK406" s="19"/>
      <c r="BL406" s="19"/>
      <c r="BM406" s="19"/>
      <c r="BN406" s="19"/>
      <c r="BO406" s="19"/>
      <c r="BP406" s="19"/>
      <c r="BQ406" s="19"/>
      <c r="BR406" s="19"/>
      <c r="BS406" s="19"/>
      <c r="BT406" s="19"/>
      <c r="BU406" s="19"/>
      <c r="BV406" s="19"/>
      <c r="BW406" s="19"/>
      <c r="BX406" s="19"/>
      <c r="BY406" s="19"/>
      <c r="BZ406" s="19"/>
      <c r="CA406" s="19"/>
      <c r="CB406" s="19"/>
      <c r="CC406" s="19"/>
      <c r="CD406" s="19"/>
      <c r="CE406" s="19"/>
      <c r="CF406" s="19"/>
      <c r="CG406" s="19"/>
      <c r="CH406" s="19"/>
      <c r="CI406" s="19"/>
      <c r="CJ406" s="19"/>
      <c r="CK406" s="19"/>
      <c r="CL406" s="19"/>
      <c r="CM406" s="19"/>
      <c r="CN406" s="19"/>
      <c r="CO406" s="19"/>
      <c r="CP406" s="19"/>
      <c r="CQ406" s="19"/>
      <c r="CR406" s="19"/>
      <c r="CS406" s="19"/>
      <c r="CT406" s="19"/>
      <c r="CU406" s="19"/>
      <c r="CV406" s="19"/>
      <c r="CW406" s="19"/>
      <c r="CX406" s="19"/>
      <c r="CY406" s="19"/>
      <c r="CZ406" s="19"/>
      <c r="DA406" s="19"/>
      <c r="DB406" s="19"/>
      <c r="DC406" s="19"/>
      <c r="DD406" s="19"/>
      <c r="DE406" s="19"/>
      <c r="DF406" s="19"/>
      <c r="DG406" s="19"/>
      <c r="DH406" s="19"/>
      <c r="DI406" s="19"/>
      <c r="DJ406" s="19"/>
      <c r="DK406" s="19"/>
      <c r="DL406" s="19"/>
      <c r="DM406" s="19"/>
      <c r="DN406" s="19"/>
      <c r="DO406" s="19"/>
      <c r="DP406" s="19"/>
      <c r="DQ406" s="19"/>
      <c r="DR406" s="19"/>
      <c r="DS406" s="19"/>
      <c r="DT406" s="19"/>
      <c r="DU406" s="19"/>
      <c r="DV406" s="19"/>
      <c r="DW406" s="19"/>
      <c r="DX406" s="19"/>
      <c r="DY406" s="19"/>
      <c r="DZ406" s="19"/>
      <c r="EA406" s="19"/>
      <c r="EB406" s="19"/>
      <c r="EC406" s="19"/>
      <c r="ED406" s="19"/>
      <c r="EE406" s="19"/>
      <c r="EF406" s="19"/>
      <c r="EG406" s="19"/>
      <c r="EH406" s="19"/>
      <c r="EI406" s="19"/>
      <c r="EJ406" s="19"/>
      <c r="EK406" s="19"/>
      <c r="EL406" s="19"/>
      <c r="EM406" s="19"/>
      <c r="EN406" s="19"/>
      <c r="EO406" s="19"/>
      <c r="EP406" s="19"/>
      <c r="EQ406" s="19"/>
      <c r="ER406" s="19"/>
      <c r="ES406" s="19"/>
      <c r="ET406" s="19"/>
      <c r="EU406" s="19"/>
      <c r="EV406" s="19"/>
      <c r="EW406" s="19"/>
      <c r="EX406" s="19"/>
      <c r="EY406" s="19"/>
      <c r="EZ406" s="19"/>
      <c r="FA406" s="19"/>
      <c r="FB406" s="19"/>
      <c r="FC406" s="19"/>
      <c r="FD406" s="19"/>
      <c r="FE406" s="19"/>
      <c r="FF406" s="19"/>
      <c r="FG406" s="19"/>
      <c r="FH406" s="19"/>
      <c r="FI406" s="19"/>
      <c r="FJ406" s="19"/>
      <c r="FK406" s="19"/>
      <c r="FL406" s="19"/>
      <c r="FM406" s="19"/>
      <c r="FN406" s="19"/>
      <c r="FO406" s="19"/>
      <c r="FP406" s="19"/>
      <c r="FQ406" s="19"/>
      <c r="FR406" s="19"/>
      <c r="FS406" s="19"/>
      <c r="FT406" s="19"/>
      <c r="FU406" s="19"/>
      <c r="FV406" s="19"/>
      <c r="FW406" s="19"/>
      <c r="FX406" s="19"/>
      <c r="FY406" s="19"/>
      <c r="FZ406" s="19"/>
      <c r="GA406" s="19"/>
      <c r="GB406" s="19"/>
      <c r="GC406" s="19"/>
      <c r="GD406" s="19"/>
      <c r="GE406" s="19"/>
      <c r="GF406" s="19"/>
      <c r="GG406" s="19"/>
      <c r="GH406" s="19"/>
      <c r="GI406" s="19"/>
      <c r="GJ406" s="19"/>
      <c r="GK406" s="19"/>
      <c r="GL406" s="19"/>
      <c r="GM406" s="19"/>
      <c r="GN406" s="19"/>
      <c r="GO406" s="19"/>
      <c r="GP406" s="19"/>
      <c r="GQ406" s="19"/>
      <c r="GR406" s="19"/>
      <c r="GS406" s="19"/>
      <c r="GT406" s="19"/>
      <c r="GU406" s="19"/>
      <c r="GV406" s="19"/>
      <c r="GW406" s="19"/>
      <c r="GX406" s="19"/>
      <c r="GY406" s="19"/>
      <c r="GZ406" s="19"/>
      <c r="HA406" s="19"/>
      <c r="HB406" s="19"/>
    </row>
    <row r="407" spans="1:210" x14ac:dyDescent="0.25">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c r="BE407" s="19"/>
      <c r="BF407" s="19"/>
      <c r="BG407" s="19"/>
      <c r="BH407" s="19"/>
      <c r="BI407" s="19"/>
      <c r="BJ407" s="19"/>
      <c r="BK407" s="19"/>
      <c r="BL407" s="19"/>
      <c r="BM407" s="19"/>
      <c r="BN407" s="19"/>
      <c r="BO407" s="19"/>
      <c r="BP407" s="19"/>
      <c r="BQ407" s="19"/>
      <c r="BR407" s="19"/>
      <c r="BS407" s="19"/>
      <c r="BT407" s="19"/>
      <c r="BU407" s="19"/>
      <c r="BV407" s="19"/>
      <c r="BW407" s="19"/>
      <c r="BX407" s="19"/>
      <c r="BY407" s="19"/>
      <c r="BZ407" s="19"/>
      <c r="CA407" s="19"/>
      <c r="CB407" s="19"/>
      <c r="CC407" s="19"/>
      <c r="CD407" s="19"/>
      <c r="CE407" s="19"/>
      <c r="CF407" s="19"/>
      <c r="CG407" s="19"/>
      <c r="CH407" s="19"/>
      <c r="CI407" s="19"/>
      <c r="CJ407" s="19"/>
      <c r="CK407" s="19"/>
      <c r="CL407" s="19"/>
      <c r="CM407" s="19"/>
      <c r="CN407" s="19"/>
      <c r="CO407" s="19"/>
      <c r="CP407" s="19"/>
      <c r="CQ407" s="19"/>
      <c r="CR407" s="19"/>
      <c r="CS407" s="19"/>
      <c r="CT407" s="19"/>
      <c r="CU407" s="19"/>
      <c r="CV407" s="19"/>
      <c r="CW407" s="19"/>
      <c r="CX407" s="19"/>
      <c r="CY407" s="19"/>
      <c r="CZ407" s="19"/>
      <c r="DA407" s="19"/>
      <c r="DB407" s="19"/>
      <c r="DC407" s="19"/>
      <c r="DD407" s="19"/>
      <c r="DE407" s="19"/>
      <c r="DF407" s="19"/>
      <c r="DG407" s="19"/>
      <c r="DH407" s="19"/>
      <c r="DI407" s="19"/>
      <c r="DJ407" s="19"/>
      <c r="DK407" s="19"/>
      <c r="DL407" s="19"/>
      <c r="DM407" s="19"/>
      <c r="DN407" s="19"/>
      <c r="DO407" s="19"/>
      <c r="DP407" s="19"/>
      <c r="DQ407" s="19"/>
      <c r="DR407" s="19"/>
      <c r="DS407" s="19"/>
      <c r="DT407" s="19"/>
      <c r="DU407" s="19"/>
      <c r="DV407" s="19"/>
      <c r="DW407" s="19"/>
      <c r="DX407" s="19"/>
      <c r="DY407" s="19"/>
      <c r="DZ407" s="19"/>
      <c r="EA407" s="19"/>
      <c r="EB407" s="19"/>
      <c r="EC407" s="19"/>
      <c r="ED407" s="19"/>
      <c r="EE407" s="19"/>
      <c r="EF407" s="19"/>
      <c r="EG407" s="19"/>
      <c r="EH407" s="19"/>
      <c r="EI407" s="19"/>
      <c r="EJ407" s="19"/>
      <c r="EK407" s="19"/>
      <c r="EL407" s="19"/>
      <c r="EM407" s="19"/>
      <c r="EN407" s="19"/>
      <c r="EO407" s="19"/>
      <c r="EP407" s="19"/>
      <c r="EQ407" s="19"/>
      <c r="ER407" s="19"/>
      <c r="ES407" s="19"/>
      <c r="ET407" s="19"/>
      <c r="EU407" s="19"/>
      <c r="EV407" s="19"/>
      <c r="EW407" s="19"/>
      <c r="EX407" s="19"/>
      <c r="EY407" s="19"/>
      <c r="EZ407" s="19"/>
      <c r="FA407" s="19"/>
      <c r="FB407" s="19"/>
      <c r="FC407" s="19"/>
      <c r="FD407" s="19"/>
      <c r="FE407" s="19"/>
      <c r="FF407" s="19"/>
      <c r="FG407" s="19"/>
      <c r="FH407" s="19"/>
      <c r="FI407" s="19"/>
      <c r="FJ407" s="19"/>
      <c r="FK407" s="19"/>
      <c r="FL407" s="19"/>
      <c r="FM407" s="19"/>
      <c r="FN407" s="19"/>
      <c r="FO407" s="19"/>
      <c r="FP407" s="19"/>
      <c r="FQ407" s="19"/>
      <c r="FR407" s="19"/>
      <c r="FS407" s="19"/>
      <c r="FT407" s="19"/>
      <c r="FU407" s="19"/>
      <c r="FV407" s="19"/>
      <c r="FW407" s="19"/>
      <c r="FX407" s="19"/>
      <c r="FY407" s="19"/>
      <c r="FZ407" s="19"/>
      <c r="GA407" s="19"/>
      <c r="GB407" s="19"/>
      <c r="GC407" s="19"/>
      <c r="GD407" s="19"/>
      <c r="GE407" s="19"/>
      <c r="GF407" s="19"/>
      <c r="GG407" s="19"/>
      <c r="GH407" s="19"/>
      <c r="GI407" s="19"/>
      <c r="GJ407" s="19"/>
      <c r="GK407" s="19"/>
      <c r="GL407" s="19"/>
      <c r="GM407" s="19"/>
      <c r="GN407" s="19"/>
      <c r="GO407" s="19"/>
      <c r="GP407" s="19"/>
      <c r="GQ407" s="19"/>
      <c r="GR407" s="19"/>
      <c r="GS407" s="19"/>
      <c r="GT407" s="19"/>
      <c r="GU407" s="19"/>
      <c r="GV407" s="19"/>
      <c r="GW407" s="19"/>
      <c r="GX407" s="19"/>
      <c r="GY407" s="19"/>
      <c r="GZ407" s="19"/>
      <c r="HA407" s="19"/>
      <c r="HB407" s="19"/>
    </row>
    <row r="408" spans="1:210" x14ac:dyDescent="0.25">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c r="BE408" s="19"/>
      <c r="BF408" s="19"/>
      <c r="BG408" s="19"/>
      <c r="BH408" s="19"/>
      <c r="BI408" s="19"/>
      <c r="BJ408" s="19"/>
      <c r="BK408" s="19"/>
      <c r="BL408" s="19"/>
      <c r="BM408" s="19"/>
      <c r="BN408" s="19"/>
      <c r="BO408" s="19"/>
      <c r="BP408" s="19"/>
      <c r="BQ408" s="19"/>
      <c r="BR408" s="19"/>
      <c r="BS408" s="19"/>
      <c r="BT408" s="19"/>
      <c r="BU408" s="19"/>
      <c r="BV408" s="19"/>
      <c r="BW408" s="19"/>
      <c r="BX408" s="19"/>
      <c r="BY408" s="19"/>
      <c r="BZ408" s="19"/>
      <c r="CA408" s="19"/>
      <c r="CB408" s="19"/>
      <c r="CC408" s="19"/>
      <c r="CD408" s="19"/>
      <c r="CE408" s="19"/>
      <c r="CF408" s="19"/>
      <c r="CG408" s="19"/>
      <c r="CH408" s="19"/>
      <c r="CI408" s="19"/>
      <c r="CJ408" s="19"/>
      <c r="CK408" s="19"/>
      <c r="CL408" s="19"/>
      <c r="CM408" s="19"/>
      <c r="CN408" s="19"/>
      <c r="CO408" s="19"/>
      <c r="CP408" s="19"/>
      <c r="CQ408" s="19"/>
      <c r="CR408" s="19"/>
      <c r="CS408" s="19"/>
      <c r="CT408" s="19"/>
      <c r="CU408" s="19"/>
      <c r="CV408" s="19"/>
      <c r="CW408" s="19"/>
      <c r="CX408" s="19"/>
      <c r="CY408" s="19"/>
      <c r="CZ408" s="19"/>
      <c r="DA408" s="19"/>
      <c r="DB408" s="19"/>
      <c r="DC408" s="19"/>
      <c r="DD408" s="19"/>
      <c r="DE408" s="19"/>
      <c r="DF408" s="19"/>
      <c r="DG408" s="19"/>
      <c r="DH408" s="19"/>
      <c r="DI408" s="19"/>
      <c r="DJ408" s="19"/>
      <c r="DK408" s="19"/>
      <c r="DL408" s="19"/>
      <c r="DM408" s="19"/>
      <c r="DN408" s="19"/>
      <c r="DO408" s="19"/>
      <c r="DP408" s="19"/>
      <c r="DQ408" s="19"/>
      <c r="DR408" s="19"/>
      <c r="DS408" s="19"/>
      <c r="DT408" s="19"/>
      <c r="DU408" s="19"/>
      <c r="DV408" s="19"/>
      <c r="DW408" s="19"/>
      <c r="DX408" s="19"/>
      <c r="DY408" s="19"/>
      <c r="DZ408" s="19"/>
      <c r="EA408" s="19"/>
      <c r="EB408" s="19"/>
      <c r="EC408" s="19"/>
      <c r="ED408" s="19"/>
      <c r="EE408" s="19"/>
      <c r="EF408" s="19"/>
      <c r="EG408" s="19"/>
      <c r="EH408" s="19"/>
      <c r="EI408" s="19"/>
      <c r="EJ408" s="19"/>
      <c r="EK408" s="19"/>
      <c r="EL408" s="19"/>
      <c r="EM408" s="19"/>
      <c r="EN408" s="19"/>
      <c r="EO408" s="19"/>
      <c r="EP408" s="19"/>
      <c r="EQ408" s="19"/>
      <c r="ER408" s="19"/>
      <c r="ES408" s="19"/>
      <c r="ET408" s="19"/>
      <c r="EU408" s="19"/>
      <c r="EV408" s="19"/>
      <c r="EW408" s="19"/>
      <c r="EX408" s="19"/>
      <c r="EY408" s="19"/>
      <c r="EZ408" s="19"/>
      <c r="FA408" s="19"/>
      <c r="FB408" s="19"/>
      <c r="FC408" s="19"/>
      <c r="FD408" s="19"/>
      <c r="FE408" s="19"/>
      <c r="FF408" s="19"/>
      <c r="FG408" s="19"/>
      <c r="FH408" s="19"/>
      <c r="FI408" s="19"/>
      <c r="FJ408" s="19"/>
      <c r="FK408" s="19"/>
      <c r="FL408" s="19"/>
      <c r="FM408" s="19"/>
      <c r="FN408" s="19"/>
      <c r="FO408" s="19"/>
      <c r="FP408" s="19"/>
      <c r="FQ408" s="19"/>
      <c r="FR408" s="19"/>
      <c r="FS408" s="19"/>
      <c r="FT408" s="19"/>
      <c r="FU408" s="19"/>
      <c r="FV408" s="19"/>
      <c r="FW408" s="19"/>
      <c r="FX408" s="19"/>
      <c r="FY408" s="19"/>
      <c r="FZ408" s="19"/>
      <c r="GA408" s="19"/>
      <c r="GB408" s="19"/>
      <c r="GC408" s="19"/>
      <c r="GD408" s="19"/>
      <c r="GE408" s="19"/>
      <c r="GF408" s="19"/>
      <c r="GG408" s="19"/>
      <c r="GH408" s="19"/>
      <c r="GI408" s="19"/>
      <c r="GJ408" s="19"/>
      <c r="GK408" s="19"/>
      <c r="GL408" s="19"/>
      <c r="GM408" s="19"/>
      <c r="GN408" s="19"/>
      <c r="GO408" s="19"/>
      <c r="GP408" s="19"/>
      <c r="GQ408" s="19"/>
      <c r="GR408" s="19"/>
      <c r="GS408" s="19"/>
      <c r="GT408" s="19"/>
      <c r="GU408" s="19"/>
      <c r="GV408" s="19"/>
      <c r="GW408" s="19"/>
      <c r="GX408" s="19"/>
      <c r="GY408" s="19"/>
      <c r="GZ408" s="19"/>
      <c r="HA408" s="19"/>
      <c r="HB408" s="19"/>
    </row>
    <row r="409" spans="1:210" x14ac:dyDescent="0.25">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c r="BE409" s="19"/>
      <c r="BF409" s="19"/>
      <c r="BG409" s="19"/>
      <c r="BH409" s="19"/>
      <c r="BI409" s="19"/>
      <c r="BJ409" s="19"/>
      <c r="BK409" s="19"/>
      <c r="BL409" s="19"/>
      <c r="BM409" s="19"/>
      <c r="BN409" s="19"/>
      <c r="BO409" s="19"/>
      <c r="BP409" s="19"/>
      <c r="BQ409" s="19"/>
      <c r="BR409" s="19"/>
      <c r="BS409" s="19"/>
      <c r="BT409" s="19"/>
      <c r="BU409" s="19"/>
      <c r="BV409" s="19"/>
      <c r="BW409" s="19"/>
      <c r="BX409" s="19"/>
      <c r="BY409" s="19"/>
      <c r="BZ409" s="19"/>
      <c r="CA409" s="19"/>
      <c r="CB409" s="19"/>
      <c r="CC409" s="19"/>
      <c r="CD409" s="19"/>
      <c r="CE409" s="19"/>
      <c r="CF409" s="19"/>
      <c r="CG409" s="19"/>
      <c r="CH409" s="19"/>
      <c r="CI409" s="19"/>
      <c r="CJ409" s="19"/>
      <c r="CK409" s="19"/>
      <c r="CL409" s="19"/>
      <c r="CM409" s="19"/>
      <c r="CN409" s="19"/>
      <c r="CO409" s="19"/>
      <c r="CP409" s="19"/>
      <c r="CQ409" s="19"/>
      <c r="CR409" s="19"/>
      <c r="CS409" s="19"/>
      <c r="CT409" s="19"/>
      <c r="CU409" s="19"/>
      <c r="CV409" s="19"/>
      <c r="CW409" s="19"/>
      <c r="CX409" s="19"/>
      <c r="CY409" s="19"/>
      <c r="CZ409" s="19"/>
      <c r="DA409" s="19"/>
      <c r="DB409" s="19"/>
      <c r="DC409" s="19"/>
      <c r="DD409" s="19"/>
      <c r="DE409" s="19"/>
      <c r="DF409" s="19"/>
      <c r="DG409" s="19"/>
      <c r="DH409" s="19"/>
      <c r="DI409" s="19"/>
      <c r="DJ409" s="19"/>
      <c r="DK409" s="19"/>
      <c r="DL409" s="19"/>
      <c r="DM409" s="19"/>
      <c r="DN409" s="19"/>
      <c r="DO409" s="19"/>
      <c r="DP409" s="19"/>
      <c r="DQ409" s="19"/>
      <c r="DR409" s="19"/>
      <c r="DS409" s="19"/>
      <c r="DT409" s="19"/>
      <c r="DU409" s="19"/>
      <c r="DV409" s="19"/>
      <c r="DW409" s="19"/>
      <c r="DX409" s="19"/>
      <c r="DY409" s="19"/>
      <c r="DZ409" s="19"/>
      <c r="EA409" s="19"/>
      <c r="EB409" s="19"/>
      <c r="EC409" s="19"/>
      <c r="ED409" s="19"/>
      <c r="EE409" s="19"/>
      <c r="EF409" s="19"/>
      <c r="EG409" s="19"/>
      <c r="EH409" s="19"/>
      <c r="EI409" s="19"/>
      <c r="EJ409" s="19"/>
      <c r="EK409" s="19"/>
      <c r="EL409" s="19"/>
      <c r="EM409" s="19"/>
      <c r="EN409" s="19"/>
      <c r="EO409" s="19"/>
      <c r="EP409" s="19"/>
      <c r="EQ409" s="19"/>
      <c r="ER409" s="19"/>
      <c r="ES409" s="19"/>
      <c r="ET409" s="19"/>
      <c r="EU409" s="19"/>
      <c r="EV409" s="19"/>
      <c r="EW409" s="19"/>
      <c r="EX409" s="19"/>
      <c r="EY409" s="19"/>
      <c r="EZ409" s="19"/>
      <c r="FA409" s="19"/>
      <c r="FB409" s="19"/>
      <c r="FC409" s="19"/>
      <c r="FD409" s="19"/>
      <c r="FE409" s="19"/>
      <c r="FF409" s="19"/>
      <c r="FG409" s="19"/>
      <c r="FH409" s="19"/>
      <c r="FI409" s="19"/>
      <c r="FJ409" s="19"/>
      <c r="FK409" s="19"/>
      <c r="FL409" s="19"/>
      <c r="FM409" s="19"/>
      <c r="FN409" s="19"/>
      <c r="FO409" s="19"/>
      <c r="FP409" s="19"/>
      <c r="FQ409" s="19"/>
      <c r="FR409" s="19"/>
      <c r="FS409" s="19"/>
      <c r="FT409" s="19"/>
      <c r="FU409" s="19"/>
      <c r="FV409" s="19"/>
      <c r="FW409" s="19"/>
      <c r="FX409" s="19"/>
      <c r="FY409" s="19"/>
      <c r="FZ409" s="19"/>
      <c r="GA409" s="19"/>
      <c r="GB409" s="19"/>
      <c r="GC409" s="19"/>
      <c r="GD409" s="19"/>
      <c r="GE409" s="19"/>
      <c r="GF409" s="19"/>
      <c r="GG409" s="19"/>
      <c r="GH409" s="19"/>
      <c r="GI409" s="19"/>
      <c r="GJ409" s="19"/>
      <c r="GK409" s="19"/>
      <c r="GL409" s="19"/>
      <c r="GM409" s="19"/>
      <c r="GN409" s="19"/>
      <c r="GO409" s="19"/>
      <c r="GP409" s="19"/>
      <c r="GQ409" s="19"/>
      <c r="GR409" s="19"/>
      <c r="GS409" s="19"/>
      <c r="GT409" s="19"/>
      <c r="GU409" s="19"/>
      <c r="GV409" s="19"/>
      <c r="GW409" s="19"/>
      <c r="GX409" s="19"/>
      <c r="GY409" s="19"/>
      <c r="GZ409" s="19"/>
      <c r="HA409" s="19"/>
      <c r="HB409" s="19"/>
    </row>
    <row r="410" spans="1:210" x14ac:dyDescent="0.25">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c r="BE410" s="19"/>
      <c r="BF410" s="19"/>
      <c r="BG410" s="19"/>
      <c r="BH410" s="19"/>
      <c r="BI410" s="19"/>
      <c r="BJ410" s="19"/>
      <c r="BK410" s="19"/>
      <c r="BL410" s="19"/>
      <c r="BM410" s="19"/>
      <c r="BN410" s="19"/>
      <c r="BO410" s="19"/>
      <c r="BP410" s="19"/>
      <c r="BQ410" s="19"/>
      <c r="BR410" s="19"/>
      <c r="BS410" s="19"/>
      <c r="BT410" s="19"/>
      <c r="BU410" s="19"/>
      <c r="BV410" s="19"/>
      <c r="BW410" s="19"/>
      <c r="BX410" s="19"/>
      <c r="BY410" s="19"/>
      <c r="BZ410" s="19"/>
      <c r="CA410" s="19"/>
      <c r="CB410" s="19"/>
      <c r="CC410" s="19"/>
      <c r="CD410" s="19"/>
      <c r="CE410" s="19"/>
      <c r="CF410" s="19"/>
      <c r="CG410" s="19"/>
      <c r="CH410" s="19"/>
      <c r="CI410" s="19"/>
      <c r="CJ410" s="19"/>
      <c r="CK410" s="19"/>
      <c r="CL410" s="19"/>
      <c r="CM410" s="19"/>
      <c r="CN410" s="19"/>
      <c r="CO410" s="19"/>
      <c r="CP410" s="19"/>
      <c r="CQ410" s="19"/>
      <c r="CR410" s="19"/>
      <c r="CS410" s="19"/>
      <c r="CT410" s="19"/>
      <c r="CU410" s="19"/>
      <c r="CV410" s="19"/>
      <c r="CW410" s="19"/>
      <c r="CX410" s="19"/>
      <c r="CY410" s="19"/>
      <c r="CZ410" s="19"/>
      <c r="DA410" s="19"/>
      <c r="DB410" s="19"/>
      <c r="DC410" s="19"/>
      <c r="DD410" s="19"/>
      <c r="DE410" s="19"/>
      <c r="DF410" s="19"/>
      <c r="DG410" s="19"/>
      <c r="DH410" s="19"/>
      <c r="DI410" s="19"/>
      <c r="DJ410" s="19"/>
      <c r="DK410" s="19"/>
      <c r="DL410" s="19"/>
      <c r="DM410" s="19"/>
      <c r="DN410" s="19"/>
      <c r="DO410" s="19"/>
      <c r="DP410" s="19"/>
      <c r="DQ410" s="19"/>
      <c r="DR410" s="19"/>
      <c r="DS410" s="19"/>
      <c r="DT410" s="19"/>
      <c r="DU410" s="19"/>
      <c r="DV410" s="19"/>
      <c r="DW410" s="19"/>
      <c r="DX410" s="19"/>
      <c r="DY410" s="19"/>
      <c r="DZ410" s="19"/>
      <c r="EA410" s="19"/>
      <c r="EB410" s="19"/>
      <c r="EC410" s="19"/>
      <c r="ED410" s="19"/>
      <c r="EE410" s="19"/>
      <c r="EF410" s="19"/>
      <c r="EG410" s="19"/>
      <c r="EH410" s="19"/>
      <c r="EI410" s="19"/>
      <c r="EJ410" s="19"/>
      <c r="EK410" s="19"/>
      <c r="EL410" s="19"/>
      <c r="EM410" s="19"/>
      <c r="EN410" s="19"/>
      <c r="EO410" s="19"/>
      <c r="EP410" s="19"/>
      <c r="EQ410" s="19"/>
      <c r="ER410" s="19"/>
      <c r="ES410" s="19"/>
      <c r="ET410" s="19"/>
      <c r="EU410" s="19"/>
      <c r="EV410" s="19"/>
      <c r="EW410" s="19"/>
      <c r="EX410" s="19"/>
      <c r="EY410" s="19"/>
      <c r="EZ410" s="19"/>
      <c r="FA410" s="19"/>
      <c r="FB410" s="19"/>
      <c r="FC410" s="19"/>
      <c r="FD410" s="19"/>
      <c r="FE410" s="19"/>
      <c r="FF410" s="19"/>
      <c r="FG410" s="19"/>
      <c r="FH410" s="19"/>
      <c r="FI410" s="19"/>
      <c r="FJ410" s="19"/>
      <c r="FK410" s="19"/>
      <c r="FL410" s="19"/>
      <c r="FM410" s="19"/>
      <c r="FN410" s="19"/>
      <c r="FO410" s="19"/>
      <c r="FP410" s="19"/>
      <c r="FQ410" s="19"/>
      <c r="FR410" s="19"/>
      <c r="FS410" s="19"/>
      <c r="FT410" s="19"/>
      <c r="FU410" s="19"/>
      <c r="FV410" s="19"/>
      <c r="FW410" s="19"/>
      <c r="FX410" s="19"/>
      <c r="FY410" s="19"/>
      <c r="FZ410" s="19"/>
      <c r="GA410" s="19"/>
      <c r="GB410" s="19"/>
      <c r="GC410" s="19"/>
      <c r="GD410" s="19"/>
      <c r="GE410" s="19"/>
      <c r="GF410" s="19"/>
      <c r="GG410" s="19"/>
      <c r="GH410" s="19"/>
      <c r="GI410" s="19"/>
      <c r="GJ410" s="19"/>
      <c r="GK410" s="19"/>
      <c r="GL410" s="19"/>
      <c r="GM410" s="19"/>
      <c r="GN410" s="19"/>
      <c r="GO410" s="19"/>
      <c r="GP410" s="19"/>
      <c r="GQ410" s="19"/>
      <c r="GR410" s="19"/>
      <c r="GS410" s="19"/>
      <c r="GT410" s="19"/>
      <c r="GU410" s="19"/>
      <c r="GV410" s="19"/>
      <c r="GW410" s="19"/>
      <c r="GX410" s="19"/>
      <c r="GY410" s="19"/>
      <c r="GZ410" s="19"/>
      <c r="HA410" s="19"/>
      <c r="HB410" s="19"/>
    </row>
    <row r="411" spans="1:210" x14ac:dyDescent="0.25">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c r="BE411" s="19"/>
      <c r="BF411" s="19"/>
      <c r="BG411" s="19"/>
      <c r="BH411" s="19"/>
      <c r="BI411" s="19"/>
      <c r="BJ411" s="19"/>
      <c r="BK411" s="19"/>
      <c r="BL411" s="19"/>
      <c r="BM411" s="19"/>
      <c r="BN411" s="19"/>
      <c r="BO411" s="19"/>
      <c r="BP411" s="19"/>
      <c r="BQ411" s="19"/>
      <c r="BR411" s="19"/>
      <c r="BS411" s="19"/>
      <c r="BT411" s="19"/>
      <c r="BU411" s="19"/>
      <c r="BV411" s="19"/>
      <c r="BW411" s="19"/>
      <c r="BX411" s="19"/>
      <c r="BY411" s="19"/>
      <c r="BZ411" s="19"/>
      <c r="CA411" s="19"/>
      <c r="CB411" s="19"/>
      <c r="CC411" s="19"/>
      <c r="CD411" s="19"/>
      <c r="CE411" s="19"/>
      <c r="CF411" s="19"/>
      <c r="CG411" s="19"/>
      <c r="CH411" s="19"/>
      <c r="CI411" s="19"/>
      <c r="CJ411" s="19"/>
      <c r="CK411" s="19"/>
      <c r="CL411" s="19"/>
      <c r="CM411" s="19"/>
      <c r="CN411" s="19"/>
      <c r="CO411" s="19"/>
      <c r="CP411" s="19"/>
      <c r="CQ411" s="19"/>
      <c r="CR411" s="19"/>
      <c r="CS411" s="19"/>
      <c r="CT411" s="19"/>
      <c r="CU411" s="19"/>
      <c r="CV411" s="19"/>
      <c r="CW411" s="19"/>
      <c r="CX411" s="19"/>
      <c r="CY411" s="19"/>
      <c r="CZ411" s="19"/>
      <c r="DA411" s="19"/>
      <c r="DB411" s="19"/>
      <c r="DC411" s="19"/>
      <c r="DD411" s="19"/>
      <c r="DE411" s="19"/>
      <c r="DF411" s="19"/>
      <c r="DG411" s="19"/>
      <c r="DH411" s="19"/>
      <c r="DI411" s="19"/>
      <c r="DJ411" s="19"/>
      <c r="DK411" s="19"/>
      <c r="DL411" s="19"/>
      <c r="DM411" s="19"/>
      <c r="DN411" s="19"/>
      <c r="DO411" s="19"/>
      <c r="DP411" s="19"/>
      <c r="DQ411" s="19"/>
      <c r="DR411" s="19"/>
      <c r="DS411" s="19"/>
      <c r="DT411" s="19"/>
      <c r="DU411" s="19"/>
      <c r="DV411" s="19"/>
      <c r="DW411" s="19"/>
      <c r="DX411" s="19"/>
      <c r="DY411" s="19"/>
      <c r="DZ411" s="19"/>
      <c r="EA411" s="19"/>
      <c r="EB411" s="19"/>
      <c r="EC411" s="19"/>
      <c r="ED411" s="19"/>
      <c r="EE411" s="19"/>
      <c r="EF411" s="19"/>
      <c r="EG411" s="19"/>
      <c r="EH411" s="19"/>
      <c r="EI411" s="19"/>
      <c r="EJ411" s="19"/>
      <c r="EK411" s="19"/>
      <c r="EL411" s="19"/>
      <c r="EM411" s="19"/>
      <c r="EN411" s="19"/>
      <c r="EO411" s="19"/>
      <c r="EP411" s="19"/>
      <c r="EQ411" s="19"/>
      <c r="ER411" s="19"/>
      <c r="ES411" s="19"/>
      <c r="ET411" s="19"/>
      <c r="EU411" s="19"/>
      <c r="EV411" s="19"/>
      <c r="EW411" s="19"/>
      <c r="EX411" s="19"/>
      <c r="EY411" s="19"/>
      <c r="EZ411" s="19"/>
      <c r="FA411" s="19"/>
      <c r="FB411" s="19"/>
      <c r="FC411" s="19"/>
      <c r="FD411" s="19"/>
      <c r="FE411" s="19"/>
      <c r="FF411" s="19"/>
      <c r="FG411" s="19"/>
      <c r="FH411" s="19"/>
      <c r="FI411" s="19"/>
      <c r="FJ411" s="19"/>
      <c r="FK411" s="19"/>
      <c r="FL411" s="19"/>
      <c r="FM411" s="19"/>
      <c r="FN411" s="19"/>
      <c r="FO411" s="19"/>
      <c r="FP411" s="19"/>
      <c r="FQ411" s="19"/>
      <c r="FR411" s="19"/>
      <c r="FS411" s="19"/>
      <c r="FT411" s="19"/>
      <c r="FU411" s="19"/>
      <c r="FV411" s="19"/>
      <c r="FW411" s="19"/>
      <c r="FX411" s="19"/>
      <c r="FY411" s="19"/>
      <c r="FZ411" s="19"/>
      <c r="GA411" s="19"/>
      <c r="GB411" s="19"/>
      <c r="GC411" s="19"/>
      <c r="GD411" s="19"/>
      <c r="GE411" s="19"/>
      <c r="GF411" s="19"/>
      <c r="GG411" s="19"/>
      <c r="GH411" s="19"/>
      <c r="GI411" s="19"/>
      <c r="GJ411" s="19"/>
      <c r="GK411" s="19"/>
      <c r="GL411" s="19"/>
      <c r="GM411" s="19"/>
      <c r="GN411" s="19"/>
      <c r="GO411" s="19"/>
      <c r="GP411" s="19"/>
      <c r="GQ411" s="19"/>
      <c r="GR411" s="19"/>
      <c r="GS411" s="19"/>
      <c r="GT411" s="19"/>
      <c r="GU411" s="19"/>
      <c r="GV411" s="19"/>
      <c r="GW411" s="19"/>
      <c r="GX411" s="19"/>
      <c r="GY411" s="19"/>
      <c r="GZ411" s="19"/>
      <c r="HA411" s="19"/>
      <c r="HB411" s="19"/>
    </row>
    <row r="412" spans="1:210" x14ac:dyDescent="0.25">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c r="BE412" s="19"/>
      <c r="BF412" s="19"/>
      <c r="BG412" s="19"/>
      <c r="BH412" s="19"/>
      <c r="BI412" s="19"/>
      <c r="BJ412" s="19"/>
      <c r="BK412" s="19"/>
      <c r="BL412" s="19"/>
      <c r="BM412" s="19"/>
      <c r="BN412" s="19"/>
      <c r="BO412" s="19"/>
      <c r="BP412" s="19"/>
      <c r="BQ412" s="19"/>
      <c r="BR412" s="19"/>
      <c r="BS412" s="19"/>
      <c r="BT412" s="19"/>
      <c r="BU412" s="19"/>
      <c r="BV412" s="19"/>
      <c r="BW412" s="19"/>
      <c r="BX412" s="19"/>
      <c r="BY412" s="19"/>
      <c r="BZ412" s="19"/>
      <c r="CA412" s="19"/>
      <c r="CB412" s="19"/>
      <c r="CC412" s="19"/>
      <c r="CD412" s="19"/>
      <c r="CE412" s="19"/>
      <c r="CF412" s="19"/>
      <c r="CG412" s="19"/>
      <c r="CH412" s="19"/>
      <c r="CI412" s="19"/>
      <c r="CJ412" s="19"/>
      <c r="CK412" s="19"/>
      <c r="CL412" s="19"/>
      <c r="CM412" s="19"/>
      <c r="CN412" s="19"/>
      <c r="CO412" s="19"/>
      <c r="CP412" s="19"/>
      <c r="CQ412" s="19"/>
      <c r="CR412" s="19"/>
      <c r="CS412" s="19"/>
      <c r="CT412" s="19"/>
      <c r="CU412" s="19"/>
      <c r="CV412" s="19"/>
      <c r="CW412" s="19"/>
      <c r="CX412" s="19"/>
      <c r="CY412" s="19"/>
      <c r="CZ412" s="19"/>
      <c r="DA412" s="19"/>
      <c r="DB412" s="19"/>
      <c r="DC412" s="19"/>
      <c r="DD412" s="19"/>
      <c r="DE412" s="19"/>
      <c r="DF412" s="19"/>
      <c r="DG412" s="19"/>
      <c r="DH412" s="19"/>
      <c r="DI412" s="19"/>
      <c r="DJ412" s="19"/>
      <c r="DK412" s="19"/>
      <c r="DL412" s="19"/>
      <c r="DM412" s="19"/>
      <c r="DN412" s="19"/>
      <c r="DO412" s="19"/>
      <c r="DP412" s="19"/>
      <c r="DQ412" s="19"/>
      <c r="DR412" s="19"/>
      <c r="DS412" s="19"/>
      <c r="DT412" s="19"/>
      <c r="DU412" s="19"/>
      <c r="DV412" s="19"/>
      <c r="DW412" s="19"/>
      <c r="DX412" s="19"/>
      <c r="DY412" s="19"/>
      <c r="DZ412" s="19"/>
      <c r="EA412" s="19"/>
      <c r="EB412" s="19"/>
      <c r="EC412" s="19"/>
      <c r="ED412" s="19"/>
      <c r="EE412" s="19"/>
      <c r="EF412" s="19"/>
      <c r="EG412" s="19"/>
      <c r="EH412" s="19"/>
      <c r="EI412" s="19"/>
      <c r="EJ412" s="19"/>
      <c r="EK412" s="19"/>
      <c r="EL412" s="19"/>
      <c r="EM412" s="19"/>
      <c r="EN412" s="19"/>
      <c r="EO412" s="19"/>
      <c r="EP412" s="19"/>
      <c r="EQ412" s="19"/>
      <c r="ER412" s="19"/>
      <c r="ES412" s="19"/>
      <c r="ET412" s="19"/>
      <c r="EU412" s="19"/>
      <c r="EV412" s="19"/>
      <c r="EW412" s="19"/>
      <c r="EX412" s="19"/>
      <c r="EY412" s="19"/>
      <c r="EZ412" s="19"/>
      <c r="FA412" s="19"/>
      <c r="FB412" s="19"/>
      <c r="FC412" s="19"/>
      <c r="FD412" s="19"/>
      <c r="FE412" s="19"/>
      <c r="FF412" s="19"/>
      <c r="FG412" s="19"/>
      <c r="FH412" s="19"/>
      <c r="FI412" s="19"/>
      <c r="FJ412" s="19"/>
      <c r="FK412" s="19"/>
      <c r="FL412" s="19"/>
      <c r="FM412" s="19"/>
      <c r="FN412" s="19"/>
      <c r="FO412" s="19"/>
      <c r="FP412" s="19"/>
      <c r="FQ412" s="19"/>
      <c r="FR412" s="19"/>
      <c r="FS412" s="19"/>
      <c r="FT412" s="19"/>
      <c r="FU412" s="19"/>
      <c r="FV412" s="19"/>
      <c r="FW412" s="19"/>
      <c r="FX412" s="19"/>
      <c r="FY412" s="19"/>
      <c r="FZ412" s="19"/>
      <c r="GA412" s="19"/>
      <c r="GB412" s="19"/>
      <c r="GC412" s="19"/>
      <c r="GD412" s="19"/>
      <c r="GE412" s="19"/>
      <c r="GF412" s="19"/>
      <c r="GG412" s="19"/>
      <c r="GH412" s="19"/>
      <c r="GI412" s="19"/>
      <c r="GJ412" s="19"/>
      <c r="GK412" s="19"/>
      <c r="GL412" s="19"/>
      <c r="GM412" s="19"/>
      <c r="GN412" s="19"/>
      <c r="GO412" s="19"/>
      <c r="GP412" s="19"/>
      <c r="GQ412" s="19"/>
      <c r="GR412" s="19"/>
      <c r="GS412" s="19"/>
      <c r="GT412" s="19"/>
      <c r="GU412" s="19"/>
      <c r="GV412" s="19"/>
      <c r="GW412" s="19"/>
      <c r="GX412" s="19"/>
      <c r="GY412" s="19"/>
      <c r="GZ412" s="19"/>
      <c r="HA412" s="19"/>
      <c r="HB412" s="19"/>
    </row>
    <row r="413" spans="1:210" x14ac:dyDescent="0.25">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c r="BE413" s="19"/>
      <c r="BF413" s="19"/>
      <c r="BG413" s="19"/>
      <c r="BH413" s="19"/>
      <c r="BI413" s="19"/>
      <c r="BJ413" s="19"/>
      <c r="BK413" s="19"/>
      <c r="BL413" s="19"/>
      <c r="BM413" s="19"/>
      <c r="BN413" s="19"/>
      <c r="BO413" s="19"/>
      <c r="BP413" s="19"/>
      <c r="BQ413" s="19"/>
      <c r="BR413" s="19"/>
      <c r="BS413" s="19"/>
      <c r="BT413" s="19"/>
      <c r="BU413" s="19"/>
      <c r="BV413" s="19"/>
      <c r="BW413" s="19"/>
      <c r="BX413" s="19"/>
      <c r="BY413" s="19"/>
      <c r="BZ413" s="19"/>
      <c r="CA413" s="19"/>
      <c r="CB413" s="19"/>
      <c r="CC413" s="19"/>
      <c r="CD413" s="19"/>
      <c r="CE413" s="19"/>
      <c r="CF413" s="19"/>
      <c r="CG413" s="19"/>
      <c r="CH413" s="19"/>
      <c r="CI413" s="19"/>
      <c r="CJ413" s="19"/>
      <c r="CK413" s="19"/>
      <c r="CL413" s="19"/>
      <c r="CM413" s="19"/>
      <c r="CN413" s="19"/>
      <c r="CO413" s="19"/>
      <c r="CP413" s="19"/>
      <c r="CQ413" s="19"/>
      <c r="CR413" s="19"/>
      <c r="CS413" s="19"/>
      <c r="CT413" s="19"/>
      <c r="CU413" s="19"/>
      <c r="CV413" s="19"/>
      <c r="CW413" s="19"/>
      <c r="CX413" s="19"/>
      <c r="CY413" s="19"/>
      <c r="CZ413" s="19"/>
      <c r="DA413" s="19"/>
      <c r="DB413" s="19"/>
      <c r="DC413" s="19"/>
      <c r="DD413" s="19"/>
      <c r="DE413" s="19"/>
      <c r="DF413" s="19"/>
      <c r="DG413" s="19"/>
      <c r="DH413" s="19"/>
      <c r="DI413" s="19"/>
      <c r="DJ413" s="19"/>
      <c r="DK413" s="19"/>
      <c r="DL413" s="19"/>
      <c r="DM413" s="19"/>
      <c r="DN413" s="19"/>
      <c r="DO413" s="19"/>
      <c r="DP413" s="19"/>
      <c r="DQ413" s="19"/>
      <c r="DR413" s="19"/>
      <c r="DS413" s="19"/>
      <c r="DT413" s="19"/>
      <c r="DU413" s="19"/>
      <c r="DV413" s="19"/>
      <c r="DW413" s="19"/>
      <c r="DX413" s="19"/>
      <c r="DY413" s="19"/>
      <c r="DZ413" s="19"/>
      <c r="EA413" s="19"/>
      <c r="EB413" s="19"/>
      <c r="EC413" s="19"/>
      <c r="ED413" s="19"/>
      <c r="EE413" s="19"/>
      <c r="EF413" s="19"/>
      <c r="EG413" s="19"/>
      <c r="EH413" s="19"/>
      <c r="EI413" s="19"/>
      <c r="EJ413" s="19"/>
      <c r="EK413" s="19"/>
      <c r="EL413" s="19"/>
      <c r="EM413" s="19"/>
      <c r="EN413" s="19"/>
      <c r="EO413" s="19"/>
      <c r="EP413" s="19"/>
      <c r="EQ413" s="19"/>
      <c r="ER413" s="19"/>
      <c r="ES413" s="19"/>
      <c r="ET413" s="19"/>
      <c r="EU413" s="19"/>
      <c r="EV413" s="19"/>
      <c r="EW413" s="19"/>
      <c r="EX413" s="19"/>
      <c r="EY413" s="19"/>
      <c r="EZ413" s="19"/>
      <c r="FA413" s="19"/>
      <c r="FB413" s="19"/>
      <c r="FC413" s="19"/>
      <c r="FD413" s="19"/>
      <c r="FE413" s="19"/>
      <c r="FF413" s="19"/>
      <c r="FG413" s="19"/>
      <c r="FH413" s="19"/>
      <c r="FI413" s="19"/>
      <c r="FJ413" s="19"/>
      <c r="FK413" s="19"/>
      <c r="FL413" s="19"/>
      <c r="FM413" s="19"/>
      <c r="FN413" s="19"/>
      <c r="FO413" s="19"/>
      <c r="FP413" s="19"/>
      <c r="FQ413" s="19"/>
      <c r="FR413" s="19"/>
      <c r="FS413" s="19"/>
      <c r="FT413" s="19"/>
      <c r="FU413" s="19"/>
      <c r="FV413" s="19"/>
      <c r="FW413" s="19"/>
      <c r="FX413" s="19"/>
      <c r="FY413" s="19"/>
      <c r="FZ413" s="19"/>
      <c r="GA413" s="19"/>
      <c r="GB413" s="19"/>
      <c r="GC413" s="19"/>
      <c r="GD413" s="19"/>
      <c r="GE413" s="19"/>
      <c r="GF413" s="19"/>
      <c r="GG413" s="19"/>
      <c r="GH413" s="19"/>
      <c r="GI413" s="19"/>
      <c r="GJ413" s="19"/>
      <c r="GK413" s="19"/>
      <c r="GL413" s="19"/>
      <c r="GM413" s="19"/>
      <c r="GN413" s="19"/>
      <c r="GO413" s="19"/>
      <c r="GP413" s="19"/>
      <c r="GQ413" s="19"/>
      <c r="GR413" s="19"/>
      <c r="GS413" s="19"/>
      <c r="GT413" s="19"/>
      <c r="GU413" s="19"/>
      <c r="GV413" s="19"/>
      <c r="GW413" s="19"/>
      <c r="GX413" s="19"/>
      <c r="GY413" s="19"/>
      <c r="GZ413" s="19"/>
      <c r="HA413" s="19"/>
      <c r="HB413" s="19"/>
    </row>
    <row r="414" spans="1:210" x14ac:dyDescent="0.25">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c r="BE414" s="19"/>
      <c r="BF414" s="19"/>
      <c r="BG414" s="19"/>
      <c r="BH414" s="19"/>
      <c r="BI414" s="19"/>
      <c r="BJ414" s="19"/>
      <c r="BK414" s="19"/>
      <c r="BL414" s="19"/>
      <c r="BM414" s="19"/>
      <c r="BN414" s="19"/>
      <c r="BO414" s="19"/>
      <c r="BP414" s="19"/>
      <c r="BQ414" s="19"/>
      <c r="BR414" s="19"/>
      <c r="BS414" s="19"/>
      <c r="BT414" s="19"/>
      <c r="BU414" s="19"/>
      <c r="BV414" s="19"/>
      <c r="BW414" s="19"/>
      <c r="BX414" s="19"/>
      <c r="BY414" s="19"/>
      <c r="BZ414" s="19"/>
      <c r="CA414" s="19"/>
      <c r="CB414" s="19"/>
      <c r="CC414" s="19"/>
      <c r="CD414" s="19"/>
      <c r="CE414" s="19"/>
      <c r="CF414" s="19"/>
      <c r="CG414" s="19"/>
      <c r="CH414" s="19"/>
      <c r="CI414" s="19"/>
      <c r="CJ414" s="19"/>
      <c r="CK414" s="19"/>
      <c r="CL414" s="19"/>
      <c r="CM414" s="19"/>
      <c r="CN414" s="19"/>
      <c r="CO414" s="19"/>
      <c r="CP414" s="19"/>
      <c r="CQ414" s="19"/>
      <c r="CR414" s="19"/>
      <c r="CS414" s="19"/>
      <c r="CT414" s="19"/>
      <c r="CU414" s="19"/>
      <c r="CV414" s="19"/>
      <c r="CW414" s="19"/>
      <c r="CX414" s="19"/>
      <c r="CY414" s="19"/>
      <c r="CZ414" s="19"/>
      <c r="DA414" s="19"/>
      <c r="DB414" s="19"/>
      <c r="DC414" s="19"/>
      <c r="DD414" s="19"/>
      <c r="DE414" s="19"/>
      <c r="DF414" s="19"/>
      <c r="DG414" s="19"/>
      <c r="DH414" s="19"/>
      <c r="DI414" s="19"/>
      <c r="DJ414" s="19"/>
      <c r="DK414" s="19"/>
      <c r="DL414" s="19"/>
      <c r="DM414" s="19"/>
      <c r="DN414" s="19"/>
      <c r="DO414" s="19"/>
      <c r="DP414" s="19"/>
      <c r="DQ414" s="19"/>
      <c r="DR414" s="19"/>
      <c r="DS414" s="19"/>
      <c r="DT414" s="19"/>
      <c r="DU414" s="19"/>
      <c r="DV414" s="19"/>
      <c r="DW414" s="19"/>
      <c r="DX414" s="19"/>
      <c r="DY414" s="19"/>
      <c r="DZ414" s="19"/>
      <c r="EA414" s="19"/>
      <c r="EB414" s="19"/>
      <c r="EC414" s="19"/>
      <c r="ED414" s="19"/>
      <c r="EE414" s="19"/>
      <c r="EF414" s="19"/>
      <c r="EG414" s="19"/>
      <c r="EH414" s="19"/>
      <c r="EI414" s="19"/>
      <c r="EJ414" s="19"/>
      <c r="EK414" s="19"/>
      <c r="EL414" s="19"/>
      <c r="EM414" s="19"/>
      <c r="EN414" s="19"/>
      <c r="EO414" s="19"/>
      <c r="EP414" s="19"/>
      <c r="EQ414" s="19"/>
      <c r="ER414" s="19"/>
      <c r="ES414" s="19"/>
      <c r="ET414" s="19"/>
      <c r="EU414" s="19"/>
      <c r="EV414" s="19"/>
      <c r="EW414" s="19"/>
      <c r="EX414" s="19"/>
      <c r="EY414" s="19"/>
      <c r="EZ414" s="19"/>
      <c r="FA414" s="19"/>
      <c r="FB414" s="19"/>
      <c r="FC414" s="19"/>
      <c r="FD414" s="19"/>
      <c r="FE414" s="19"/>
      <c r="FF414" s="19"/>
      <c r="FG414" s="19"/>
      <c r="FH414" s="19"/>
      <c r="FI414" s="19"/>
      <c r="FJ414" s="19"/>
      <c r="FK414" s="19"/>
      <c r="FL414" s="19"/>
      <c r="FM414" s="19"/>
      <c r="FN414" s="19"/>
      <c r="FO414" s="19"/>
      <c r="FP414" s="19"/>
      <c r="FQ414" s="19"/>
      <c r="FR414" s="19"/>
      <c r="FS414" s="19"/>
      <c r="FT414" s="19"/>
      <c r="FU414" s="19"/>
      <c r="FV414" s="19"/>
      <c r="FW414" s="19"/>
      <c r="FX414" s="19"/>
      <c r="FY414" s="19"/>
      <c r="FZ414" s="19"/>
      <c r="GA414" s="19"/>
      <c r="GB414" s="19"/>
      <c r="GC414" s="19"/>
      <c r="GD414" s="19"/>
      <c r="GE414" s="19"/>
      <c r="GF414" s="19"/>
      <c r="GG414" s="19"/>
      <c r="GH414" s="19"/>
      <c r="GI414" s="19"/>
      <c r="GJ414" s="19"/>
      <c r="GK414" s="19"/>
      <c r="GL414" s="19"/>
      <c r="GM414" s="19"/>
      <c r="GN414" s="19"/>
      <c r="GO414" s="19"/>
      <c r="GP414" s="19"/>
      <c r="GQ414" s="19"/>
      <c r="GR414" s="19"/>
      <c r="GS414" s="19"/>
      <c r="GT414" s="19"/>
      <c r="GU414" s="19"/>
      <c r="GV414" s="19"/>
      <c r="GW414" s="19"/>
      <c r="GX414" s="19"/>
      <c r="GY414" s="19"/>
      <c r="GZ414" s="19"/>
      <c r="HA414" s="19"/>
      <c r="HB414" s="19"/>
    </row>
    <row r="415" spans="1:210" x14ac:dyDescent="0.25">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c r="BE415" s="19"/>
      <c r="BF415" s="19"/>
      <c r="BG415" s="19"/>
      <c r="BH415" s="19"/>
      <c r="BI415" s="19"/>
      <c r="BJ415" s="19"/>
      <c r="BK415" s="19"/>
      <c r="BL415" s="19"/>
      <c r="BM415" s="19"/>
      <c r="BN415" s="19"/>
      <c r="BO415" s="19"/>
      <c r="BP415" s="19"/>
      <c r="BQ415" s="19"/>
      <c r="BR415" s="19"/>
      <c r="BS415" s="19"/>
      <c r="BT415" s="19"/>
      <c r="BU415" s="19"/>
      <c r="BV415" s="19"/>
      <c r="BW415" s="19"/>
      <c r="BX415" s="19"/>
      <c r="BY415" s="19"/>
      <c r="BZ415" s="19"/>
      <c r="CA415" s="19"/>
      <c r="CB415" s="19"/>
      <c r="CC415" s="19"/>
      <c r="CD415" s="19"/>
      <c r="CE415" s="19"/>
      <c r="CF415" s="19"/>
      <c r="CG415" s="19"/>
      <c r="CH415" s="19"/>
      <c r="CI415" s="19"/>
      <c r="CJ415" s="19"/>
      <c r="CK415" s="19"/>
      <c r="CL415" s="19"/>
      <c r="CM415" s="19"/>
      <c r="CN415" s="19"/>
      <c r="CO415" s="19"/>
      <c r="CP415" s="19"/>
      <c r="CQ415" s="19"/>
      <c r="CR415" s="19"/>
      <c r="CS415" s="19"/>
      <c r="CT415" s="19"/>
      <c r="CU415" s="19"/>
      <c r="CV415" s="19"/>
      <c r="CW415" s="19"/>
      <c r="CX415" s="19"/>
      <c r="CY415" s="19"/>
      <c r="CZ415" s="19"/>
      <c r="DA415" s="19"/>
      <c r="DB415" s="19"/>
      <c r="DC415" s="19"/>
      <c r="DD415" s="19"/>
      <c r="DE415" s="19"/>
      <c r="DF415" s="19"/>
      <c r="DG415" s="19"/>
      <c r="DH415" s="19"/>
      <c r="DI415" s="19"/>
      <c r="DJ415" s="19"/>
      <c r="DK415" s="19"/>
      <c r="DL415" s="19"/>
      <c r="DM415" s="19"/>
      <c r="DN415" s="19"/>
      <c r="DO415" s="19"/>
      <c r="DP415" s="19"/>
      <c r="DQ415" s="19"/>
      <c r="DR415" s="19"/>
      <c r="DS415" s="19"/>
      <c r="DT415" s="19"/>
      <c r="DU415" s="19"/>
      <c r="DV415" s="19"/>
      <c r="DW415" s="19"/>
      <c r="DX415" s="19"/>
      <c r="DY415" s="19"/>
      <c r="DZ415" s="19"/>
      <c r="EA415" s="19"/>
      <c r="EB415" s="19"/>
      <c r="EC415" s="19"/>
      <c r="ED415" s="19"/>
      <c r="EE415" s="19"/>
      <c r="EF415" s="19"/>
      <c r="EG415" s="19"/>
      <c r="EH415" s="19"/>
      <c r="EI415" s="19"/>
      <c r="EJ415" s="19"/>
      <c r="EK415" s="19"/>
      <c r="EL415" s="19"/>
      <c r="EM415" s="19"/>
      <c r="EN415" s="19"/>
      <c r="EO415" s="19"/>
      <c r="EP415" s="19"/>
      <c r="EQ415" s="19"/>
      <c r="ER415" s="19"/>
      <c r="ES415" s="19"/>
      <c r="ET415" s="19"/>
      <c r="EU415" s="19"/>
      <c r="EV415" s="19"/>
      <c r="EW415" s="19"/>
      <c r="EX415" s="19"/>
      <c r="EY415" s="19"/>
      <c r="EZ415" s="19"/>
      <c r="FA415" s="19"/>
      <c r="FB415" s="19"/>
      <c r="FC415" s="19"/>
      <c r="FD415" s="19"/>
      <c r="FE415" s="19"/>
      <c r="FF415" s="19"/>
      <c r="FG415" s="19"/>
      <c r="FH415" s="19"/>
      <c r="FI415" s="19"/>
      <c r="FJ415" s="19"/>
      <c r="FK415" s="19"/>
      <c r="FL415" s="19"/>
      <c r="FM415" s="19"/>
      <c r="FN415" s="19"/>
      <c r="FO415" s="19"/>
      <c r="FP415" s="19"/>
      <c r="FQ415" s="19"/>
      <c r="FR415" s="19"/>
      <c r="FS415" s="19"/>
      <c r="FT415" s="19"/>
      <c r="FU415" s="19"/>
      <c r="FV415" s="19"/>
      <c r="FW415" s="19"/>
      <c r="FX415" s="19"/>
      <c r="FY415" s="19"/>
      <c r="FZ415" s="19"/>
      <c r="GA415" s="19"/>
      <c r="GB415" s="19"/>
      <c r="GC415" s="19"/>
      <c r="GD415" s="19"/>
      <c r="GE415" s="19"/>
      <c r="GF415" s="19"/>
      <c r="GG415" s="19"/>
      <c r="GH415" s="19"/>
      <c r="GI415" s="19"/>
      <c r="GJ415" s="19"/>
      <c r="GK415" s="19"/>
      <c r="GL415" s="19"/>
      <c r="GM415" s="19"/>
      <c r="GN415" s="19"/>
      <c r="GO415" s="19"/>
      <c r="GP415" s="19"/>
      <c r="GQ415" s="19"/>
      <c r="GR415" s="19"/>
      <c r="GS415" s="19"/>
      <c r="GT415" s="19"/>
      <c r="GU415" s="19"/>
      <c r="GV415" s="19"/>
      <c r="GW415" s="19"/>
      <c r="GX415" s="19"/>
      <c r="GY415" s="19"/>
      <c r="GZ415" s="19"/>
      <c r="HA415" s="19"/>
      <c r="HB415" s="19"/>
    </row>
    <row r="416" spans="1:210" x14ac:dyDescent="0.25">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c r="BE416" s="19"/>
      <c r="BF416" s="19"/>
      <c r="BG416" s="19"/>
      <c r="BH416" s="19"/>
      <c r="BI416" s="19"/>
      <c r="BJ416" s="19"/>
      <c r="BK416" s="19"/>
      <c r="BL416" s="19"/>
      <c r="BM416" s="19"/>
      <c r="BN416" s="19"/>
      <c r="BO416" s="19"/>
      <c r="BP416" s="19"/>
      <c r="BQ416" s="19"/>
      <c r="BR416" s="19"/>
      <c r="BS416" s="19"/>
      <c r="BT416" s="19"/>
      <c r="BU416" s="19"/>
      <c r="BV416" s="19"/>
      <c r="BW416" s="19"/>
      <c r="BX416" s="19"/>
      <c r="BY416" s="19"/>
      <c r="BZ416" s="19"/>
      <c r="CA416" s="19"/>
      <c r="CB416" s="19"/>
      <c r="CC416" s="19"/>
      <c r="CD416" s="19"/>
      <c r="CE416" s="19"/>
      <c r="CF416" s="19"/>
      <c r="CG416" s="19"/>
      <c r="CH416" s="19"/>
      <c r="CI416" s="19"/>
      <c r="CJ416" s="19"/>
      <c r="CK416" s="19"/>
      <c r="CL416" s="19"/>
      <c r="CM416" s="19"/>
      <c r="CN416" s="19"/>
      <c r="CO416" s="19"/>
      <c r="CP416" s="19"/>
      <c r="CQ416" s="19"/>
      <c r="CR416" s="19"/>
      <c r="CS416" s="19"/>
      <c r="CT416" s="19"/>
      <c r="CU416" s="19"/>
      <c r="CV416" s="19"/>
      <c r="CW416" s="19"/>
      <c r="CX416" s="19"/>
      <c r="CY416" s="19"/>
      <c r="CZ416" s="19"/>
      <c r="DA416" s="19"/>
      <c r="DB416" s="19"/>
      <c r="DC416" s="19"/>
      <c r="DD416" s="19"/>
      <c r="DE416" s="19"/>
      <c r="DF416" s="19"/>
      <c r="DG416" s="19"/>
      <c r="DH416" s="19"/>
      <c r="DI416" s="19"/>
      <c r="DJ416" s="19"/>
      <c r="DK416" s="19"/>
      <c r="DL416" s="19"/>
      <c r="DM416" s="19"/>
      <c r="DN416" s="19"/>
      <c r="DO416" s="19"/>
      <c r="DP416" s="19"/>
      <c r="DQ416" s="19"/>
      <c r="DR416" s="19"/>
      <c r="DS416" s="19"/>
      <c r="DT416" s="19"/>
      <c r="DU416" s="19"/>
      <c r="DV416" s="19"/>
      <c r="DW416" s="19"/>
      <c r="DX416" s="19"/>
      <c r="DY416" s="19"/>
      <c r="DZ416" s="19"/>
      <c r="EA416" s="19"/>
      <c r="EB416" s="19"/>
      <c r="EC416" s="19"/>
      <c r="ED416" s="19"/>
      <c r="EE416" s="19"/>
      <c r="EF416" s="19"/>
      <c r="EG416" s="19"/>
      <c r="EH416" s="19"/>
      <c r="EI416" s="19"/>
      <c r="EJ416" s="19"/>
      <c r="EK416" s="19"/>
      <c r="EL416" s="19"/>
      <c r="EM416" s="19"/>
      <c r="EN416" s="19"/>
      <c r="EO416" s="19"/>
      <c r="EP416" s="19"/>
      <c r="EQ416" s="19"/>
      <c r="ER416" s="19"/>
      <c r="ES416" s="19"/>
      <c r="ET416" s="19"/>
      <c r="EU416" s="19"/>
      <c r="EV416" s="19"/>
      <c r="EW416" s="19"/>
      <c r="EX416" s="19"/>
      <c r="EY416" s="19"/>
      <c r="EZ416" s="19"/>
      <c r="FA416" s="19"/>
      <c r="FB416" s="19"/>
      <c r="FC416" s="19"/>
      <c r="FD416" s="19"/>
      <c r="FE416" s="19"/>
      <c r="FF416" s="19"/>
      <c r="FG416" s="19"/>
      <c r="FH416" s="19"/>
      <c r="FI416" s="19"/>
      <c r="FJ416" s="19"/>
      <c r="FK416" s="19"/>
      <c r="FL416" s="19"/>
      <c r="FM416" s="19"/>
      <c r="FN416" s="19"/>
      <c r="FO416" s="19"/>
      <c r="FP416" s="19"/>
      <c r="FQ416" s="19"/>
      <c r="FR416" s="19"/>
      <c r="FS416" s="19"/>
      <c r="FT416" s="19"/>
      <c r="FU416" s="19"/>
      <c r="FV416" s="19"/>
      <c r="FW416" s="19"/>
      <c r="FX416" s="19"/>
      <c r="FY416" s="19"/>
      <c r="FZ416" s="19"/>
      <c r="GA416" s="19"/>
      <c r="GB416" s="19"/>
      <c r="GC416" s="19"/>
      <c r="GD416" s="19"/>
      <c r="GE416" s="19"/>
      <c r="GF416" s="19"/>
      <c r="GG416" s="19"/>
      <c r="GH416" s="19"/>
      <c r="GI416" s="19"/>
      <c r="GJ416" s="19"/>
      <c r="GK416" s="19"/>
      <c r="GL416" s="19"/>
      <c r="GM416" s="19"/>
      <c r="GN416" s="19"/>
      <c r="GO416" s="19"/>
      <c r="GP416" s="19"/>
      <c r="GQ416" s="19"/>
      <c r="GR416" s="19"/>
      <c r="GS416" s="19"/>
      <c r="GT416" s="19"/>
      <c r="GU416" s="19"/>
      <c r="GV416" s="19"/>
      <c r="GW416" s="19"/>
      <c r="GX416" s="19"/>
      <c r="GY416" s="19"/>
      <c r="GZ416" s="19"/>
      <c r="HA416" s="19"/>
      <c r="HB416" s="19"/>
    </row>
    <row r="417" spans="1:210" x14ac:dyDescent="0.25">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c r="BE417" s="19"/>
      <c r="BF417" s="19"/>
      <c r="BG417" s="19"/>
      <c r="BH417" s="19"/>
      <c r="BI417" s="19"/>
      <c r="BJ417" s="19"/>
      <c r="BK417" s="19"/>
      <c r="BL417" s="19"/>
      <c r="BM417" s="19"/>
      <c r="BN417" s="19"/>
      <c r="BO417" s="19"/>
      <c r="BP417" s="19"/>
      <c r="BQ417" s="19"/>
      <c r="BR417" s="19"/>
      <c r="BS417" s="19"/>
      <c r="BT417" s="19"/>
      <c r="BU417" s="19"/>
      <c r="BV417" s="19"/>
      <c r="BW417" s="19"/>
      <c r="BX417" s="19"/>
      <c r="BY417" s="19"/>
      <c r="BZ417" s="19"/>
      <c r="CA417" s="19"/>
      <c r="CB417" s="19"/>
      <c r="CC417" s="19"/>
      <c r="CD417" s="19"/>
      <c r="CE417" s="19"/>
      <c r="CF417" s="19"/>
      <c r="CG417" s="19"/>
      <c r="CH417" s="19"/>
      <c r="CI417" s="19"/>
      <c r="CJ417" s="19"/>
      <c r="CK417" s="19"/>
      <c r="CL417" s="19"/>
      <c r="CM417" s="19"/>
      <c r="CN417" s="19"/>
      <c r="CO417" s="19"/>
      <c r="CP417" s="19"/>
      <c r="CQ417" s="19"/>
      <c r="CR417" s="19"/>
      <c r="CS417" s="19"/>
      <c r="CT417" s="19"/>
      <c r="CU417" s="19"/>
      <c r="CV417" s="19"/>
      <c r="CW417" s="19"/>
      <c r="CX417" s="19"/>
      <c r="CY417" s="19"/>
      <c r="CZ417" s="19"/>
      <c r="DA417" s="19"/>
      <c r="DB417" s="19"/>
      <c r="DC417" s="19"/>
      <c r="DD417" s="19"/>
      <c r="DE417" s="19"/>
      <c r="DF417" s="19"/>
      <c r="DG417" s="19"/>
      <c r="DH417" s="19"/>
      <c r="DI417" s="19"/>
      <c r="DJ417" s="19"/>
      <c r="DK417" s="19"/>
      <c r="DL417" s="19"/>
      <c r="DM417" s="19"/>
      <c r="DN417" s="19"/>
      <c r="DO417" s="19"/>
      <c r="DP417" s="19"/>
      <c r="DQ417" s="19"/>
      <c r="DR417" s="19"/>
      <c r="DS417" s="19"/>
      <c r="DT417" s="19"/>
      <c r="DU417" s="19"/>
      <c r="DV417" s="19"/>
      <c r="DW417" s="19"/>
      <c r="DX417" s="19"/>
      <c r="DY417" s="19"/>
      <c r="DZ417" s="19"/>
      <c r="EA417" s="19"/>
      <c r="EB417" s="19"/>
      <c r="EC417" s="19"/>
      <c r="ED417" s="19"/>
      <c r="EE417" s="19"/>
      <c r="EF417" s="19"/>
      <c r="EG417" s="19"/>
      <c r="EH417" s="19"/>
      <c r="EI417" s="19"/>
      <c r="EJ417" s="19"/>
      <c r="EK417" s="19"/>
      <c r="EL417" s="19"/>
      <c r="EM417" s="19"/>
      <c r="EN417" s="19"/>
      <c r="EO417" s="19"/>
      <c r="EP417" s="19"/>
      <c r="EQ417" s="19"/>
      <c r="ER417" s="19"/>
      <c r="ES417" s="19"/>
      <c r="ET417" s="19"/>
      <c r="EU417" s="19"/>
      <c r="EV417" s="19"/>
      <c r="EW417" s="19"/>
      <c r="EX417" s="19"/>
      <c r="EY417" s="19"/>
      <c r="EZ417" s="19"/>
      <c r="FA417" s="19"/>
      <c r="FB417" s="19"/>
      <c r="FC417" s="19"/>
      <c r="FD417" s="19"/>
      <c r="FE417" s="19"/>
      <c r="FF417" s="19"/>
      <c r="FG417" s="19"/>
      <c r="FH417" s="19"/>
      <c r="FI417" s="19"/>
      <c r="FJ417" s="19"/>
      <c r="FK417" s="19"/>
      <c r="FL417" s="19"/>
      <c r="FM417" s="19"/>
      <c r="FN417" s="19"/>
      <c r="FO417" s="19"/>
      <c r="FP417" s="19"/>
      <c r="FQ417" s="19"/>
      <c r="FR417" s="19"/>
      <c r="FS417" s="19"/>
      <c r="FT417" s="19"/>
      <c r="FU417" s="19"/>
      <c r="FV417" s="19"/>
      <c r="FW417" s="19"/>
      <c r="FX417" s="19"/>
      <c r="FY417" s="19"/>
      <c r="FZ417" s="19"/>
      <c r="GA417" s="19"/>
      <c r="GB417" s="19"/>
      <c r="GC417" s="19"/>
      <c r="GD417" s="19"/>
      <c r="GE417" s="19"/>
      <c r="GF417" s="19"/>
      <c r="GG417" s="19"/>
      <c r="GH417" s="19"/>
      <c r="GI417" s="19"/>
      <c r="GJ417" s="19"/>
      <c r="GK417" s="19"/>
      <c r="GL417" s="19"/>
      <c r="GM417" s="19"/>
      <c r="GN417" s="19"/>
      <c r="GO417" s="19"/>
      <c r="GP417" s="19"/>
      <c r="GQ417" s="19"/>
      <c r="GR417" s="19"/>
      <c r="GS417" s="19"/>
      <c r="GT417" s="19"/>
      <c r="GU417" s="19"/>
      <c r="GV417" s="19"/>
      <c r="GW417" s="19"/>
      <c r="GX417" s="19"/>
      <c r="GY417" s="19"/>
      <c r="GZ417" s="19"/>
      <c r="HA417" s="19"/>
      <c r="HB417" s="19"/>
    </row>
    <row r="418" spans="1:210" x14ac:dyDescent="0.25">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c r="BE418" s="19"/>
      <c r="BF418" s="19"/>
      <c r="BG418" s="19"/>
      <c r="BH418" s="19"/>
      <c r="BI418" s="19"/>
      <c r="BJ418" s="19"/>
      <c r="BK418" s="19"/>
      <c r="BL418" s="19"/>
      <c r="BM418" s="19"/>
      <c r="BN418" s="19"/>
      <c r="BO418" s="19"/>
      <c r="BP418" s="19"/>
      <c r="BQ418" s="19"/>
      <c r="BR418" s="19"/>
      <c r="BS418" s="19"/>
      <c r="BT418" s="19"/>
      <c r="BU418" s="19"/>
      <c r="BV418" s="19"/>
      <c r="BW418" s="19"/>
      <c r="BX418" s="19"/>
      <c r="BY418" s="19"/>
      <c r="BZ418" s="19"/>
      <c r="CA418" s="19"/>
      <c r="CB418" s="19"/>
      <c r="CC418" s="19"/>
      <c r="CD418" s="19"/>
      <c r="CE418" s="19"/>
      <c r="CF418" s="19"/>
      <c r="CG418" s="19"/>
      <c r="CH418" s="19"/>
      <c r="CI418" s="19"/>
      <c r="CJ418" s="19"/>
      <c r="CK418" s="19"/>
      <c r="CL418" s="19"/>
      <c r="CM418" s="19"/>
      <c r="CN418" s="19"/>
      <c r="CO418" s="19"/>
      <c r="CP418" s="19"/>
      <c r="CQ418" s="19"/>
      <c r="CR418" s="19"/>
      <c r="CS418" s="19"/>
      <c r="CT418" s="19"/>
      <c r="CU418" s="19"/>
      <c r="CV418" s="19"/>
      <c r="CW418" s="19"/>
      <c r="CX418" s="19"/>
      <c r="CY418" s="19"/>
      <c r="CZ418" s="19"/>
      <c r="DA418" s="19"/>
      <c r="DB418" s="19"/>
      <c r="DC418" s="19"/>
      <c r="DD418" s="19"/>
      <c r="DE418" s="19"/>
      <c r="DF418" s="19"/>
      <c r="DG418" s="19"/>
      <c r="DH418" s="19"/>
      <c r="DI418" s="19"/>
      <c r="DJ418" s="19"/>
      <c r="DK418" s="19"/>
      <c r="DL418" s="19"/>
      <c r="DM418" s="19"/>
      <c r="DN418" s="19"/>
      <c r="DO418" s="19"/>
      <c r="DP418" s="19"/>
      <c r="DQ418" s="19"/>
      <c r="DR418" s="19"/>
      <c r="DS418" s="19"/>
      <c r="DT418" s="19"/>
      <c r="DU418" s="19"/>
      <c r="DV418" s="19"/>
      <c r="DW418" s="19"/>
      <c r="DX418" s="19"/>
      <c r="DY418" s="19"/>
      <c r="DZ418" s="19"/>
      <c r="EA418" s="19"/>
      <c r="EB418" s="19"/>
      <c r="EC418" s="19"/>
      <c r="ED418" s="19"/>
      <c r="EE418" s="19"/>
      <c r="EF418" s="19"/>
      <c r="EG418" s="19"/>
      <c r="EH418" s="19"/>
      <c r="EI418" s="19"/>
      <c r="EJ418" s="19"/>
      <c r="EK418" s="19"/>
      <c r="EL418" s="19"/>
      <c r="EM418" s="19"/>
      <c r="EN418" s="19"/>
      <c r="EO418" s="19"/>
      <c r="EP418" s="19"/>
      <c r="EQ418" s="19"/>
      <c r="ER418" s="19"/>
      <c r="ES418" s="19"/>
      <c r="ET418" s="19"/>
      <c r="EU418" s="19"/>
      <c r="EV418" s="19"/>
      <c r="EW418" s="19"/>
      <c r="EX418" s="19"/>
      <c r="EY418" s="19"/>
      <c r="EZ418" s="19"/>
      <c r="FA418" s="19"/>
      <c r="FB418" s="19"/>
      <c r="FC418" s="19"/>
      <c r="FD418" s="19"/>
      <c r="FE418" s="19"/>
      <c r="FF418" s="19"/>
      <c r="FG418" s="19"/>
      <c r="FH418" s="19"/>
      <c r="FI418" s="19"/>
      <c r="FJ418" s="19"/>
      <c r="FK418" s="19"/>
      <c r="FL418" s="19"/>
      <c r="FM418" s="19"/>
      <c r="FN418" s="19"/>
      <c r="FO418" s="19"/>
      <c r="FP418" s="19"/>
      <c r="FQ418" s="19"/>
      <c r="FR418" s="19"/>
      <c r="FS418" s="19"/>
      <c r="FT418" s="19"/>
      <c r="FU418" s="19"/>
      <c r="FV418" s="19"/>
      <c r="FW418" s="19"/>
      <c r="FX418" s="19"/>
      <c r="FY418" s="19"/>
      <c r="FZ418" s="19"/>
      <c r="GA418" s="19"/>
      <c r="GB418" s="19"/>
      <c r="GC418" s="19"/>
      <c r="GD418" s="19"/>
      <c r="GE418" s="19"/>
      <c r="GF418" s="19"/>
      <c r="GG418" s="19"/>
      <c r="GH418" s="19"/>
      <c r="GI418" s="19"/>
      <c r="GJ418" s="19"/>
      <c r="GK418" s="19"/>
      <c r="GL418" s="19"/>
      <c r="GM418" s="19"/>
      <c r="GN418" s="19"/>
      <c r="GO418" s="19"/>
      <c r="GP418" s="19"/>
      <c r="GQ418" s="19"/>
      <c r="GR418" s="19"/>
      <c r="GS418" s="19"/>
      <c r="GT418" s="19"/>
      <c r="GU418" s="19"/>
      <c r="GV418" s="19"/>
      <c r="GW418" s="19"/>
      <c r="GX418" s="19"/>
      <c r="GY418" s="19"/>
      <c r="GZ418" s="19"/>
      <c r="HA418" s="19"/>
      <c r="HB418" s="19"/>
    </row>
    <row r="419" spans="1:210" x14ac:dyDescent="0.25">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c r="BE419" s="19"/>
      <c r="BF419" s="19"/>
      <c r="BG419" s="19"/>
      <c r="BH419" s="19"/>
      <c r="BI419" s="19"/>
      <c r="BJ419" s="19"/>
      <c r="BK419" s="19"/>
      <c r="BL419" s="19"/>
      <c r="BM419" s="19"/>
      <c r="BN419" s="19"/>
      <c r="BO419" s="19"/>
      <c r="BP419" s="19"/>
      <c r="BQ419" s="19"/>
      <c r="BR419" s="19"/>
      <c r="BS419" s="19"/>
      <c r="BT419" s="19"/>
      <c r="BU419" s="19"/>
      <c r="BV419" s="19"/>
      <c r="BW419" s="19"/>
      <c r="BX419" s="19"/>
      <c r="BY419" s="19"/>
      <c r="BZ419" s="19"/>
      <c r="CA419" s="19"/>
      <c r="CB419" s="19"/>
      <c r="CC419" s="19"/>
      <c r="CD419" s="19"/>
      <c r="CE419" s="19"/>
      <c r="CF419" s="19"/>
      <c r="CG419" s="19"/>
      <c r="CH419" s="19"/>
      <c r="CI419" s="19"/>
      <c r="CJ419" s="19"/>
      <c r="CK419" s="19"/>
      <c r="CL419" s="19"/>
      <c r="CM419" s="19"/>
      <c r="CN419" s="19"/>
      <c r="CO419" s="19"/>
      <c r="CP419" s="19"/>
      <c r="CQ419" s="19"/>
      <c r="CR419" s="19"/>
      <c r="CS419" s="19"/>
      <c r="CT419" s="19"/>
      <c r="CU419" s="19"/>
      <c r="CV419" s="19"/>
      <c r="CW419" s="19"/>
      <c r="CX419" s="19"/>
      <c r="CY419" s="19"/>
      <c r="CZ419" s="19"/>
      <c r="DA419" s="19"/>
      <c r="DB419" s="19"/>
      <c r="DC419" s="19"/>
      <c r="DD419" s="19"/>
      <c r="DE419" s="19"/>
      <c r="DF419" s="19"/>
      <c r="DG419" s="19"/>
      <c r="DH419" s="19"/>
      <c r="DI419" s="19"/>
      <c r="DJ419" s="19"/>
      <c r="DK419" s="19"/>
      <c r="DL419" s="19"/>
      <c r="DM419" s="19"/>
      <c r="DN419" s="19"/>
      <c r="DO419" s="19"/>
      <c r="DP419" s="19"/>
      <c r="DQ419" s="19"/>
      <c r="DR419" s="19"/>
      <c r="DS419" s="19"/>
      <c r="DT419" s="19"/>
      <c r="DU419" s="19"/>
      <c r="DV419" s="19"/>
      <c r="DW419" s="19"/>
      <c r="DX419" s="19"/>
      <c r="DY419" s="19"/>
      <c r="DZ419" s="19"/>
      <c r="EA419" s="19"/>
      <c r="EB419" s="19"/>
      <c r="EC419" s="19"/>
      <c r="ED419" s="19"/>
      <c r="EE419" s="19"/>
      <c r="EF419" s="19"/>
      <c r="EG419" s="19"/>
      <c r="EH419" s="19"/>
      <c r="EI419" s="19"/>
      <c r="EJ419" s="19"/>
      <c r="EK419" s="19"/>
      <c r="EL419" s="19"/>
      <c r="EM419" s="19"/>
      <c r="EN419" s="19"/>
      <c r="EO419" s="19"/>
      <c r="EP419" s="19"/>
      <c r="EQ419" s="19"/>
      <c r="ER419" s="19"/>
      <c r="ES419" s="19"/>
      <c r="ET419" s="19"/>
      <c r="EU419" s="19"/>
      <c r="EV419" s="19"/>
      <c r="EW419" s="19"/>
      <c r="EX419" s="19"/>
      <c r="EY419" s="19"/>
      <c r="EZ419" s="19"/>
      <c r="FA419" s="19"/>
      <c r="FB419" s="19"/>
      <c r="FC419" s="19"/>
      <c r="FD419" s="19"/>
      <c r="FE419" s="19"/>
      <c r="FF419" s="19"/>
      <c r="FG419" s="19"/>
      <c r="FH419" s="19"/>
      <c r="FI419" s="19"/>
      <c r="FJ419" s="19"/>
      <c r="FK419" s="19"/>
      <c r="FL419" s="19"/>
      <c r="FM419" s="19"/>
      <c r="FN419" s="19"/>
      <c r="FO419" s="19"/>
      <c r="FP419" s="19"/>
      <c r="FQ419" s="19"/>
      <c r="FR419" s="19"/>
      <c r="FS419" s="19"/>
      <c r="FT419" s="19"/>
      <c r="FU419" s="19"/>
      <c r="FV419" s="19"/>
      <c r="FW419" s="19"/>
      <c r="FX419" s="19"/>
      <c r="FY419" s="19"/>
      <c r="FZ419" s="19"/>
      <c r="GA419" s="19"/>
      <c r="GB419" s="19"/>
      <c r="GC419" s="19"/>
      <c r="GD419" s="19"/>
      <c r="GE419" s="19"/>
      <c r="GF419" s="19"/>
      <c r="GG419" s="19"/>
      <c r="GH419" s="19"/>
      <c r="GI419" s="19"/>
      <c r="GJ419" s="19"/>
      <c r="GK419" s="19"/>
      <c r="GL419" s="19"/>
      <c r="GM419" s="19"/>
      <c r="GN419" s="19"/>
      <c r="GO419" s="19"/>
      <c r="GP419" s="19"/>
      <c r="GQ419" s="19"/>
      <c r="GR419" s="19"/>
      <c r="GS419" s="19"/>
      <c r="GT419" s="19"/>
      <c r="GU419" s="19"/>
      <c r="GV419" s="19"/>
      <c r="GW419" s="19"/>
      <c r="GX419" s="19"/>
      <c r="GY419" s="19"/>
      <c r="GZ419" s="19"/>
      <c r="HA419" s="19"/>
      <c r="HB419" s="19"/>
    </row>
    <row r="420" spans="1:210" x14ac:dyDescent="0.25">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c r="BE420" s="19"/>
      <c r="BF420" s="19"/>
      <c r="BG420" s="19"/>
      <c r="BH420" s="19"/>
      <c r="BI420" s="19"/>
      <c r="BJ420" s="19"/>
      <c r="BK420" s="19"/>
      <c r="BL420" s="19"/>
      <c r="BM420" s="19"/>
      <c r="BN420" s="19"/>
      <c r="BO420" s="19"/>
      <c r="BP420" s="19"/>
      <c r="BQ420" s="19"/>
      <c r="BR420" s="19"/>
      <c r="BS420" s="19"/>
      <c r="BT420" s="19"/>
      <c r="BU420" s="19"/>
      <c r="BV420" s="19"/>
      <c r="BW420" s="19"/>
      <c r="BX420" s="19"/>
      <c r="BY420" s="19"/>
      <c r="BZ420" s="19"/>
      <c r="CA420" s="19"/>
      <c r="CB420" s="19"/>
      <c r="CC420" s="19"/>
      <c r="CD420" s="19"/>
      <c r="CE420" s="19"/>
      <c r="CF420" s="19"/>
      <c r="CG420" s="19"/>
      <c r="CH420" s="19"/>
      <c r="CI420" s="19"/>
      <c r="CJ420" s="19"/>
      <c r="CK420" s="19"/>
      <c r="CL420" s="19"/>
      <c r="CM420" s="19"/>
      <c r="CN420" s="19"/>
      <c r="CO420" s="19"/>
      <c r="CP420" s="19"/>
      <c r="CQ420" s="19"/>
      <c r="CR420" s="19"/>
      <c r="CS420" s="19"/>
      <c r="CT420" s="19"/>
      <c r="CU420" s="19"/>
      <c r="CV420" s="19"/>
      <c r="CW420" s="19"/>
      <c r="CX420" s="19"/>
      <c r="CY420" s="19"/>
      <c r="CZ420" s="19"/>
      <c r="DA420" s="19"/>
      <c r="DB420" s="19"/>
      <c r="DC420" s="19"/>
      <c r="DD420" s="19"/>
      <c r="DE420" s="19"/>
      <c r="DF420" s="19"/>
      <c r="DG420" s="19"/>
      <c r="DH420" s="19"/>
      <c r="DI420" s="19"/>
      <c r="DJ420" s="19"/>
      <c r="DK420" s="19"/>
      <c r="DL420" s="19"/>
      <c r="DM420" s="19"/>
      <c r="DN420" s="19"/>
      <c r="DO420" s="19"/>
      <c r="DP420" s="19"/>
      <c r="DQ420" s="19"/>
      <c r="DR420" s="19"/>
      <c r="DS420" s="19"/>
      <c r="DT420" s="19"/>
      <c r="DU420" s="19"/>
      <c r="DV420" s="19"/>
      <c r="DW420" s="19"/>
      <c r="DX420" s="19"/>
      <c r="DY420" s="19"/>
      <c r="DZ420" s="19"/>
      <c r="EA420" s="19"/>
      <c r="EB420" s="19"/>
      <c r="EC420" s="19"/>
      <c r="ED420" s="19"/>
      <c r="EE420" s="19"/>
      <c r="EF420" s="19"/>
      <c r="EG420" s="19"/>
      <c r="EH420" s="19"/>
      <c r="EI420" s="19"/>
      <c r="EJ420" s="19"/>
      <c r="EK420" s="19"/>
      <c r="EL420" s="19"/>
      <c r="EM420" s="19"/>
      <c r="EN420" s="19"/>
      <c r="EO420" s="19"/>
      <c r="EP420" s="19"/>
      <c r="EQ420" s="19"/>
      <c r="ER420" s="19"/>
      <c r="ES420" s="19"/>
      <c r="ET420" s="19"/>
      <c r="EU420" s="19"/>
      <c r="EV420" s="19"/>
      <c r="EW420" s="19"/>
      <c r="EX420" s="19"/>
      <c r="EY420" s="19"/>
      <c r="EZ420" s="19"/>
      <c r="FA420" s="19"/>
      <c r="FB420" s="19"/>
      <c r="FC420" s="19"/>
      <c r="FD420" s="19"/>
      <c r="FE420" s="19"/>
      <c r="FF420" s="19"/>
      <c r="FG420" s="19"/>
      <c r="FH420" s="19"/>
      <c r="FI420" s="19"/>
      <c r="FJ420" s="19"/>
      <c r="FK420" s="19"/>
      <c r="FL420" s="19"/>
      <c r="FM420" s="19"/>
      <c r="FN420" s="19"/>
      <c r="FO420" s="19"/>
      <c r="FP420" s="19"/>
      <c r="FQ420" s="19"/>
      <c r="FR420" s="19"/>
      <c r="FS420" s="19"/>
      <c r="FT420" s="19"/>
      <c r="FU420" s="19"/>
      <c r="FV420" s="19"/>
      <c r="FW420" s="19"/>
      <c r="FX420" s="19"/>
      <c r="FY420" s="19"/>
      <c r="FZ420" s="19"/>
      <c r="GA420" s="19"/>
      <c r="GB420" s="19"/>
      <c r="GC420" s="19"/>
      <c r="GD420" s="19"/>
      <c r="GE420" s="19"/>
      <c r="GF420" s="19"/>
      <c r="GG420" s="19"/>
      <c r="GH420" s="19"/>
      <c r="GI420" s="19"/>
      <c r="GJ420" s="19"/>
      <c r="GK420" s="19"/>
      <c r="GL420" s="19"/>
      <c r="GM420" s="19"/>
      <c r="GN420" s="19"/>
      <c r="GO420" s="19"/>
      <c r="GP420" s="19"/>
      <c r="GQ420" s="19"/>
      <c r="GR420" s="19"/>
      <c r="GS420" s="19"/>
      <c r="GT420" s="19"/>
      <c r="GU420" s="19"/>
      <c r="GV420" s="19"/>
      <c r="GW420" s="19"/>
      <c r="GX420" s="19"/>
      <c r="GY420" s="19"/>
      <c r="GZ420" s="19"/>
      <c r="HA420" s="19"/>
      <c r="HB420" s="19"/>
    </row>
    <row r="421" spans="1:210" x14ac:dyDescent="0.25">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c r="BE421" s="19"/>
      <c r="BF421" s="19"/>
      <c r="BG421" s="19"/>
      <c r="BH421" s="19"/>
      <c r="BI421" s="19"/>
      <c r="BJ421" s="19"/>
      <c r="BK421" s="19"/>
      <c r="BL421" s="19"/>
      <c r="BM421" s="19"/>
      <c r="BN421" s="19"/>
      <c r="BO421" s="19"/>
      <c r="BP421" s="19"/>
      <c r="BQ421" s="19"/>
      <c r="BR421" s="19"/>
      <c r="BS421" s="19"/>
      <c r="BT421" s="19"/>
      <c r="BU421" s="19"/>
      <c r="BV421" s="19"/>
      <c r="BW421" s="19"/>
      <c r="BX421" s="19"/>
      <c r="BY421" s="19"/>
      <c r="BZ421" s="19"/>
      <c r="CA421" s="19"/>
      <c r="CB421" s="19"/>
      <c r="CC421" s="19"/>
      <c r="CD421" s="19"/>
      <c r="CE421" s="19"/>
      <c r="CF421" s="19"/>
      <c r="CG421" s="19"/>
      <c r="CH421" s="19"/>
      <c r="CI421" s="19"/>
      <c r="CJ421" s="19"/>
      <c r="CK421" s="19"/>
      <c r="CL421" s="19"/>
      <c r="CM421" s="19"/>
      <c r="CN421" s="19"/>
      <c r="CO421" s="19"/>
      <c r="CP421" s="19"/>
      <c r="CQ421" s="19"/>
      <c r="CR421" s="19"/>
      <c r="CS421" s="19"/>
      <c r="CT421" s="19"/>
      <c r="CU421" s="19"/>
      <c r="CV421" s="19"/>
      <c r="CW421" s="19"/>
      <c r="CX421" s="19"/>
      <c r="CY421" s="19"/>
      <c r="CZ421" s="19"/>
      <c r="DA421" s="19"/>
      <c r="DB421" s="19"/>
      <c r="DC421" s="19"/>
      <c r="DD421" s="19"/>
      <c r="DE421" s="19"/>
      <c r="DF421" s="19"/>
      <c r="DG421" s="19"/>
      <c r="DH421" s="19"/>
      <c r="DI421" s="19"/>
      <c r="DJ421" s="19"/>
      <c r="DK421" s="19"/>
      <c r="DL421" s="19"/>
      <c r="DM421" s="19"/>
      <c r="DN421" s="19"/>
      <c r="DO421" s="19"/>
      <c r="DP421" s="19"/>
      <c r="DQ421" s="19"/>
      <c r="DR421" s="19"/>
      <c r="DS421" s="19"/>
      <c r="DT421" s="19"/>
      <c r="DU421" s="19"/>
      <c r="DV421" s="19"/>
      <c r="DW421" s="19"/>
      <c r="DX421" s="19"/>
      <c r="DY421" s="19"/>
      <c r="DZ421" s="19"/>
      <c r="EA421" s="19"/>
      <c r="EB421" s="19"/>
      <c r="EC421" s="19"/>
      <c r="ED421" s="19"/>
      <c r="EE421" s="19"/>
      <c r="EF421" s="19"/>
      <c r="EG421" s="19"/>
      <c r="EH421" s="19"/>
      <c r="EI421" s="19"/>
      <c r="EJ421" s="19"/>
      <c r="EK421" s="19"/>
      <c r="EL421" s="19"/>
      <c r="EM421" s="19"/>
      <c r="EN421" s="19"/>
      <c r="EO421" s="19"/>
      <c r="EP421" s="19"/>
      <c r="EQ421" s="19"/>
      <c r="ER421" s="19"/>
      <c r="ES421" s="19"/>
      <c r="ET421" s="19"/>
      <c r="EU421" s="19"/>
      <c r="EV421" s="19"/>
      <c r="EW421" s="19"/>
      <c r="EX421" s="19"/>
      <c r="EY421" s="19"/>
      <c r="EZ421" s="19"/>
      <c r="FA421" s="19"/>
      <c r="FB421" s="19"/>
      <c r="FC421" s="19"/>
      <c r="FD421" s="19"/>
      <c r="FE421" s="19"/>
      <c r="FF421" s="19"/>
      <c r="FG421" s="19"/>
      <c r="FH421" s="19"/>
      <c r="FI421" s="19"/>
      <c r="FJ421" s="19"/>
      <c r="FK421" s="19"/>
      <c r="FL421" s="19"/>
      <c r="FM421" s="19"/>
      <c r="FN421" s="19"/>
      <c r="FO421" s="19"/>
      <c r="FP421" s="19"/>
      <c r="FQ421" s="19"/>
      <c r="FR421" s="19"/>
      <c r="FS421" s="19"/>
      <c r="FT421" s="19"/>
      <c r="FU421" s="19"/>
      <c r="FV421" s="19"/>
      <c r="FW421" s="19"/>
      <c r="FX421" s="19"/>
      <c r="FY421" s="19"/>
      <c r="FZ421" s="19"/>
      <c r="GA421" s="19"/>
      <c r="GB421" s="19"/>
      <c r="GC421" s="19"/>
      <c r="GD421" s="19"/>
      <c r="GE421" s="19"/>
      <c r="GF421" s="19"/>
      <c r="GG421" s="19"/>
      <c r="GH421" s="19"/>
      <c r="GI421" s="19"/>
      <c r="GJ421" s="19"/>
      <c r="GK421" s="19"/>
      <c r="GL421" s="19"/>
      <c r="GM421" s="19"/>
      <c r="GN421" s="19"/>
      <c r="GO421" s="19"/>
      <c r="GP421" s="19"/>
      <c r="GQ421" s="19"/>
      <c r="GR421" s="19"/>
      <c r="GS421" s="19"/>
      <c r="GT421" s="19"/>
      <c r="GU421" s="19"/>
      <c r="GV421" s="19"/>
      <c r="GW421" s="19"/>
      <c r="GX421" s="19"/>
      <c r="GY421" s="19"/>
      <c r="GZ421" s="19"/>
      <c r="HA421" s="19"/>
      <c r="HB421" s="19"/>
    </row>
    <row r="422" spans="1:210" x14ac:dyDescent="0.25">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c r="BE422" s="19"/>
      <c r="BF422" s="19"/>
      <c r="BG422" s="19"/>
      <c r="BH422" s="19"/>
      <c r="BI422" s="19"/>
      <c r="BJ422" s="19"/>
      <c r="BK422" s="19"/>
      <c r="BL422" s="19"/>
      <c r="BM422" s="19"/>
      <c r="BN422" s="19"/>
      <c r="BO422" s="19"/>
      <c r="BP422" s="19"/>
      <c r="BQ422" s="19"/>
      <c r="BR422" s="19"/>
      <c r="BS422" s="19"/>
      <c r="BT422" s="19"/>
      <c r="BU422" s="19"/>
      <c r="BV422" s="19"/>
      <c r="BW422" s="19"/>
      <c r="BX422" s="19"/>
      <c r="BY422" s="19"/>
      <c r="BZ422" s="19"/>
      <c r="CA422" s="19"/>
      <c r="CB422" s="19"/>
      <c r="CC422" s="19"/>
      <c r="CD422" s="19"/>
      <c r="CE422" s="19"/>
      <c r="CF422" s="19"/>
      <c r="CG422" s="19"/>
      <c r="CH422" s="19"/>
      <c r="CI422" s="19"/>
      <c r="CJ422" s="19"/>
      <c r="CK422" s="19"/>
      <c r="CL422" s="19"/>
      <c r="CM422" s="19"/>
      <c r="CN422" s="19"/>
      <c r="CO422" s="19"/>
      <c r="CP422" s="19"/>
      <c r="CQ422" s="19"/>
      <c r="CR422" s="19"/>
      <c r="CS422" s="19"/>
      <c r="CT422" s="19"/>
      <c r="CU422" s="19"/>
      <c r="CV422" s="19"/>
      <c r="CW422" s="19"/>
      <c r="CX422" s="19"/>
      <c r="CY422" s="19"/>
      <c r="CZ422" s="19"/>
      <c r="DA422" s="19"/>
      <c r="DB422" s="19"/>
      <c r="DC422" s="19"/>
      <c r="DD422" s="19"/>
      <c r="DE422" s="19"/>
      <c r="DF422" s="19"/>
      <c r="DG422" s="19"/>
      <c r="DH422" s="19"/>
      <c r="DI422" s="19"/>
      <c r="DJ422" s="19"/>
      <c r="DK422" s="19"/>
      <c r="DL422" s="19"/>
      <c r="DM422" s="19"/>
      <c r="DN422" s="19"/>
      <c r="DO422" s="19"/>
      <c r="DP422" s="19"/>
      <c r="DQ422" s="19"/>
      <c r="DR422" s="19"/>
      <c r="DS422" s="19"/>
      <c r="DT422" s="19"/>
      <c r="DU422" s="19"/>
      <c r="DV422" s="19"/>
      <c r="DW422" s="19"/>
      <c r="DX422" s="19"/>
      <c r="DY422" s="19"/>
      <c r="DZ422" s="19"/>
      <c r="EA422" s="19"/>
      <c r="EB422" s="19"/>
      <c r="EC422" s="19"/>
      <c r="ED422" s="19"/>
      <c r="EE422" s="19"/>
      <c r="EF422" s="19"/>
      <c r="EG422" s="19"/>
      <c r="EH422" s="19"/>
      <c r="EI422" s="19"/>
      <c r="EJ422" s="19"/>
      <c r="EK422" s="19"/>
      <c r="EL422" s="19"/>
      <c r="EM422" s="19"/>
      <c r="EN422" s="19"/>
      <c r="EO422" s="19"/>
      <c r="EP422" s="19"/>
      <c r="EQ422" s="19"/>
      <c r="ER422" s="19"/>
      <c r="ES422" s="19"/>
      <c r="ET422" s="19"/>
      <c r="EU422" s="19"/>
      <c r="EV422" s="19"/>
      <c r="EW422" s="19"/>
      <c r="EX422" s="19"/>
      <c r="EY422" s="19"/>
      <c r="EZ422" s="19"/>
      <c r="FA422" s="19"/>
      <c r="FB422" s="19"/>
      <c r="FC422" s="19"/>
      <c r="FD422" s="19"/>
      <c r="FE422" s="19"/>
      <c r="FF422" s="19"/>
      <c r="FG422" s="19"/>
      <c r="FH422" s="19"/>
      <c r="FI422" s="19"/>
      <c r="FJ422" s="19"/>
      <c r="FK422" s="19"/>
      <c r="FL422" s="19"/>
      <c r="FM422" s="19"/>
      <c r="FN422" s="19"/>
      <c r="FO422" s="19"/>
      <c r="FP422" s="19"/>
      <c r="FQ422" s="19"/>
      <c r="FR422" s="19"/>
      <c r="FS422" s="19"/>
      <c r="FT422" s="19"/>
      <c r="FU422" s="19"/>
      <c r="FV422" s="19"/>
      <c r="FW422" s="19"/>
      <c r="FX422" s="19"/>
      <c r="FY422" s="19"/>
      <c r="FZ422" s="19"/>
      <c r="GA422" s="19"/>
      <c r="GB422" s="19"/>
      <c r="GC422" s="19"/>
      <c r="GD422" s="19"/>
      <c r="GE422" s="19"/>
      <c r="GF422" s="19"/>
      <c r="GG422" s="19"/>
      <c r="GH422" s="19"/>
      <c r="GI422" s="19"/>
      <c r="GJ422" s="19"/>
      <c r="GK422" s="19"/>
      <c r="GL422" s="19"/>
      <c r="GM422" s="19"/>
      <c r="GN422" s="19"/>
      <c r="GO422" s="19"/>
      <c r="GP422" s="19"/>
      <c r="GQ422" s="19"/>
      <c r="GR422" s="19"/>
      <c r="GS422" s="19"/>
      <c r="GT422" s="19"/>
      <c r="GU422" s="19"/>
      <c r="GV422" s="19"/>
      <c r="GW422" s="19"/>
      <c r="GX422" s="19"/>
      <c r="GY422" s="19"/>
      <c r="GZ422" s="19"/>
      <c r="HA422" s="19"/>
      <c r="HB422" s="19"/>
    </row>
    <row r="423" spans="1:210" x14ac:dyDescent="0.25">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c r="BE423" s="19"/>
      <c r="BF423" s="19"/>
      <c r="BG423" s="19"/>
      <c r="BH423" s="19"/>
      <c r="BI423" s="19"/>
      <c r="BJ423" s="19"/>
      <c r="BK423" s="19"/>
      <c r="BL423" s="19"/>
      <c r="BM423" s="19"/>
      <c r="BN423" s="19"/>
      <c r="BO423" s="19"/>
      <c r="BP423" s="19"/>
      <c r="BQ423" s="19"/>
      <c r="BR423" s="19"/>
      <c r="BS423" s="19"/>
      <c r="BT423" s="19"/>
      <c r="BU423" s="19"/>
      <c r="BV423" s="19"/>
      <c r="BW423" s="19"/>
      <c r="BX423" s="19"/>
      <c r="BY423" s="19"/>
      <c r="BZ423" s="19"/>
      <c r="CA423" s="19"/>
      <c r="CB423" s="19"/>
      <c r="CC423" s="19"/>
      <c r="CD423" s="19"/>
      <c r="CE423" s="19"/>
      <c r="CF423" s="19"/>
      <c r="CG423" s="19"/>
      <c r="CH423" s="19"/>
      <c r="CI423" s="19"/>
      <c r="CJ423" s="19"/>
      <c r="CK423" s="19"/>
      <c r="CL423" s="19"/>
      <c r="CM423" s="19"/>
      <c r="CN423" s="19"/>
      <c r="CO423" s="19"/>
      <c r="CP423" s="19"/>
      <c r="CQ423" s="19"/>
      <c r="CR423" s="19"/>
      <c r="CS423" s="19"/>
      <c r="CT423" s="19"/>
      <c r="CU423" s="19"/>
      <c r="CV423" s="19"/>
      <c r="CW423" s="19"/>
      <c r="CX423" s="19"/>
      <c r="CY423" s="19"/>
      <c r="CZ423" s="19"/>
      <c r="DA423" s="19"/>
      <c r="DB423" s="19"/>
      <c r="DC423" s="19"/>
      <c r="DD423" s="19"/>
      <c r="DE423" s="19"/>
      <c r="DF423" s="19"/>
      <c r="DG423" s="19"/>
      <c r="DH423" s="19"/>
      <c r="DI423" s="19"/>
      <c r="DJ423" s="19"/>
      <c r="DK423" s="19"/>
      <c r="DL423" s="19"/>
      <c r="DM423" s="19"/>
      <c r="DN423" s="19"/>
      <c r="DO423" s="19"/>
      <c r="DP423" s="19"/>
      <c r="DQ423" s="19"/>
      <c r="DR423" s="19"/>
      <c r="DS423" s="19"/>
      <c r="DT423" s="19"/>
      <c r="DU423" s="19"/>
      <c r="DV423" s="19"/>
      <c r="DW423" s="19"/>
      <c r="DX423" s="19"/>
      <c r="DY423" s="19"/>
      <c r="DZ423" s="19"/>
      <c r="EA423" s="19"/>
      <c r="EB423" s="19"/>
      <c r="EC423" s="19"/>
      <c r="ED423" s="19"/>
      <c r="EE423" s="19"/>
      <c r="EF423" s="19"/>
      <c r="EG423" s="19"/>
      <c r="EH423" s="19"/>
      <c r="EI423" s="19"/>
      <c r="EJ423" s="19"/>
      <c r="EK423" s="19"/>
      <c r="EL423" s="19"/>
      <c r="EM423" s="19"/>
      <c r="EN423" s="19"/>
      <c r="EO423" s="19"/>
      <c r="EP423" s="19"/>
      <c r="EQ423" s="19"/>
      <c r="ER423" s="19"/>
      <c r="ES423" s="19"/>
      <c r="ET423" s="19"/>
      <c r="EU423" s="19"/>
      <c r="EV423" s="19"/>
      <c r="EW423" s="19"/>
      <c r="EX423" s="19"/>
      <c r="EY423" s="19"/>
      <c r="EZ423" s="19"/>
      <c r="FA423" s="19"/>
      <c r="FB423" s="19"/>
      <c r="FC423" s="19"/>
      <c r="FD423" s="19"/>
      <c r="FE423" s="19"/>
      <c r="FF423" s="19"/>
      <c r="FG423" s="19"/>
      <c r="FH423" s="19"/>
      <c r="FI423" s="19"/>
      <c r="FJ423" s="19"/>
      <c r="FK423" s="19"/>
      <c r="FL423" s="19"/>
      <c r="FM423" s="19"/>
      <c r="FN423" s="19"/>
      <c r="FO423" s="19"/>
      <c r="FP423" s="19"/>
      <c r="FQ423" s="19"/>
      <c r="FR423" s="19"/>
      <c r="FS423" s="19"/>
      <c r="FT423" s="19"/>
      <c r="FU423" s="19"/>
      <c r="FV423" s="19"/>
      <c r="FW423" s="19"/>
      <c r="FX423" s="19"/>
      <c r="FY423" s="19"/>
      <c r="FZ423" s="19"/>
      <c r="GA423" s="19"/>
      <c r="GB423" s="19"/>
      <c r="GC423" s="19"/>
      <c r="GD423" s="19"/>
      <c r="GE423" s="19"/>
      <c r="GF423" s="19"/>
      <c r="GG423" s="19"/>
      <c r="GH423" s="19"/>
      <c r="GI423" s="19"/>
      <c r="GJ423" s="19"/>
      <c r="GK423" s="19"/>
      <c r="GL423" s="19"/>
      <c r="GM423" s="19"/>
      <c r="GN423" s="19"/>
      <c r="GO423" s="19"/>
      <c r="GP423" s="19"/>
      <c r="GQ423" s="19"/>
      <c r="GR423" s="19"/>
      <c r="GS423" s="19"/>
      <c r="GT423" s="19"/>
      <c r="GU423" s="19"/>
      <c r="GV423" s="19"/>
      <c r="GW423" s="19"/>
      <c r="GX423" s="19"/>
      <c r="GY423" s="19"/>
      <c r="GZ423" s="19"/>
      <c r="HA423" s="19"/>
      <c r="HB423" s="19"/>
    </row>
    <row r="424" spans="1:210" x14ac:dyDescent="0.25">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c r="BE424" s="19"/>
      <c r="BF424" s="19"/>
      <c r="BG424" s="19"/>
      <c r="BH424" s="19"/>
      <c r="BI424" s="19"/>
      <c r="BJ424" s="19"/>
      <c r="BK424" s="19"/>
      <c r="BL424" s="19"/>
      <c r="BM424" s="19"/>
      <c r="BN424" s="19"/>
      <c r="BO424" s="19"/>
      <c r="BP424" s="19"/>
      <c r="BQ424" s="19"/>
      <c r="BR424" s="19"/>
      <c r="BS424" s="19"/>
      <c r="BT424" s="19"/>
      <c r="BU424" s="19"/>
      <c r="BV424" s="19"/>
      <c r="BW424" s="19"/>
      <c r="BX424" s="19"/>
      <c r="BY424" s="19"/>
      <c r="BZ424" s="19"/>
      <c r="CA424" s="19"/>
      <c r="CB424" s="19"/>
      <c r="CC424" s="19"/>
      <c r="CD424" s="19"/>
      <c r="CE424" s="19"/>
      <c r="CF424" s="19"/>
      <c r="CG424" s="19"/>
      <c r="CH424" s="19"/>
      <c r="CI424" s="19"/>
      <c r="CJ424" s="19"/>
      <c r="CK424" s="19"/>
      <c r="CL424" s="19"/>
      <c r="CM424" s="19"/>
      <c r="CN424" s="19"/>
      <c r="CO424" s="19"/>
      <c r="CP424" s="19"/>
      <c r="CQ424" s="19"/>
      <c r="CR424" s="19"/>
      <c r="CS424" s="19"/>
      <c r="CT424" s="19"/>
      <c r="CU424" s="19"/>
      <c r="CV424" s="19"/>
      <c r="CW424" s="19"/>
      <c r="CX424" s="19"/>
      <c r="CY424" s="19"/>
      <c r="CZ424" s="19"/>
      <c r="DA424" s="19"/>
      <c r="DB424" s="19"/>
      <c r="DC424" s="19"/>
      <c r="DD424" s="19"/>
      <c r="DE424" s="19"/>
      <c r="DF424" s="19"/>
      <c r="DG424" s="19"/>
      <c r="DH424" s="19"/>
      <c r="DI424" s="19"/>
      <c r="DJ424" s="19"/>
      <c r="DK424" s="19"/>
      <c r="DL424" s="19"/>
      <c r="DM424" s="19"/>
      <c r="DN424" s="19"/>
      <c r="DO424" s="19"/>
      <c r="DP424" s="19"/>
      <c r="DQ424" s="19"/>
      <c r="DR424" s="19"/>
      <c r="DS424" s="19"/>
      <c r="DT424" s="19"/>
      <c r="DU424" s="19"/>
      <c r="DV424" s="19"/>
      <c r="DW424" s="19"/>
      <c r="DX424" s="19"/>
      <c r="DY424" s="19"/>
      <c r="DZ424" s="19"/>
      <c r="EA424" s="19"/>
      <c r="EB424" s="19"/>
      <c r="EC424" s="19"/>
      <c r="ED424" s="19"/>
      <c r="EE424" s="19"/>
      <c r="EF424" s="19"/>
      <c r="EG424" s="19"/>
      <c r="EH424" s="19"/>
      <c r="EI424" s="19"/>
      <c r="EJ424" s="19"/>
      <c r="EK424" s="19"/>
      <c r="EL424" s="19"/>
      <c r="EM424" s="19"/>
      <c r="EN424" s="19"/>
      <c r="EO424" s="19"/>
      <c r="EP424" s="19"/>
      <c r="EQ424" s="19"/>
      <c r="ER424" s="19"/>
      <c r="ES424" s="19"/>
      <c r="ET424" s="19"/>
      <c r="EU424" s="19"/>
      <c r="EV424" s="19"/>
      <c r="EW424" s="19"/>
      <c r="EX424" s="19"/>
      <c r="EY424" s="19"/>
      <c r="EZ424" s="19"/>
      <c r="FA424" s="19"/>
      <c r="FB424" s="19"/>
      <c r="FC424" s="19"/>
      <c r="FD424" s="19"/>
      <c r="FE424" s="19"/>
      <c r="FF424" s="19"/>
      <c r="FG424" s="19"/>
      <c r="FH424" s="19"/>
      <c r="FI424" s="19"/>
      <c r="FJ424" s="19"/>
      <c r="FK424" s="19"/>
      <c r="FL424" s="19"/>
      <c r="FM424" s="19"/>
      <c r="FN424" s="19"/>
      <c r="FO424" s="19"/>
      <c r="FP424" s="19"/>
      <c r="FQ424" s="19"/>
      <c r="FR424" s="19"/>
      <c r="FS424" s="19"/>
      <c r="FT424" s="19"/>
      <c r="FU424" s="19"/>
      <c r="FV424" s="19"/>
      <c r="FW424" s="19"/>
      <c r="FX424" s="19"/>
      <c r="FY424" s="19"/>
      <c r="FZ424" s="19"/>
      <c r="GA424" s="19"/>
      <c r="GB424" s="19"/>
      <c r="GC424" s="19"/>
      <c r="GD424" s="19"/>
      <c r="GE424" s="19"/>
      <c r="GF424" s="19"/>
      <c r="GG424" s="19"/>
      <c r="GH424" s="19"/>
      <c r="GI424" s="19"/>
      <c r="GJ424" s="19"/>
      <c r="GK424" s="19"/>
      <c r="GL424" s="19"/>
      <c r="GM424" s="19"/>
      <c r="GN424" s="19"/>
      <c r="GO424" s="19"/>
      <c r="GP424" s="19"/>
      <c r="GQ424" s="19"/>
      <c r="GR424" s="19"/>
      <c r="GS424" s="19"/>
      <c r="GT424" s="19"/>
      <c r="GU424" s="19"/>
      <c r="GV424" s="19"/>
      <c r="GW424" s="19"/>
      <c r="GX424" s="19"/>
      <c r="GY424" s="19"/>
      <c r="GZ424" s="19"/>
      <c r="HA424" s="19"/>
      <c r="HB424" s="19"/>
    </row>
    <row r="425" spans="1:210" x14ac:dyDescent="0.25">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c r="BE425" s="19"/>
      <c r="BF425" s="19"/>
      <c r="BG425" s="19"/>
      <c r="BH425" s="19"/>
      <c r="BI425" s="19"/>
      <c r="BJ425" s="19"/>
      <c r="BK425" s="19"/>
      <c r="BL425" s="19"/>
      <c r="BM425" s="19"/>
      <c r="BN425" s="19"/>
      <c r="BO425" s="19"/>
      <c r="BP425" s="19"/>
      <c r="BQ425" s="19"/>
      <c r="BR425" s="19"/>
      <c r="BS425" s="19"/>
      <c r="BT425" s="19"/>
      <c r="BU425" s="19"/>
      <c r="BV425" s="19"/>
      <c r="BW425" s="19"/>
      <c r="BX425" s="19"/>
      <c r="BY425" s="19"/>
      <c r="BZ425" s="19"/>
      <c r="CA425" s="19"/>
      <c r="CB425" s="19"/>
      <c r="CC425" s="19"/>
      <c r="CD425" s="19"/>
      <c r="CE425" s="19"/>
      <c r="CF425" s="19"/>
      <c r="CG425" s="19"/>
      <c r="CH425" s="19"/>
      <c r="CI425" s="19"/>
      <c r="CJ425" s="19"/>
      <c r="CK425" s="19"/>
      <c r="CL425" s="19"/>
      <c r="CM425" s="19"/>
      <c r="CN425" s="19"/>
      <c r="CO425" s="19"/>
      <c r="CP425" s="19"/>
      <c r="CQ425" s="19"/>
      <c r="CR425" s="19"/>
      <c r="CS425" s="19"/>
      <c r="CT425" s="19"/>
      <c r="CU425" s="19"/>
      <c r="CV425" s="19"/>
      <c r="CW425" s="19"/>
      <c r="CX425" s="19"/>
      <c r="CY425" s="19"/>
      <c r="CZ425" s="19"/>
      <c r="DA425" s="19"/>
      <c r="DB425" s="19"/>
      <c r="DC425" s="19"/>
      <c r="DD425" s="19"/>
      <c r="DE425" s="19"/>
      <c r="DF425" s="19"/>
      <c r="DG425" s="19"/>
      <c r="DH425" s="19"/>
      <c r="DI425" s="19"/>
      <c r="DJ425" s="19"/>
      <c r="DK425" s="19"/>
      <c r="DL425" s="19"/>
      <c r="DM425" s="19"/>
      <c r="DN425" s="19"/>
      <c r="DO425" s="19"/>
      <c r="DP425" s="19"/>
      <c r="DQ425" s="19"/>
      <c r="DR425" s="19"/>
      <c r="DS425" s="19"/>
      <c r="DT425" s="19"/>
      <c r="DU425" s="19"/>
      <c r="DV425" s="19"/>
      <c r="DW425" s="19"/>
      <c r="DX425" s="19"/>
      <c r="DY425" s="19"/>
      <c r="DZ425" s="19"/>
      <c r="EA425" s="19"/>
      <c r="EB425" s="19"/>
      <c r="EC425" s="19"/>
      <c r="ED425" s="19"/>
      <c r="EE425" s="19"/>
      <c r="EF425" s="19"/>
      <c r="EG425" s="19"/>
      <c r="EH425" s="19"/>
      <c r="EI425" s="19"/>
      <c r="EJ425" s="19"/>
      <c r="EK425" s="19"/>
      <c r="EL425" s="19"/>
      <c r="EM425" s="19"/>
      <c r="EN425" s="19"/>
      <c r="EO425" s="19"/>
      <c r="EP425" s="19"/>
      <c r="EQ425" s="19"/>
      <c r="ER425" s="19"/>
      <c r="ES425" s="19"/>
      <c r="ET425" s="19"/>
      <c r="EU425" s="19"/>
      <c r="EV425" s="19"/>
      <c r="EW425" s="19"/>
      <c r="EX425" s="19"/>
      <c r="EY425" s="19"/>
      <c r="EZ425" s="19"/>
      <c r="FA425" s="19"/>
      <c r="FB425" s="19"/>
      <c r="FC425" s="19"/>
      <c r="FD425" s="19"/>
      <c r="FE425" s="19"/>
      <c r="FF425" s="19"/>
      <c r="FG425" s="19"/>
      <c r="FH425" s="19"/>
      <c r="FI425" s="19"/>
      <c r="FJ425" s="19"/>
      <c r="FK425" s="19"/>
      <c r="FL425" s="19"/>
      <c r="FM425" s="19"/>
      <c r="FN425" s="19"/>
      <c r="FO425" s="19"/>
      <c r="FP425" s="19"/>
      <c r="FQ425" s="19"/>
      <c r="FR425" s="19"/>
      <c r="FS425" s="19"/>
      <c r="FT425" s="19"/>
      <c r="FU425" s="19"/>
      <c r="FV425" s="19"/>
      <c r="FW425" s="19"/>
      <c r="FX425" s="19"/>
      <c r="FY425" s="19"/>
      <c r="FZ425" s="19"/>
      <c r="GA425" s="19"/>
      <c r="GB425" s="19"/>
      <c r="GC425" s="19"/>
      <c r="GD425" s="19"/>
      <c r="GE425" s="19"/>
      <c r="GF425" s="19"/>
      <c r="GG425" s="19"/>
      <c r="GH425" s="19"/>
      <c r="GI425" s="19"/>
      <c r="GJ425" s="19"/>
      <c r="GK425" s="19"/>
      <c r="GL425" s="19"/>
      <c r="GM425" s="19"/>
      <c r="GN425" s="19"/>
      <c r="GO425" s="19"/>
      <c r="GP425" s="19"/>
      <c r="GQ425" s="19"/>
      <c r="GR425" s="19"/>
      <c r="GS425" s="19"/>
      <c r="GT425" s="19"/>
      <c r="GU425" s="19"/>
      <c r="GV425" s="19"/>
      <c r="GW425" s="19"/>
      <c r="GX425" s="19"/>
      <c r="GY425" s="19"/>
      <c r="GZ425" s="19"/>
      <c r="HA425" s="19"/>
      <c r="HB425" s="19"/>
    </row>
    <row r="426" spans="1:210" x14ac:dyDescent="0.25">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c r="BE426" s="19"/>
      <c r="BF426" s="19"/>
      <c r="BG426" s="19"/>
      <c r="BH426" s="19"/>
      <c r="BI426" s="19"/>
      <c r="BJ426" s="19"/>
      <c r="BK426" s="19"/>
      <c r="BL426" s="19"/>
      <c r="BM426" s="19"/>
      <c r="BN426" s="19"/>
      <c r="BO426" s="19"/>
      <c r="BP426" s="19"/>
      <c r="BQ426" s="19"/>
      <c r="BR426" s="19"/>
      <c r="BS426" s="19"/>
      <c r="BT426" s="19"/>
      <c r="BU426" s="19"/>
      <c r="BV426" s="19"/>
      <c r="BW426" s="19"/>
      <c r="BX426" s="19"/>
      <c r="BY426" s="19"/>
      <c r="BZ426" s="19"/>
      <c r="CA426" s="19"/>
      <c r="CB426" s="19"/>
      <c r="CC426" s="19"/>
      <c r="CD426" s="19"/>
      <c r="CE426" s="19"/>
      <c r="CF426" s="19"/>
      <c r="CG426" s="19"/>
      <c r="CH426" s="19"/>
      <c r="CI426" s="19"/>
      <c r="CJ426" s="19"/>
      <c r="CK426" s="19"/>
      <c r="CL426" s="19"/>
      <c r="CM426" s="19"/>
      <c r="CN426" s="19"/>
      <c r="CO426" s="19"/>
      <c r="CP426" s="19"/>
      <c r="CQ426" s="19"/>
      <c r="CR426" s="19"/>
      <c r="CS426" s="19"/>
      <c r="CT426" s="19"/>
      <c r="CU426" s="19"/>
      <c r="CV426" s="19"/>
      <c r="CW426" s="19"/>
      <c r="CX426" s="19"/>
      <c r="CY426" s="19"/>
      <c r="CZ426" s="19"/>
      <c r="DA426" s="19"/>
      <c r="DB426" s="19"/>
      <c r="DC426" s="19"/>
      <c r="DD426" s="19"/>
      <c r="DE426" s="19"/>
      <c r="DF426" s="19"/>
      <c r="DG426" s="19"/>
      <c r="DH426" s="19"/>
      <c r="DI426" s="19"/>
      <c r="DJ426" s="19"/>
      <c r="DK426" s="19"/>
      <c r="DL426" s="19"/>
      <c r="DM426" s="19"/>
      <c r="DN426" s="19"/>
      <c r="DO426" s="19"/>
      <c r="DP426" s="19"/>
      <c r="DQ426" s="19"/>
      <c r="DR426" s="19"/>
      <c r="DS426" s="19"/>
      <c r="DT426" s="19"/>
      <c r="DU426" s="19"/>
      <c r="DV426" s="19"/>
      <c r="DW426" s="19"/>
      <c r="DX426" s="19"/>
      <c r="DY426" s="19"/>
      <c r="DZ426" s="19"/>
      <c r="EA426" s="19"/>
      <c r="EB426" s="19"/>
      <c r="EC426" s="19"/>
      <c r="ED426" s="19"/>
      <c r="EE426" s="19"/>
      <c r="EF426" s="19"/>
      <c r="EG426" s="19"/>
      <c r="EH426" s="19"/>
      <c r="EI426" s="19"/>
      <c r="EJ426" s="19"/>
      <c r="EK426" s="19"/>
      <c r="EL426" s="19"/>
      <c r="EM426" s="19"/>
      <c r="EN426" s="19"/>
      <c r="EO426" s="19"/>
      <c r="EP426" s="19"/>
      <c r="EQ426" s="19"/>
      <c r="ER426" s="19"/>
      <c r="ES426" s="19"/>
      <c r="ET426" s="19"/>
      <c r="EU426" s="19"/>
      <c r="EV426" s="19"/>
      <c r="EW426" s="19"/>
      <c r="EX426" s="19"/>
      <c r="EY426" s="19"/>
      <c r="EZ426" s="19"/>
      <c r="FA426" s="19"/>
      <c r="FB426" s="19"/>
      <c r="FC426" s="19"/>
      <c r="FD426" s="19"/>
      <c r="FE426" s="19"/>
      <c r="FF426" s="19"/>
      <c r="FG426" s="19"/>
      <c r="FH426" s="19"/>
      <c r="FI426" s="19"/>
      <c r="FJ426" s="19"/>
      <c r="FK426" s="19"/>
      <c r="FL426" s="19"/>
      <c r="FM426" s="19"/>
      <c r="FN426" s="19"/>
      <c r="FO426" s="19"/>
      <c r="FP426" s="19"/>
      <c r="FQ426" s="19"/>
      <c r="FR426" s="19"/>
      <c r="FS426" s="19"/>
      <c r="FT426" s="19"/>
      <c r="FU426" s="19"/>
      <c r="FV426" s="19"/>
      <c r="FW426" s="19"/>
      <c r="FX426" s="19"/>
      <c r="FY426" s="19"/>
      <c r="FZ426" s="19"/>
      <c r="GA426" s="19"/>
      <c r="GB426" s="19"/>
      <c r="GC426" s="19"/>
      <c r="GD426" s="19"/>
      <c r="GE426" s="19"/>
      <c r="GF426" s="19"/>
      <c r="GG426" s="19"/>
      <c r="GH426" s="19"/>
      <c r="GI426" s="19"/>
      <c r="GJ426" s="19"/>
      <c r="GK426" s="19"/>
      <c r="GL426" s="19"/>
      <c r="GM426" s="19"/>
      <c r="GN426" s="19"/>
      <c r="GO426" s="19"/>
      <c r="GP426" s="19"/>
      <c r="GQ426" s="19"/>
      <c r="GR426" s="19"/>
      <c r="GS426" s="19"/>
      <c r="GT426" s="19"/>
      <c r="GU426" s="19"/>
      <c r="GV426" s="19"/>
      <c r="GW426" s="19"/>
      <c r="GX426" s="19"/>
      <c r="GY426" s="19"/>
      <c r="GZ426" s="19"/>
      <c r="HA426" s="19"/>
      <c r="HB426" s="19"/>
    </row>
    <row r="427" spans="1:210" x14ac:dyDescent="0.25">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c r="BE427" s="19"/>
      <c r="BF427" s="19"/>
      <c r="BG427" s="19"/>
      <c r="BH427" s="19"/>
      <c r="BI427" s="19"/>
      <c r="BJ427" s="19"/>
      <c r="BK427" s="19"/>
      <c r="BL427" s="19"/>
      <c r="BM427" s="19"/>
      <c r="BN427" s="19"/>
      <c r="BO427" s="19"/>
      <c r="BP427" s="19"/>
      <c r="BQ427" s="19"/>
      <c r="BR427" s="19"/>
      <c r="BS427" s="19"/>
      <c r="BT427" s="19"/>
      <c r="BU427" s="19"/>
      <c r="BV427" s="19"/>
      <c r="BW427" s="19"/>
      <c r="BX427" s="19"/>
      <c r="BY427" s="19"/>
      <c r="BZ427" s="19"/>
      <c r="CA427" s="19"/>
      <c r="CB427" s="19"/>
      <c r="CC427" s="19"/>
      <c r="CD427" s="19"/>
      <c r="CE427" s="19"/>
      <c r="CF427" s="19"/>
      <c r="CG427" s="19"/>
      <c r="CH427" s="19"/>
      <c r="CI427" s="19"/>
      <c r="CJ427" s="19"/>
      <c r="CK427" s="19"/>
      <c r="CL427" s="19"/>
      <c r="CM427" s="19"/>
      <c r="CN427" s="19"/>
      <c r="CO427" s="19"/>
      <c r="CP427" s="19"/>
      <c r="CQ427" s="19"/>
      <c r="CR427" s="19"/>
      <c r="CS427" s="19"/>
      <c r="CT427" s="19"/>
      <c r="CU427" s="19"/>
      <c r="CV427" s="19"/>
      <c r="CW427" s="19"/>
      <c r="CX427" s="19"/>
      <c r="CY427" s="19"/>
      <c r="CZ427" s="19"/>
      <c r="DA427" s="19"/>
      <c r="DB427" s="19"/>
      <c r="DC427" s="19"/>
      <c r="DD427" s="19"/>
      <c r="DE427" s="19"/>
      <c r="DF427" s="19"/>
      <c r="DG427" s="19"/>
      <c r="DH427" s="19"/>
      <c r="DI427" s="19"/>
      <c r="DJ427" s="19"/>
      <c r="DK427" s="19"/>
      <c r="DL427" s="19"/>
      <c r="DM427" s="19"/>
      <c r="DN427" s="19"/>
      <c r="DO427" s="19"/>
      <c r="DP427" s="19"/>
      <c r="DQ427" s="19"/>
      <c r="DR427" s="19"/>
      <c r="DS427" s="19"/>
      <c r="DT427" s="19"/>
      <c r="DU427" s="19"/>
      <c r="DV427" s="19"/>
      <c r="DW427" s="19"/>
      <c r="DX427" s="19"/>
      <c r="DY427" s="19"/>
      <c r="DZ427" s="19"/>
      <c r="EA427" s="19"/>
      <c r="EB427" s="19"/>
      <c r="EC427" s="19"/>
      <c r="ED427" s="19"/>
      <c r="EE427" s="19"/>
      <c r="EF427" s="19"/>
      <c r="EG427" s="19"/>
      <c r="EH427" s="19"/>
      <c r="EI427" s="19"/>
      <c r="EJ427" s="19"/>
      <c r="EK427" s="19"/>
      <c r="EL427" s="19"/>
      <c r="EM427" s="19"/>
      <c r="EN427" s="19"/>
      <c r="EO427" s="19"/>
      <c r="EP427" s="19"/>
      <c r="EQ427" s="19"/>
      <c r="ER427" s="19"/>
      <c r="ES427" s="19"/>
      <c r="ET427" s="19"/>
      <c r="EU427" s="19"/>
      <c r="EV427" s="19"/>
      <c r="EW427" s="19"/>
      <c r="EX427" s="19"/>
      <c r="EY427" s="19"/>
      <c r="EZ427" s="19"/>
      <c r="FA427" s="19"/>
      <c r="FB427" s="19"/>
      <c r="FC427" s="19"/>
      <c r="FD427" s="19"/>
      <c r="FE427" s="19"/>
      <c r="FF427" s="19"/>
      <c r="FG427" s="19"/>
      <c r="FH427" s="19"/>
      <c r="FI427" s="19"/>
      <c r="FJ427" s="19"/>
      <c r="FK427" s="19"/>
      <c r="FL427" s="19"/>
      <c r="FM427" s="19"/>
      <c r="FN427" s="19"/>
      <c r="FO427" s="19"/>
      <c r="FP427" s="19"/>
      <c r="FQ427" s="19"/>
      <c r="FR427" s="19"/>
      <c r="FS427" s="19"/>
      <c r="FT427" s="19"/>
      <c r="FU427" s="19"/>
      <c r="FV427" s="19"/>
      <c r="FW427" s="19"/>
      <c r="FX427" s="19"/>
      <c r="FY427" s="19"/>
      <c r="FZ427" s="19"/>
      <c r="GA427" s="19"/>
      <c r="GB427" s="19"/>
      <c r="GC427" s="19"/>
      <c r="GD427" s="19"/>
      <c r="GE427" s="19"/>
      <c r="GF427" s="19"/>
      <c r="GG427" s="19"/>
      <c r="GH427" s="19"/>
      <c r="GI427" s="19"/>
      <c r="GJ427" s="19"/>
      <c r="GK427" s="19"/>
      <c r="GL427" s="19"/>
      <c r="GM427" s="19"/>
      <c r="GN427" s="19"/>
      <c r="GO427" s="19"/>
      <c r="GP427" s="19"/>
      <c r="GQ427" s="19"/>
      <c r="GR427" s="19"/>
      <c r="GS427" s="19"/>
      <c r="GT427" s="19"/>
      <c r="GU427" s="19"/>
      <c r="GV427" s="19"/>
      <c r="GW427" s="19"/>
      <c r="GX427" s="19"/>
      <c r="GY427" s="19"/>
      <c r="GZ427" s="19"/>
      <c r="HA427" s="19"/>
      <c r="HB427" s="19"/>
    </row>
    <row r="428" spans="1:210" x14ac:dyDescent="0.25">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c r="BE428" s="19"/>
      <c r="BF428" s="19"/>
      <c r="BG428" s="19"/>
      <c r="BH428" s="19"/>
      <c r="BI428" s="19"/>
      <c r="BJ428" s="19"/>
      <c r="BK428" s="19"/>
      <c r="BL428" s="19"/>
      <c r="BM428" s="19"/>
      <c r="BN428" s="19"/>
      <c r="BO428" s="19"/>
      <c r="BP428" s="19"/>
      <c r="BQ428" s="19"/>
      <c r="BR428" s="19"/>
      <c r="BS428" s="19"/>
      <c r="BT428" s="19"/>
      <c r="BU428" s="19"/>
      <c r="BV428" s="19"/>
      <c r="BW428" s="19"/>
      <c r="BX428" s="19"/>
      <c r="BY428" s="19"/>
      <c r="BZ428" s="19"/>
      <c r="CA428" s="19"/>
      <c r="CB428" s="19"/>
      <c r="CC428" s="19"/>
      <c r="CD428" s="19"/>
      <c r="CE428" s="19"/>
      <c r="CF428" s="19"/>
      <c r="CG428" s="19"/>
      <c r="CH428" s="19"/>
      <c r="CI428" s="19"/>
      <c r="CJ428" s="19"/>
      <c r="CK428" s="19"/>
      <c r="CL428" s="19"/>
      <c r="CM428" s="19"/>
      <c r="CN428" s="19"/>
      <c r="CO428" s="19"/>
      <c r="CP428" s="19"/>
      <c r="CQ428" s="19"/>
      <c r="CR428" s="19"/>
      <c r="CS428" s="19"/>
      <c r="CT428" s="19"/>
      <c r="CU428" s="19"/>
      <c r="CV428" s="19"/>
      <c r="CW428" s="19"/>
      <c r="CX428" s="19"/>
      <c r="CY428" s="19"/>
      <c r="CZ428" s="19"/>
      <c r="DA428" s="19"/>
      <c r="DB428" s="19"/>
      <c r="DC428" s="19"/>
      <c r="DD428" s="19"/>
      <c r="DE428" s="19"/>
      <c r="DF428" s="19"/>
      <c r="DG428" s="19"/>
      <c r="DH428" s="19"/>
      <c r="DI428" s="19"/>
      <c r="DJ428" s="19"/>
      <c r="DK428" s="19"/>
      <c r="DL428" s="19"/>
      <c r="DM428" s="19"/>
      <c r="DN428" s="19"/>
      <c r="DO428" s="19"/>
      <c r="DP428" s="19"/>
      <c r="DQ428" s="19"/>
      <c r="DR428" s="19"/>
      <c r="DS428" s="19"/>
      <c r="DT428" s="19"/>
      <c r="DU428" s="19"/>
      <c r="DV428" s="19"/>
      <c r="DW428" s="19"/>
      <c r="DX428" s="19"/>
      <c r="DY428" s="19"/>
      <c r="DZ428" s="19"/>
      <c r="EA428" s="19"/>
      <c r="EB428" s="19"/>
      <c r="EC428" s="19"/>
      <c r="ED428" s="19"/>
      <c r="EE428" s="19"/>
      <c r="EF428" s="19"/>
      <c r="EG428" s="19"/>
      <c r="EH428" s="19"/>
      <c r="EI428" s="19"/>
      <c r="EJ428" s="19"/>
      <c r="EK428" s="19"/>
      <c r="EL428" s="19"/>
      <c r="EM428" s="19"/>
      <c r="EN428" s="19"/>
      <c r="EO428" s="19"/>
      <c r="EP428" s="19"/>
      <c r="EQ428" s="19"/>
      <c r="ER428" s="19"/>
      <c r="ES428" s="19"/>
      <c r="ET428" s="19"/>
      <c r="EU428" s="19"/>
      <c r="EV428" s="19"/>
      <c r="EW428" s="19"/>
      <c r="EX428" s="19"/>
      <c r="EY428" s="19"/>
      <c r="EZ428" s="19"/>
      <c r="FA428" s="19"/>
      <c r="FB428" s="19"/>
      <c r="FC428" s="19"/>
      <c r="FD428" s="19"/>
      <c r="FE428" s="19"/>
      <c r="FF428" s="19"/>
      <c r="FG428" s="19"/>
      <c r="FH428" s="19"/>
      <c r="FI428" s="19"/>
      <c r="FJ428" s="19"/>
      <c r="FK428" s="19"/>
      <c r="FL428" s="19"/>
      <c r="FM428" s="19"/>
      <c r="FN428" s="19"/>
      <c r="FO428" s="19"/>
      <c r="FP428" s="19"/>
      <c r="FQ428" s="19"/>
      <c r="FR428" s="19"/>
      <c r="FS428" s="19"/>
      <c r="FT428" s="19"/>
      <c r="FU428" s="19"/>
      <c r="FV428" s="19"/>
      <c r="FW428" s="19"/>
      <c r="FX428" s="19"/>
      <c r="FY428" s="19"/>
      <c r="FZ428" s="19"/>
      <c r="GA428" s="19"/>
      <c r="GB428" s="19"/>
      <c r="GC428" s="19"/>
      <c r="GD428" s="19"/>
      <c r="GE428" s="19"/>
      <c r="GF428" s="19"/>
      <c r="GG428" s="19"/>
      <c r="GH428" s="19"/>
      <c r="GI428" s="19"/>
      <c r="GJ428" s="19"/>
      <c r="GK428" s="19"/>
      <c r="GL428" s="19"/>
      <c r="GM428" s="19"/>
      <c r="GN428" s="19"/>
      <c r="GO428" s="19"/>
      <c r="GP428" s="19"/>
      <c r="GQ428" s="19"/>
      <c r="GR428" s="19"/>
      <c r="GS428" s="19"/>
      <c r="GT428" s="19"/>
      <c r="GU428" s="19"/>
      <c r="GV428" s="19"/>
      <c r="GW428" s="19"/>
      <c r="GX428" s="19"/>
      <c r="GY428" s="19"/>
      <c r="GZ428" s="19"/>
      <c r="HA428" s="19"/>
      <c r="HB428" s="19"/>
    </row>
    <row r="429" spans="1:210" x14ac:dyDescent="0.25">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c r="BE429" s="19"/>
      <c r="BF429" s="19"/>
      <c r="BG429" s="19"/>
      <c r="BH429" s="19"/>
      <c r="BI429" s="19"/>
      <c r="BJ429" s="19"/>
      <c r="BK429" s="19"/>
      <c r="BL429" s="19"/>
      <c r="BM429" s="19"/>
      <c r="BN429" s="19"/>
      <c r="BO429" s="19"/>
      <c r="BP429" s="19"/>
      <c r="BQ429" s="19"/>
      <c r="BR429" s="19"/>
      <c r="BS429" s="19"/>
      <c r="BT429" s="19"/>
      <c r="BU429" s="19"/>
      <c r="BV429" s="19"/>
      <c r="BW429" s="19"/>
      <c r="BX429" s="19"/>
      <c r="BY429" s="19"/>
      <c r="BZ429" s="19"/>
      <c r="CA429" s="19"/>
      <c r="CB429" s="19"/>
      <c r="CC429" s="19"/>
      <c r="CD429" s="19"/>
      <c r="CE429" s="19"/>
      <c r="CF429" s="19"/>
      <c r="CG429" s="19"/>
      <c r="CH429" s="19"/>
      <c r="CI429" s="19"/>
      <c r="CJ429" s="19"/>
      <c r="CK429" s="19"/>
      <c r="CL429" s="19"/>
      <c r="CM429" s="19"/>
      <c r="CN429" s="19"/>
      <c r="CO429" s="19"/>
      <c r="CP429" s="19"/>
      <c r="CQ429" s="19"/>
      <c r="CR429" s="19"/>
      <c r="CS429" s="19"/>
      <c r="CT429" s="19"/>
      <c r="CU429" s="19"/>
      <c r="CV429" s="19"/>
      <c r="CW429" s="19"/>
      <c r="CX429" s="19"/>
      <c r="CY429" s="19"/>
      <c r="CZ429" s="19"/>
      <c r="DA429" s="19"/>
      <c r="DB429" s="19"/>
      <c r="DC429" s="19"/>
      <c r="DD429" s="19"/>
      <c r="DE429" s="19"/>
      <c r="DF429" s="19"/>
      <c r="DG429" s="19"/>
      <c r="DH429" s="19"/>
      <c r="DI429" s="19"/>
      <c r="DJ429" s="19"/>
      <c r="DK429" s="19"/>
      <c r="DL429" s="19"/>
      <c r="DM429" s="19"/>
      <c r="DN429" s="19"/>
      <c r="DO429" s="19"/>
      <c r="DP429" s="19"/>
      <c r="DQ429" s="19"/>
      <c r="DR429" s="19"/>
      <c r="DS429" s="19"/>
      <c r="DT429" s="19"/>
      <c r="DU429" s="19"/>
      <c r="DV429" s="19"/>
      <c r="DW429" s="19"/>
      <c r="DX429" s="19"/>
      <c r="DY429" s="19"/>
      <c r="DZ429" s="19"/>
      <c r="EA429" s="19"/>
      <c r="EB429" s="19"/>
      <c r="EC429" s="19"/>
      <c r="ED429" s="19"/>
      <c r="EE429" s="19"/>
      <c r="EF429" s="19"/>
      <c r="EG429" s="19"/>
      <c r="EH429" s="19"/>
      <c r="EI429" s="19"/>
      <c r="EJ429" s="19"/>
      <c r="EK429" s="19"/>
      <c r="EL429" s="19"/>
      <c r="EM429" s="19"/>
      <c r="EN429" s="19"/>
      <c r="EO429" s="19"/>
      <c r="EP429" s="19"/>
      <c r="EQ429" s="19"/>
      <c r="ER429" s="19"/>
      <c r="ES429" s="19"/>
      <c r="ET429" s="19"/>
      <c r="EU429" s="19"/>
      <c r="EV429" s="19"/>
      <c r="EW429" s="19"/>
      <c r="EX429" s="19"/>
      <c r="EY429" s="19"/>
      <c r="EZ429" s="19"/>
      <c r="FA429" s="19"/>
      <c r="FB429" s="19"/>
      <c r="FC429" s="19"/>
      <c r="FD429" s="19"/>
      <c r="FE429" s="19"/>
      <c r="FF429" s="19"/>
      <c r="FG429" s="19"/>
      <c r="FH429" s="19"/>
      <c r="FI429" s="19"/>
      <c r="FJ429" s="19"/>
      <c r="FK429" s="19"/>
      <c r="FL429" s="19"/>
      <c r="FM429" s="19"/>
      <c r="FN429" s="19"/>
      <c r="FO429" s="19"/>
      <c r="FP429" s="19"/>
      <c r="FQ429" s="19"/>
      <c r="FR429" s="19"/>
      <c r="FS429" s="19"/>
      <c r="FT429" s="19"/>
      <c r="FU429" s="19"/>
      <c r="FV429" s="19"/>
      <c r="FW429" s="19"/>
      <c r="FX429" s="19"/>
      <c r="FY429" s="19"/>
      <c r="FZ429" s="19"/>
      <c r="GA429" s="19"/>
      <c r="GB429" s="19"/>
      <c r="GC429" s="19"/>
      <c r="GD429" s="19"/>
      <c r="GE429" s="19"/>
      <c r="GF429" s="19"/>
      <c r="GG429" s="19"/>
      <c r="GH429" s="19"/>
      <c r="GI429" s="19"/>
      <c r="GJ429" s="19"/>
      <c r="GK429" s="19"/>
      <c r="GL429" s="19"/>
      <c r="GM429" s="19"/>
      <c r="GN429" s="19"/>
      <c r="GO429" s="19"/>
      <c r="GP429" s="19"/>
      <c r="GQ429" s="19"/>
      <c r="GR429" s="19"/>
      <c r="GS429" s="19"/>
      <c r="GT429" s="19"/>
      <c r="GU429" s="19"/>
      <c r="GV429" s="19"/>
      <c r="GW429" s="19"/>
      <c r="GX429" s="19"/>
      <c r="GY429" s="19"/>
      <c r="GZ429" s="19"/>
      <c r="HA429" s="19"/>
      <c r="HB429" s="19"/>
    </row>
    <row r="430" spans="1:210" x14ac:dyDescent="0.25">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c r="BE430" s="19"/>
      <c r="BF430" s="19"/>
      <c r="BG430" s="19"/>
      <c r="BH430" s="19"/>
      <c r="BI430" s="19"/>
      <c r="BJ430" s="19"/>
      <c r="BK430" s="19"/>
      <c r="BL430" s="19"/>
      <c r="BM430" s="19"/>
      <c r="BN430" s="19"/>
      <c r="BO430" s="19"/>
      <c r="BP430" s="19"/>
      <c r="BQ430" s="19"/>
      <c r="BR430" s="19"/>
      <c r="BS430" s="19"/>
      <c r="BT430" s="19"/>
      <c r="BU430" s="19"/>
      <c r="BV430" s="19"/>
      <c r="BW430" s="19"/>
      <c r="BX430" s="19"/>
      <c r="BY430" s="19"/>
      <c r="BZ430" s="19"/>
      <c r="CA430" s="19"/>
      <c r="CB430" s="19"/>
      <c r="CC430" s="19"/>
      <c r="CD430" s="19"/>
      <c r="CE430" s="19"/>
      <c r="CF430" s="19"/>
      <c r="CG430" s="19"/>
      <c r="CH430" s="19"/>
      <c r="CI430" s="19"/>
      <c r="CJ430" s="19"/>
      <c r="CK430" s="19"/>
      <c r="CL430" s="19"/>
      <c r="CM430" s="19"/>
      <c r="CN430" s="19"/>
      <c r="CO430" s="19"/>
      <c r="CP430" s="19"/>
      <c r="CQ430" s="19"/>
      <c r="CR430" s="19"/>
      <c r="CS430" s="19"/>
      <c r="CT430" s="19"/>
      <c r="CU430" s="19"/>
      <c r="CV430" s="19"/>
      <c r="CW430" s="19"/>
      <c r="CX430" s="19"/>
      <c r="CY430" s="19"/>
      <c r="CZ430" s="19"/>
      <c r="DA430" s="19"/>
      <c r="DB430" s="19"/>
      <c r="DC430" s="19"/>
      <c r="DD430" s="19"/>
      <c r="DE430" s="19"/>
      <c r="DF430" s="19"/>
      <c r="DG430" s="19"/>
      <c r="DH430" s="19"/>
      <c r="DI430" s="19"/>
      <c r="DJ430" s="19"/>
      <c r="DK430" s="19"/>
      <c r="DL430" s="19"/>
      <c r="DM430" s="19"/>
      <c r="DN430" s="19"/>
      <c r="DO430" s="19"/>
      <c r="DP430" s="19"/>
      <c r="DQ430" s="19"/>
      <c r="DR430" s="19"/>
      <c r="DS430" s="19"/>
      <c r="DT430" s="19"/>
      <c r="DU430" s="19"/>
      <c r="DV430" s="19"/>
      <c r="DW430" s="19"/>
      <c r="DX430" s="19"/>
      <c r="DY430" s="19"/>
      <c r="DZ430" s="19"/>
      <c r="EA430" s="19"/>
      <c r="EB430" s="19"/>
      <c r="EC430" s="19"/>
      <c r="ED430" s="19"/>
      <c r="EE430" s="19"/>
      <c r="EF430" s="19"/>
      <c r="EG430" s="19"/>
      <c r="EH430" s="19"/>
      <c r="EI430" s="19"/>
      <c r="EJ430" s="19"/>
      <c r="EK430" s="19"/>
      <c r="EL430" s="19"/>
      <c r="EM430" s="19"/>
      <c r="EN430" s="19"/>
      <c r="EO430" s="19"/>
      <c r="EP430" s="19"/>
      <c r="EQ430" s="19"/>
      <c r="ER430" s="19"/>
      <c r="ES430" s="19"/>
      <c r="ET430" s="19"/>
      <c r="EU430" s="19"/>
      <c r="EV430" s="19"/>
      <c r="EW430" s="19"/>
      <c r="EX430" s="19"/>
      <c r="EY430" s="19"/>
      <c r="EZ430" s="19"/>
      <c r="FA430" s="19"/>
      <c r="FB430" s="19"/>
      <c r="FC430" s="19"/>
      <c r="FD430" s="19"/>
      <c r="FE430" s="19"/>
      <c r="FF430" s="19"/>
      <c r="FG430" s="19"/>
      <c r="FH430" s="19"/>
      <c r="FI430" s="19"/>
      <c r="FJ430" s="19"/>
      <c r="FK430" s="19"/>
      <c r="FL430" s="19"/>
      <c r="FM430" s="19"/>
      <c r="FN430" s="19"/>
      <c r="FO430" s="19"/>
      <c r="FP430" s="19"/>
      <c r="FQ430" s="19"/>
      <c r="FR430" s="19"/>
      <c r="FS430" s="19"/>
      <c r="FT430" s="19"/>
      <c r="FU430" s="19"/>
      <c r="FV430" s="19"/>
      <c r="FW430" s="19"/>
      <c r="FX430" s="19"/>
      <c r="FY430" s="19"/>
      <c r="FZ430" s="19"/>
      <c r="GA430" s="19"/>
      <c r="GB430" s="19"/>
      <c r="GC430" s="19"/>
      <c r="GD430" s="19"/>
      <c r="GE430" s="19"/>
      <c r="GF430" s="19"/>
      <c r="GG430" s="19"/>
      <c r="GH430" s="19"/>
      <c r="GI430" s="19"/>
      <c r="GJ430" s="19"/>
      <c r="GK430" s="19"/>
      <c r="GL430" s="19"/>
      <c r="GM430" s="19"/>
      <c r="GN430" s="19"/>
      <c r="GO430" s="19"/>
      <c r="GP430" s="19"/>
      <c r="GQ430" s="19"/>
      <c r="GR430" s="19"/>
      <c r="GS430" s="19"/>
      <c r="GT430" s="19"/>
      <c r="GU430" s="19"/>
      <c r="GV430" s="19"/>
      <c r="GW430" s="19"/>
      <c r="GX430" s="19"/>
      <c r="GY430" s="19"/>
      <c r="GZ430" s="19"/>
      <c r="HA430" s="19"/>
      <c r="HB430" s="19"/>
    </row>
    <row r="431" spans="1:210" x14ac:dyDescent="0.25">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c r="BE431" s="19"/>
      <c r="BF431" s="19"/>
      <c r="BG431" s="19"/>
      <c r="BH431" s="19"/>
      <c r="BI431" s="19"/>
      <c r="BJ431" s="19"/>
      <c r="BK431" s="19"/>
      <c r="BL431" s="19"/>
      <c r="BM431" s="19"/>
      <c r="BN431" s="19"/>
      <c r="BO431" s="19"/>
      <c r="BP431" s="19"/>
      <c r="BQ431" s="19"/>
      <c r="BR431" s="19"/>
      <c r="BS431" s="19"/>
      <c r="BT431" s="19"/>
      <c r="BU431" s="19"/>
      <c r="BV431" s="19"/>
      <c r="BW431" s="19"/>
      <c r="BX431" s="19"/>
      <c r="BY431" s="19"/>
      <c r="BZ431" s="19"/>
      <c r="CA431" s="19"/>
      <c r="CB431" s="19"/>
      <c r="CC431" s="19"/>
      <c r="CD431" s="19"/>
      <c r="CE431" s="19"/>
      <c r="CF431" s="19"/>
      <c r="CG431" s="19"/>
      <c r="CH431" s="19"/>
      <c r="CI431" s="19"/>
      <c r="CJ431" s="19"/>
      <c r="CK431" s="19"/>
      <c r="CL431" s="19"/>
      <c r="CM431" s="19"/>
      <c r="CN431" s="19"/>
      <c r="CO431" s="19"/>
      <c r="CP431" s="19"/>
      <c r="CQ431" s="19"/>
      <c r="CR431" s="19"/>
      <c r="CS431" s="19"/>
      <c r="CT431" s="19"/>
      <c r="CU431" s="19"/>
      <c r="CV431" s="19"/>
      <c r="CW431" s="19"/>
      <c r="CX431" s="19"/>
      <c r="CY431" s="19"/>
      <c r="CZ431" s="19"/>
      <c r="DA431" s="19"/>
      <c r="DB431" s="19"/>
      <c r="DC431" s="19"/>
      <c r="DD431" s="19"/>
      <c r="DE431" s="19"/>
      <c r="DF431" s="19"/>
      <c r="DG431" s="19"/>
      <c r="DH431" s="19"/>
      <c r="DI431" s="19"/>
      <c r="DJ431" s="19"/>
      <c r="DK431" s="19"/>
      <c r="DL431" s="19"/>
      <c r="DM431" s="19"/>
      <c r="DN431" s="19"/>
      <c r="DO431" s="19"/>
      <c r="DP431" s="19"/>
      <c r="DQ431" s="19"/>
      <c r="DR431" s="19"/>
      <c r="DS431" s="19"/>
      <c r="DT431" s="19"/>
      <c r="DU431" s="19"/>
      <c r="DV431" s="19"/>
      <c r="DW431" s="19"/>
      <c r="DX431" s="19"/>
      <c r="DY431" s="19"/>
      <c r="DZ431" s="19"/>
      <c r="EA431" s="19"/>
      <c r="EB431" s="19"/>
      <c r="EC431" s="19"/>
      <c r="ED431" s="19"/>
      <c r="EE431" s="19"/>
      <c r="EF431" s="19"/>
      <c r="EG431" s="19"/>
      <c r="EH431" s="19"/>
      <c r="EI431" s="19"/>
      <c r="EJ431" s="19"/>
      <c r="EK431" s="19"/>
      <c r="EL431" s="19"/>
      <c r="EM431" s="19"/>
      <c r="EN431" s="19"/>
      <c r="EO431" s="19"/>
      <c r="EP431" s="19"/>
      <c r="EQ431" s="19"/>
      <c r="ER431" s="19"/>
      <c r="ES431" s="19"/>
      <c r="ET431" s="19"/>
      <c r="EU431" s="19"/>
      <c r="EV431" s="19"/>
      <c r="EW431" s="19"/>
      <c r="EX431" s="19"/>
      <c r="EY431" s="19"/>
      <c r="EZ431" s="19"/>
      <c r="FA431" s="19"/>
      <c r="FB431" s="19"/>
      <c r="FC431" s="19"/>
      <c r="FD431" s="19"/>
      <c r="FE431" s="19"/>
      <c r="FF431" s="19"/>
      <c r="FG431" s="19"/>
      <c r="FH431" s="19"/>
      <c r="FI431" s="19"/>
      <c r="FJ431" s="19"/>
      <c r="FK431" s="19"/>
      <c r="FL431" s="19"/>
      <c r="FM431" s="19"/>
      <c r="FN431" s="19"/>
      <c r="FO431" s="19"/>
      <c r="FP431" s="19"/>
      <c r="FQ431" s="19"/>
      <c r="FR431" s="19"/>
      <c r="FS431" s="19"/>
      <c r="FT431" s="19"/>
      <c r="FU431" s="19"/>
      <c r="FV431" s="19"/>
      <c r="FW431" s="19"/>
      <c r="FX431" s="19"/>
      <c r="FY431" s="19"/>
      <c r="FZ431" s="19"/>
      <c r="GA431" s="19"/>
      <c r="GB431" s="19"/>
      <c r="GC431" s="19"/>
      <c r="GD431" s="19"/>
      <c r="GE431" s="19"/>
      <c r="GF431" s="19"/>
      <c r="GG431" s="19"/>
      <c r="GH431" s="19"/>
      <c r="GI431" s="19"/>
      <c r="GJ431" s="19"/>
      <c r="GK431" s="19"/>
      <c r="GL431" s="19"/>
      <c r="GM431" s="19"/>
      <c r="GN431" s="19"/>
      <c r="GO431" s="19"/>
      <c r="GP431" s="19"/>
      <c r="GQ431" s="19"/>
      <c r="GR431" s="19"/>
      <c r="GS431" s="19"/>
      <c r="GT431" s="19"/>
      <c r="GU431" s="19"/>
      <c r="GV431" s="19"/>
      <c r="GW431" s="19"/>
      <c r="GX431" s="19"/>
      <c r="GY431" s="19"/>
      <c r="GZ431" s="19"/>
      <c r="HA431" s="19"/>
      <c r="HB431" s="19"/>
    </row>
    <row r="432" spans="1:210" x14ac:dyDescent="0.25">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c r="BE432" s="19"/>
      <c r="BF432" s="19"/>
      <c r="BG432" s="19"/>
      <c r="BH432" s="19"/>
      <c r="BI432" s="19"/>
      <c r="BJ432" s="19"/>
      <c r="BK432" s="19"/>
      <c r="BL432" s="19"/>
      <c r="BM432" s="19"/>
      <c r="BN432" s="19"/>
      <c r="BO432" s="19"/>
      <c r="BP432" s="19"/>
      <c r="BQ432" s="19"/>
      <c r="BR432" s="19"/>
      <c r="BS432" s="19"/>
      <c r="BT432" s="19"/>
      <c r="BU432" s="19"/>
      <c r="BV432" s="19"/>
      <c r="BW432" s="19"/>
      <c r="BX432" s="19"/>
      <c r="BY432" s="19"/>
      <c r="BZ432" s="19"/>
      <c r="CA432" s="19"/>
      <c r="CB432" s="19"/>
      <c r="CC432" s="19"/>
      <c r="CD432" s="19"/>
      <c r="CE432" s="19"/>
      <c r="CF432" s="19"/>
      <c r="CG432" s="19"/>
      <c r="CH432" s="19"/>
      <c r="CI432" s="19"/>
      <c r="CJ432" s="19"/>
      <c r="CK432" s="19"/>
      <c r="CL432" s="19"/>
      <c r="CM432" s="19"/>
      <c r="CN432" s="19"/>
      <c r="CO432" s="19"/>
      <c r="CP432" s="19"/>
      <c r="CQ432" s="19"/>
      <c r="CR432" s="19"/>
      <c r="CS432" s="19"/>
      <c r="CT432" s="19"/>
      <c r="CU432" s="19"/>
      <c r="CV432" s="19"/>
      <c r="CW432" s="19"/>
      <c r="CX432" s="19"/>
      <c r="CY432" s="19"/>
      <c r="CZ432" s="19"/>
      <c r="DA432" s="19"/>
      <c r="DB432" s="19"/>
      <c r="DC432" s="19"/>
      <c r="DD432" s="19"/>
      <c r="DE432" s="19"/>
      <c r="DF432" s="19"/>
      <c r="DG432" s="19"/>
      <c r="DH432" s="19"/>
      <c r="DI432" s="19"/>
      <c r="DJ432" s="19"/>
      <c r="DK432" s="19"/>
      <c r="DL432" s="19"/>
      <c r="DM432" s="19"/>
      <c r="DN432" s="19"/>
      <c r="DO432" s="19"/>
      <c r="DP432" s="19"/>
      <c r="DQ432" s="19"/>
      <c r="DR432" s="19"/>
      <c r="DS432" s="19"/>
      <c r="DT432" s="19"/>
      <c r="DU432" s="19"/>
      <c r="DV432" s="19"/>
      <c r="DW432" s="19"/>
      <c r="DX432" s="19"/>
      <c r="DY432" s="19"/>
      <c r="DZ432" s="19"/>
      <c r="EA432" s="19"/>
      <c r="EB432" s="19"/>
      <c r="EC432" s="19"/>
      <c r="ED432" s="19"/>
      <c r="EE432" s="19"/>
      <c r="EF432" s="19"/>
      <c r="EG432" s="19"/>
      <c r="EH432" s="19"/>
      <c r="EI432" s="19"/>
      <c r="EJ432" s="19"/>
      <c r="EK432" s="19"/>
      <c r="EL432" s="19"/>
      <c r="EM432" s="19"/>
      <c r="EN432" s="19"/>
      <c r="EO432" s="19"/>
      <c r="EP432" s="19"/>
      <c r="EQ432" s="19"/>
      <c r="ER432" s="19"/>
      <c r="ES432" s="19"/>
      <c r="ET432" s="19"/>
      <c r="EU432" s="19"/>
      <c r="EV432" s="19"/>
      <c r="EW432" s="19"/>
      <c r="EX432" s="19"/>
      <c r="EY432" s="19"/>
      <c r="EZ432" s="19"/>
      <c r="FA432" s="19"/>
      <c r="FB432" s="19"/>
      <c r="FC432" s="19"/>
      <c r="FD432" s="19"/>
      <c r="FE432" s="19"/>
      <c r="FF432" s="19"/>
      <c r="FG432" s="19"/>
      <c r="FH432" s="19"/>
      <c r="FI432" s="19"/>
      <c r="FJ432" s="19"/>
      <c r="FK432" s="19"/>
      <c r="FL432" s="19"/>
      <c r="FM432" s="19"/>
      <c r="FN432" s="19"/>
      <c r="FO432" s="19"/>
      <c r="FP432" s="19"/>
      <c r="FQ432" s="19"/>
      <c r="FR432" s="19"/>
      <c r="FS432" s="19"/>
      <c r="FT432" s="19"/>
      <c r="FU432" s="19"/>
      <c r="FV432" s="19"/>
      <c r="FW432" s="19"/>
      <c r="FX432" s="19"/>
      <c r="FY432" s="19"/>
      <c r="FZ432" s="19"/>
      <c r="GA432" s="19"/>
      <c r="GB432" s="19"/>
      <c r="GC432" s="19"/>
      <c r="GD432" s="19"/>
      <c r="GE432" s="19"/>
      <c r="GF432" s="19"/>
      <c r="GG432" s="19"/>
      <c r="GH432" s="19"/>
      <c r="GI432" s="19"/>
      <c r="GJ432" s="19"/>
      <c r="GK432" s="19"/>
      <c r="GL432" s="19"/>
      <c r="GM432" s="19"/>
      <c r="GN432" s="19"/>
      <c r="GO432" s="19"/>
      <c r="GP432" s="19"/>
      <c r="GQ432" s="19"/>
      <c r="GR432" s="19"/>
      <c r="GS432" s="19"/>
      <c r="GT432" s="19"/>
      <c r="GU432" s="19"/>
      <c r="GV432" s="19"/>
      <c r="GW432" s="19"/>
      <c r="GX432" s="19"/>
      <c r="GY432" s="19"/>
      <c r="GZ432" s="19"/>
      <c r="HA432" s="19"/>
      <c r="HB432" s="19"/>
    </row>
    <row r="433" spans="1:210" x14ac:dyDescent="0.25">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c r="BE433" s="19"/>
      <c r="BF433" s="19"/>
      <c r="BG433" s="19"/>
      <c r="BH433" s="19"/>
      <c r="BI433" s="19"/>
      <c r="BJ433" s="19"/>
      <c r="BK433" s="19"/>
      <c r="BL433" s="19"/>
      <c r="BM433" s="19"/>
      <c r="BN433" s="19"/>
      <c r="BO433" s="19"/>
      <c r="BP433" s="19"/>
      <c r="BQ433" s="19"/>
      <c r="BR433" s="19"/>
      <c r="BS433" s="19"/>
      <c r="BT433" s="19"/>
      <c r="BU433" s="19"/>
      <c r="BV433" s="19"/>
      <c r="BW433" s="19"/>
      <c r="BX433" s="19"/>
      <c r="BY433" s="19"/>
      <c r="BZ433" s="19"/>
      <c r="CA433" s="19"/>
      <c r="CB433" s="19"/>
      <c r="CC433" s="19"/>
      <c r="CD433" s="19"/>
      <c r="CE433" s="19"/>
      <c r="CF433" s="19"/>
      <c r="CG433" s="19"/>
      <c r="CH433" s="19"/>
      <c r="CI433" s="19"/>
      <c r="CJ433" s="19"/>
      <c r="CK433" s="19"/>
      <c r="CL433" s="19"/>
      <c r="CM433" s="19"/>
      <c r="CN433" s="19"/>
      <c r="CO433" s="19"/>
      <c r="CP433" s="19"/>
      <c r="CQ433" s="19"/>
      <c r="CR433" s="19"/>
      <c r="CS433" s="19"/>
      <c r="CT433" s="19"/>
      <c r="CU433" s="19"/>
      <c r="CV433" s="19"/>
      <c r="CW433" s="19"/>
      <c r="CX433" s="19"/>
      <c r="CY433" s="19"/>
      <c r="CZ433" s="19"/>
      <c r="DA433" s="19"/>
      <c r="DB433" s="19"/>
      <c r="DC433" s="19"/>
      <c r="DD433" s="19"/>
      <c r="DE433" s="19"/>
      <c r="DF433" s="19"/>
      <c r="DG433" s="19"/>
      <c r="DH433" s="19"/>
      <c r="DI433" s="19"/>
      <c r="DJ433" s="19"/>
      <c r="DK433" s="19"/>
      <c r="DL433" s="19"/>
      <c r="DM433" s="19"/>
      <c r="DN433" s="19"/>
      <c r="DO433" s="19"/>
      <c r="DP433" s="19"/>
      <c r="DQ433" s="19"/>
      <c r="DR433" s="19"/>
      <c r="DS433" s="19"/>
      <c r="DT433" s="19"/>
      <c r="DU433" s="19"/>
      <c r="DV433" s="19"/>
      <c r="DW433" s="19"/>
      <c r="DX433" s="19"/>
      <c r="DY433" s="19"/>
      <c r="DZ433" s="19"/>
      <c r="EA433" s="19"/>
      <c r="EB433" s="19"/>
      <c r="EC433" s="19"/>
      <c r="ED433" s="19"/>
      <c r="EE433" s="19"/>
      <c r="EF433" s="19"/>
      <c r="EG433" s="19"/>
      <c r="EH433" s="19"/>
      <c r="EI433" s="19"/>
      <c r="EJ433" s="19"/>
      <c r="EK433" s="19"/>
      <c r="EL433" s="19"/>
      <c r="EM433" s="19"/>
      <c r="EN433" s="19"/>
      <c r="EO433" s="19"/>
      <c r="EP433" s="19"/>
      <c r="EQ433" s="19"/>
      <c r="ER433" s="19"/>
      <c r="ES433" s="19"/>
      <c r="ET433" s="19"/>
      <c r="EU433" s="19"/>
      <c r="EV433" s="19"/>
      <c r="EW433" s="19"/>
      <c r="EX433" s="19"/>
      <c r="EY433" s="19"/>
      <c r="EZ433" s="19"/>
      <c r="FA433" s="19"/>
      <c r="FB433" s="19"/>
      <c r="FC433" s="19"/>
      <c r="FD433" s="19"/>
      <c r="FE433" s="19"/>
      <c r="FF433" s="19"/>
      <c r="FG433" s="19"/>
      <c r="FH433" s="19"/>
      <c r="FI433" s="19"/>
      <c r="FJ433" s="19"/>
      <c r="FK433" s="19"/>
      <c r="FL433" s="19"/>
      <c r="FM433" s="19"/>
      <c r="FN433" s="19"/>
      <c r="FO433" s="19"/>
      <c r="FP433" s="19"/>
      <c r="FQ433" s="19"/>
      <c r="FR433" s="19"/>
      <c r="FS433" s="19"/>
      <c r="FT433" s="19"/>
      <c r="FU433" s="19"/>
      <c r="FV433" s="19"/>
      <c r="FW433" s="19"/>
      <c r="FX433" s="19"/>
      <c r="FY433" s="19"/>
      <c r="FZ433" s="19"/>
      <c r="GA433" s="19"/>
      <c r="GB433" s="19"/>
      <c r="GC433" s="19"/>
      <c r="GD433" s="19"/>
      <c r="GE433" s="19"/>
      <c r="GF433" s="19"/>
      <c r="GG433" s="19"/>
      <c r="GH433" s="19"/>
      <c r="GI433" s="19"/>
      <c r="GJ433" s="19"/>
      <c r="GK433" s="19"/>
      <c r="GL433" s="19"/>
      <c r="GM433" s="19"/>
      <c r="GN433" s="19"/>
      <c r="GO433" s="19"/>
      <c r="GP433" s="19"/>
      <c r="GQ433" s="19"/>
      <c r="GR433" s="19"/>
      <c r="GS433" s="19"/>
      <c r="GT433" s="19"/>
      <c r="GU433" s="19"/>
      <c r="GV433" s="19"/>
      <c r="GW433" s="19"/>
      <c r="GX433" s="19"/>
      <c r="GY433" s="19"/>
      <c r="GZ433" s="19"/>
      <c r="HA433" s="19"/>
      <c r="HB433" s="19"/>
    </row>
    <row r="434" spans="1:210" x14ac:dyDescent="0.25">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c r="BE434" s="19"/>
      <c r="BF434" s="19"/>
      <c r="BG434" s="19"/>
      <c r="BH434" s="19"/>
      <c r="BI434" s="19"/>
      <c r="BJ434" s="19"/>
      <c r="BK434" s="19"/>
      <c r="BL434" s="19"/>
      <c r="BM434" s="19"/>
      <c r="BN434" s="19"/>
      <c r="BO434" s="19"/>
      <c r="BP434" s="19"/>
      <c r="BQ434" s="19"/>
      <c r="BR434" s="19"/>
      <c r="BS434" s="19"/>
      <c r="BT434" s="19"/>
      <c r="BU434" s="19"/>
      <c r="BV434" s="19"/>
      <c r="BW434" s="19"/>
      <c r="BX434" s="19"/>
      <c r="BY434" s="19"/>
      <c r="BZ434" s="19"/>
      <c r="CA434" s="19"/>
      <c r="CB434" s="19"/>
      <c r="CC434" s="19"/>
      <c r="CD434" s="19"/>
      <c r="CE434" s="19"/>
      <c r="CF434" s="19"/>
      <c r="CG434" s="19"/>
      <c r="CH434" s="19"/>
      <c r="CI434" s="19"/>
      <c r="CJ434" s="19"/>
      <c r="CK434" s="19"/>
      <c r="CL434" s="19"/>
      <c r="CM434" s="19"/>
      <c r="CN434" s="19"/>
      <c r="CO434" s="19"/>
      <c r="CP434" s="19"/>
      <c r="CQ434" s="19"/>
      <c r="CR434" s="19"/>
      <c r="CS434" s="19"/>
      <c r="CT434" s="19"/>
      <c r="CU434" s="19"/>
      <c r="CV434" s="19"/>
      <c r="CW434" s="19"/>
      <c r="CX434" s="19"/>
      <c r="CY434" s="19"/>
      <c r="CZ434" s="19"/>
      <c r="DA434" s="19"/>
      <c r="DB434" s="19"/>
      <c r="DC434" s="19"/>
      <c r="DD434" s="19"/>
      <c r="DE434" s="19"/>
      <c r="DF434" s="19"/>
      <c r="DG434" s="19"/>
      <c r="DH434" s="19"/>
      <c r="DI434" s="19"/>
      <c r="DJ434" s="19"/>
      <c r="DK434" s="19"/>
      <c r="DL434" s="19"/>
      <c r="DM434" s="19"/>
      <c r="DN434" s="19"/>
      <c r="DO434" s="19"/>
      <c r="DP434" s="19"/>
      <c r="DQ434" s="19"/>
      <c r="DR434" s="19"/>
      <c r="DS434" s="19"/>
      <c r="DT434" s="19"/>
      <c r="DU434" s="19"/>
      <c r="DV434" s="19"/>
      <c r="DW434" s="19"/>
      <c r="DX434" s="19"/>
      <c r="DY434" s="19"/>
      <c r="DZ434" s="19"/>
      <c r="EA434" s="19"/>
      <c r="EB434" s="19"/>
      <c r="EC434" s="19"/>
      <c r="ED434" s="19"/>
      <c r="EE434" s="19"/>
      <c r="EF434" s="19"/>
      <c r="EG434" s="19"/>
      <c r="EH434" s="19"/>
      <c r="EI434" s="19"/>
      <c r="EJ434" s="19"/>
      <c r="EK434" s="19"/>
      <c r="EL434" s="19"/>
      <c r="EM434" s="19"/>
      <c r="EN434" s="19"/>
      <c r="EO434" s="19"/>
      <c r="EP434" s="19"/>
      <c r="EQ434" s="19"/>
      <c r="ER434" s="19"/>
      <c r="ES434" s="19"/>
      <c r="ET434" s="19"/>
      <c r="EU434" s="19"/>
      <c r="EV434" s="19"/>
      <c r="EW434" s="19"/>
      <c r="EX434" s="19"/>
      <c r="EY434" s="19"/>
      <c r="EZ434" s="19"/>
      <c r="FA434" s="19"/>
      <c r="FB434" s="19"/>
      <c r="FC434" s="19"/>
      <c r="FD434" s="19"/>
      <c r="FE434" s="19"/>
      <c r="FF434" s="19"/>
      <c r="FG434" s="19"/>
      <c r="FH434" s="19"/>
      <c r="FI434" s="19"/>
      <c r="FJ434" s="19"/>
      <c r="FK434" s="19"/>
      <c r="FL434" s="19"/>
      <c r="FM434" s="19"/>
      <c r="FN434" s="19"/>
      <c r="FO434" s="19"/>
      <c r="FP434" s="19"/>
      <c r="FQ434" s="19"/>
      <c r="FR434" s="19"/>
      <c r="FS434" s="19"/>
      <c r="FT434" s="19"/>
      <c r="FU434" s="19"/>
      <c r="FV434" s="19"/>
      <c r="FW434" s="19"/>
      <c r="FX434" s="19"/>
      <c r="FY434" s="19"/>
      <c r="FZ434" s="19"/>
      <c r="GA434" s="19"/>
      <c r="GB434" s="19"/>
      <c r="GC434" s="19"/>
      <c r="GD434" s="19"/>
      <c r="GE434" s="19"/>
      <c r="GF434" s="19"/>
      <c r="GG434" s="19"/>
      <c r="GH434" s="19"/>
      <c r="GI434" s="19"/>
      <c r="GJ434" s="19"/>
      <c r="GK434" s="19"/>
      <c r="GL434" s="19"/>
      <c r="GM434" s="19"/>
      <c r="GN434" s="19"/>
      <c r="GO434" s="19"/>
      <c r="GP434" s="19"/>
      <c r="GQ434" s="19"/>
      <c r="GR434" s="19"/>
      <c r="GS434" s="19"/>
      <c r="GT434" s="19"/>
      <c r="GU434" s="19"/>
      <c r="GV434" s="19"/>
      <c r="GW434" s="19"/>
      <c r="GX434" s="19"/>
      <c r="GY434" s="19"/>
      <c r="GZ434" s="19"/>
      <c r="HA434" s="19"/>
      <c r="HB434" s="19"/>
    </row>
    <row r="435" spans="1:210" x14ac:dyDescent="0.25">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c r="BE435" s="19"/>
      <c r="BF435" s="19"/>
      <c r="BG435" s="19"/>
      <c r="BH435" s="19"/>
      <c r="BI435" s="19"/>
      <c r="BJ435" s="19"/>
      <c r="BK435" s="19"/>
      <c r="BL435" s="19"/>
      <c r="BM435" s="19"/>
      <c r="BN435" s="19"/>
      <c r="BO435" s="19"/>
      <c r="BP435" s="19"/>
      <c r="BQ435" s="19"/>
      <c r="BR435" s="19"/>
      <c r="BS435" s="19"/>
      <c r="BT435" s="19"/>
      <c r="BU435" s="19"/>
      <c r="BV435" s="19"/>
      <c r="BW435" s="19"/>
      <c r="BX435" s="19"/>
      <c r="BY435" s="19"/>
      <c r="BZ435" s="19"/>
      <c r="CA435" s="19"/>
      <c r="CB435" s="19"/>
      <c r="CC435" s="19"/>
      <c r="CD435" s="19"/>
      <c r="CE435" s="19"/>
      <c r="CF435" s="19"/>
      <c r="CG435" s="19"/>
      <c r="CH435" s="19"/>
      <c r="CI435" s="19"/>
      <c r="CJ435" s="19"/>
      <c r="CK435" s="19"/>
      <c r="CL435" s="19"/>
      <c r="CM435" s="19"/>
      <c r="CN435" s="19"/>
      <c r="CO435" s="19"/>
      <c r="CP435" s="19"/>
      <c r="CQ435" s="19"/>
      <c r="CR435" s="19"/>
      <c r="CS435" s="19"/>
      <c r="CT435" s="19"/>
      <c r="CU435" s="19"/>
      <c r="CV435" s="19"/>
      <c r="CW435" s="19"/>
      <c r="CX435" s="19"/>
      <c r="CY435" s="19"/>
      <c r="CZ435" s="19"/>
      <c r="DA435" s="19"/>
      <c r="DB435" s="19"/>
      <c r="DC435" s="19"/>
      <c r="DD435" s="19"/>
      <c r="DE435" s="19"/>
      <c r="DF435" s="19"/>
      <c r="DG435" s="19"/>
      <c r="DH435" s="19"/>
      <c r="DI435" s="19"/>
      <c r="DJ435" s="19"/>
      <c r="DK435" s="19"/>
      <c r="DL435" s="19"/>
      <c r="DM435" s="19"/>
      <c r="DN435" s="19"/>
      <c r="DO435" s="19"/>
      <c r="DP435" s="19"/>
      <c r="DQ435" s="19"/>
      <c r="DR435" s="19"/>
      <c r="DS435" s="19"/>
      <c r="DT435" s="19"/>
      <c r="DU435" s="19"/>
      <c r="DV435" s="19"/>
      <c r="DW435" s="19"/>
      <c r="DX435" s="19"/>
      <c r="DY435" s="19"/>
      <c r="DZ435" s="19"/>
      <c r="EA435" s="19"/>
      <c r="EB435" s="19"/>
      <c r="EC435" s="19"/>
      <c r="ED435" s="19"/>
      <c r="EE435" s="19"/>
      <c r="EF435" s="19"/>
      <c r="EG435" s="19"/>
      <c r="EH435" s="19"/>
      <c r="EI435" s="19"/>
      <c r="EJ435" s="19"/>
      <c r="EK435" s="19"/>
      <c r="EL435" s="19"/>
      <c r="EM435" s="19"/>
      <c r="EN435" s="19"/>
      <c r="EO435" s="19"/>
      <c r="EP435" s="19"/>
      <c r="EQ435" s="19"/>
      <c r="ER435" s="19"/>
      <c r="ES435" s="19"/>
      <c r="ET435" s="19"/>
      <c r="EU435" s="19"/>
      <c r="EV435" s="19"/>
      <c r="EW435" s="19"/>
      <c r="EX435" s="19"/>
      <c r="EY435" s="19"/>
      <c r="EZ435" s="19"/>
      <c r="FA435" s="19"/>
      <c r="FB435" s="19"/>
      <c r="FC435" s="19"/>
      <c r="FD435" s="19"/>
      <c r="FE435" s="19"/>
      <c r="FF435" s="19"/>
      <c r="FG435" s="19"/>
      <c r="FH435" s="19"/>
      <c r="FI435" s="19"/>
      <c r="FJ435" s="19"/>
      <c r="FK435" s="19"/>
      <c r="FL435" s="19"/>
      <c r="FM435" s="19"/>
      <c r="FN435" s="19"/>
      <c r="FO435" s="19"/>
      <c r="FP435" s="19"/>
      <c r="FQ435" s="19"/>
      <c r="FR435" s="19"/>
      <c r="FS435" s="19"/>
      <c r="FT435" s="19"/>
      <c r="FU435" s="19"/>
      <c r="FV435" s="19"/>
      <c r="FW435" s="19"/>
      <c r="FX435" s="19"/>
      <c r="FY435" s="19"/>
      <c r="FZ435" s="19"/>
      <c r="GA435" s="19"/>
      <c r="GB435" s="19"/>
      <c r="GC435" s="19"/>
      <c r="GD435" s="19"/>
      <c r="GE435" s="19"/>
      <c r="GF435" s="19"/>
      <c r="GG435" s="19"/>
      <c r="GH435" s="19"/>
      <c r="GI435" s="19"/>
      <c r="GJ435" s="19"/>
      <c r="GK435" s="19"/>
      <c r="GL435" s="19"/>
      <c r="GM435" s="19"/>
      <c r="GN435" s="19"/>
      <c r="GO435" s="19"/>
      <c r="GP435" s="19"/>
      <c r="GQ435" s="19"/>
      <c r="GR435" s="19"/>
      <c r="GS435" s="19"/>
      <c r="GT435" s="19"/>
      <c r="GU435" s="19"/>
      <c r="GV435" s="19"/>
      <c r="GW435" s="19"/>
      <c r="GX435" s="19"/>
      <c r="GY435" s="19"/>
      <c r="GZ435" s="19"/>
      <c r="HA435" s="19"/>
      <c r="HB435" s="19"/>
    </row>
    <row r="436" spans="1:210" x14ac:dyDescent="0.25">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c r="BE436" s="19"/>
      <c r="BF436" s="19"/>
      <c r="BG436" s="19"/>
      <c r="BH436" s="19"/>
      <c r="BI436" s="19"/>
      <c r="BJ436" s="19"/>
      <c r="BK436" s="19"/>
      <c r="BL436" s="19"/>
      <c r="BM436" s="19"/>
      <c r="BN436" s="19"/>
      <c r="BO436" s="19"/>
      <c r="BP436" s="19"/>
      <c r="BQ436" s="19"/>
      <c r="BR436" s="19"/>
      <c r="BS436" s="19"/>
      <c r="BT436" s="19"/>
      <c r="BU436" s="19"/>
      <c r="BV436" s="19"/>
      <c r="BW436" s="19"/>
      <c r="BX436" s="19"/>
      <c r="BY436" s="19"/>
      <c r="BZ436" s="19"/>
      <c r="CA436" s="19"/>
      <c r="CB436" s="19"/>
      <c r="CC436" s="19"/>
      <c r="CD436" s="19"/>
      <c r="CE436" s="19"/>
      <c r="CF436" s="19"/>
      <c r="CG436" s="19"/>
      <c r="CH436" s="19"/>
      <c r="CI436" s="19"/>
      <c r="CJ436" s="19"/>
      <c r="CK436" s="19"/>
      <c r="CL436" s="19"/>
      <c r="CM436" s="19"/>
      <c r="CN436" s="19"/>
      <c r="CO436" s="19"/>
      <c r="CP436" s="19"/>
      <c r="CQ436" s="19"/>
      <c r="CR436" s="19"/>
      <c r="CS436" s="19"/>
      <c r="CT436" s="19"/>
      <c r="CU436" s="19"/>
      <c r="CV436" s="19"/>
      <c r="CW436" s="19"/>
      <c r="CX436" s="19"/>
      <c r="CY436" s="19"/>
      <c r="CZ436" s="19"/>
      <c r="DA436" s="19"/>
      <c r="DB436" s="19"/>
      <c r="DC436" s="19"/>
      <c r="DD436" s="19"/>
      <c r="DE436" s="19"/>
      <c r="DF436" s="19"/>
      <c r="DG436" s="19"/>
      <c r="DH436" s="19"/>
      <c r="DI436" s="19"/>
      <c r="DJ436" s="19"/>
      <c r="DK436" s="19"/>
      <c r="DL436" s="19"/>
      <c r="DM436" s="19"/>
      <c r="DN436" s="19"/>
      <c r="DO436" s="19"/>
      <c r="DP436" s="19"/>
      <c r="DQ436" s="19"/>
      <c r="DR436" s="19"/>
      <c r="DS436" s="19"/>
      <c r="DT436" s="19"/>
      <c r="DU436" s="19"/>
      <c r="DV436" s="19"/>
      <c r="DW436" s="19"/>
      <c r="DX436" s="19"/>
      <c r="DY436" s="19"/>
      <c r="DZ436" s="19"/>
      <c r="EA436" s="19"/>
      <c r="EB436" s="19"/>
      <c r="EC436" s="19"/>
      <c r="ED436" s="19"/>
      <c r="EE436" s="19"/>
      <c r="EF436" s="19"/>
      <c r="EG436" s="19"/>
      <c r="EH436" s="19"/>
      <c r="EI436" s="19"/>
      <c r="EJ436" s="19"/>
      <c r="EK436" s="19"/>
      <c r="EL436" s="19"/>
      <c r="EM436" s="19"/>
      <c r="EN436" s="19"/>
      <c r="EO436" s="19"/>
      <c r="EP436" s="19"/>
      <c r="EQ436" s="19"/>
      <c r="ER436" s="19"/>
      <c r="ES436" s="19"/>
      <c r="ET436" s="19"/>
      <c r="EU436" s="19"/>
      <c r="EV436" s="19"/>
      <c r="EW436" s="19"/>
      <c r="EX436" s="19"/>
      <c r="EY436" s="19"/>
      <c r="EZ436" s="19"/>
      <c r="FA436" s="19"/>
      <c r="FB436" s="19"/>
      <c r="FC436" s="19"/>
      <c r="FD436" s="19"/>
      <c r="FE436" s="19"/>
      <c r="FF436" s="19"/>
      <c r="FG436" s="19"/>
      <c r="FH436" s="19"/>
      <c r="FI436" s="19"/>
      <c r="FJ436" s="19"/>
      <c r="FK436" s="19"/>
      <c r="FL436" s="19"/>
      <c r="FM436" s="19"/>
      <c r="FN436" s="19"/>
      <c r="FO436" s="19"/>
      <c r="FP436" s="19"/>
      <c r="FQ436" s="19"/>
      <c r="FR436" s="19"/>
      <c r="FS436" s="19"/>
      <c r="FT436" s="19"/>
      <c r="FU436" s="19"/>
      <c r="FV436" s="19"/>
      <c r="FW436" s="19"/>
      <c r="FX436" s="19"/>
      <c r="FY436" s="19"/>
      <c r="FZ436" s="19"/>
      <c r="GA436" s="19"/>
      <c r="GB436" s="19"/>
      <c r="GC436" s="19"/>
      <c r="GD436" s="19"/>
      <c r="GE436" s="19"/>
      <c r="GF436" s="19"/>
      <c r="GG436" s="19"/>
      <c r="GH436" s="19"/>
      <c r="GI436" s="19"/>
      <c r="GJ436" s="19"/>
      <c r="GK436" s="19"/>
      <c r="GL436" s="19"/>
      <c r="GM436" s="19"/>
      <c r="GN436" s="19"/>
      <c r="GO436" s="19"/>
      <c r="GP436" s="19"/>
      <c r="GQ436" s="19"/>
      <c r="GR436" s="19"/>
      <c r="GS436" s="19"/>
      <c r="GT436" s="19"/>
      <c r="GU436" s="19"/>
      <c r="GV436" s="19"/>
      <c r="GW436" s="19"/>
      <c r="GX436" s="19"/>
      <c r="GY436" s="19"/>
      <c r="GZ436" s="19"/>
      <c r="HA436" s="19"/>
      <c r="HB436" s="19"/>
    </row>
    <row r="437" spans="1:210" x14ac:dyDescent="0.25">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c r="BE437" s="19"/>
      <c r="BF437" s="19"/>
      <c r="BG437" s="19"/>
      <c r="BH437" s="19"/>
      <c r="BI437" s="19"/>
      <c r="BJ437" s="19"/>
      <c r="BK437" s="19"/>
      <c r="BL437" s="19"/>
      <c r="BM437" s="19"/>
      <c r="BN437" s="19"/>
      <c r="BO437" s="19"/>
      <c r="BP437" s="19"/>
      <c r="BQ437" s="19"/>
      <c r="BR437" s="19"/>
      <c r="BS437" s="19"/>
      <c r="BT437" s="19"/>
      <c r="BU437" s="19"/>
      <c r="BV437" s="19"/>
      <c r="BW437" s="19"/>
      <c r="BX437" s="19"/>
      <c r="BY437" s="19"/>
      <c r="BZ437" s="19"/>
      <c r="CA437" s="19"/>
      <c r="CB437" s="19"/>
      <c r="CC437" s="19"/>
      <c r="CD437" s="19"/>
      <c r="CE437" s="19"/>
      <c r="CF437" s="19"/>
      <c r="CG437" s="19"/>
      <c r="CH437" s="19"/>
      <c r="CI437" s="19"/>
      <c r="CJ437" s="19"/>
      <c r="CK437" s="19"/>
      <c r="CL437" s="19"/>
      <c r="CM437" s="19"/>
      <c r="CN437" s="19"/>
      <c r="CO437" s="19"/>
      <c r="CP437" s="19"/>
      <c r="CQ437" s="19"/>
      <c r="CR437" s="19"/>
      <c r="CS437" s="19"/>
      <c r="CT437" s="19"/>
      <c r="CU437" s="19"/>
      <c r="CV437" s="19"/>
      <c r="CW437" s="19"/>
      <c r="CX437" s="19"/>
      <c r="CY437" s="19"/>
      <c r="CZ437" s="19"/>
      <c r="DA437" s="19"/>
      <c r="DB437" s="19"/>
      <c r="DC437" s="19"/>
      <c r="DD437" s="19"/>
      <c r="DE437" s="19"/>
      <c r="DF437" s="19"/>
      <c r="DG437" s="19"/>
      <c r="DH437" s="19"/>
      <c r="DI437" s="19"/>
      <c r="DJ437" s="19"/>
      <c r="DK437" s="19"/>
      <c r="DL437" s="19"/>
      <c r="DM437" s="19"/>
      <c r="DN437" s="19"/>
      <c r="DO437" s="19"/>
      <c r="DP437" s="19"/>
      <c r="DQ437" s="19"/>
      <c r="DR437" s="19"/>
      <c r="DS437" s="19"/>
      <c r="DT437" s="19"/>
      <c r="DU437" s="19"/>
      <c r="DV437" s="19"/>
      <c r="DW437" s="19"/>
      <c r="DX437" s="19"/>
      <c r="DY437" s="19"/>
      <c r="DZ437" s="19"/>
      <c r="EA437" s="19"/>
      <c r="EB437" s="19"/>
      <c r="EC437" s="19"/>
      <c r="ED437" s="19"/>
      <c r="EE437" s="19"/>
      <c r="EF437" s="19"/>
      <c r="EG437" s="19"/>
      <c r="EH437" s="19"/>
      <c r="EI437" s="19"/>
      <c r="EJ437" s="19"/>
      <c r="EK437" s="19"/>
      <c r="EL437" s="19"/>
      <c r="EM437" s="19"/>
      <c r="EN437" s="19"/>
      <c r="EO437" s="19"/>
      <c r="EP437" s="19"/>
      <c r="EQ437" s="19"/>
      <c r="ER437" s="19"/>
      <c r="ES437" s="19"/>
      <c r="ET437" s="19"/>
      <c r="EU437" s="19"/>
      <c r="EV437" s="19"/>
      <c r="EW437" s="19"/>
      <c r="EX437" s="19"/>
      <c r="EY437" s="19"/>
      <c r="EZ437" s="19"/>
      <c r="FA437" s="19"/>
      <c r="FB437" s="19"/>
      <c r="FC437" s="19"/>
      <c r="FD437" s="19"/>
      <c r="FE437" s="19"/>
      <c r="FF437" s="19"/>
      <c r="FG437" s="19"/>
      <c r="FH437" s="19"/>
      <c r="FI437" s="19"/>
      <c r="FJ437" s="19"/>
      <c r="FK437" s="19"/>
      <c r="FL437" s="19"/>
      <c r="FM437" s="19"/>
      <c r="FN437" s="19"/>
      <c r="FO437" s="19"/>
      <c r="FP437" s="19"/>
      <c r="FQ437" s="19"/>
      <c r="FR437" s="19"/>
      <c r="FS437" s="19"/>
      <c r="FT437" s="19"/>
      <c r="FU437" s="19"/>
      <c r="FV437" s="19"/>
      <c r="FW437" s="19"/>
      <c r="FX437" s="19"/>
      <c r="FY437" s="19"/>
      <c r="FZ437" s="19"/>
      <c r="GA437" s="19"/>
      <c r="GB437" s="19"/>
      <c r="GC437" s="19"/>
      <c r="GD437" s="19"/>
      <c r="GE437" s="19"/>
      <c r="GF437" s="19"/>
      <c r="GG437" s="19"/>
      <c r="GH437" s="19"/>
      <c r="GI437" s="19"/>
      <c r="GJ437" s="19"/>
      <c r="GK437" s="19"/>
      <c r="GL437" s="19"/>
      <c r="GM437" s="19"/>
      <c r="GN437" s="19"/>
      <c r="GO437" s="19"/>
      <c r="GP437" s="19"/>
      <c r="GQ437" s="19"/>
      <c r="GR437" s="19"/>
      <c r="GS437" s="19"/>
      <c r="GT437" s="19"/>
      <c r="GU437" s="19"/>
      <c r="GV437" s="19"/>
      <c r="GW437" s="19"/>
      <c r="GX437" s="19"/>
      <c r="GY437" s="19"/>
      <c r="GZ437" s="19"/>
      <c r="HA437" s="19"/>
      <c r="HB437" s="19"/>
    </row>
    <row r="438" spans="1:210" x14ac:dyDescent="0.25">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c r="BE438" s="19"/>
      <c r="BF438" s="19"/>
      <c r="BG438" s="19"/>
      <c r="BH438" s="19"/>
      <c r="BI438" s="19"/>
      <c r="BJ438" s="19"/>
      <c r="BK438" s="19"/>
      <c r="BL438" s="19"/>
      <c r="BM438" s="19"/>
      <c r="BN438" s="19"/>
      <c r="BO438" s="19"/>
      <c r="BP438" s="19"/>
      <c r="BQ438" s="19"/>
      <c r="BR438" s="19"/>
      <c r="BS438" s="19"/>
      <c r="BT438" s="19"/>
      <c r="BU438" s="19"/>
      <c r="BV438" s="19"/>
      <c r="BW438" s="19"/>
      <c r="BX438" s="19"/>
      <c r="BY438" s="19"/>
      <c r="BZ438" s="19"/>
      <c r="CA438" s="19"/>
      <c r="CB438" s="19"/>
      <c r="CC438" s="19"/>
      <c r="CD438" s="19"/>
      <c r="CE438" s="19"/>
      <c r="CF438" s="19"/>
      <c r="CG438" s="19"/>
      <c r="CH438" s="19"/>
      <c r="CI438" s="19"/>
      <c r="CJ438" s="19"/>
      <c r="CK438" s="19"/>
      <c r="CL438" s="19"/>
      <c r="CM438" s="19"/>
      <c r="CN438" s="19"/>
      <c r="CO438" s="19"/>
      <c r="CP438" s="19"/>
      <c r="CQ438" s="19"/>
      <c r="CR438" s="19"/>
      <c r="CS438" s="19"/>
      <c r="CT438" s="19"/>
      <c r="CU438" s="19"/>
      <c r="CV438" s="19"/>
      <c r="CW438" s="19"/>
      <c r="CX438" s="19"/>
      <c r="CY438" s="19"/>
      <c r="CZ438" s="19"/>
      <c r="DA438" s="19"/>
      <c r="DB438" s="19"/>
      <c r="DC438" s="19"/>
      <c r="DD438" s="19"/>
      <c r="DE438" s="19"/>
      <c r="DF438" s="19"/>
      <c r="DG438" s="19"/>
      <c r="DH438" s="19"/>
      <c r="DI438" s="19"/>
      <c r="DJ438" s="19"/>
      <c r="DK438" s="19"/>
      <c r="DL438" s="19"/>
      <c r="DM438" s="19"/>
      <c r="DN438" s="19"/>
      <c r="DO438" s="19"/>
      <c r="DP438" s="19"/>
      <c r="DQ438" s="19"/>
      <c r="DR438" s="19"/>
      <c r="DS438" s="19"/>
      <c r="DT438" s="19"/>
      <c r="DU438" s="19"/>
      <c r="DV438" s="19"/>
      <c r="DW438" s="19"/>
      <c r="DX438" s="19"/>
      <c r="DY438" s="19"/>
      <c r="DZ438" s="19"/>
      <c r="EA438" s="19"/>
      <c r="EB438" s="19"/>
      <c r="EC438" s="19"/>
      <c r="ED438" s="19"/>
      <c r="EE438" s="19"/>
      <c r="EF438" s="19"/>
      <c r="EG438" s="19"/>
      <c r="EH438" s="19"/>
      <c r="EI438" s="19"/>
      <c r="EJ438" s="19"/>
      <c r="EK438" s="19"/>
      <c r="EL438" s="19"/>
      <c r="EM438" s="19"/>
      <c r="EN438" s="19"/>
      <c r="EO438" s="19"/>
      <c r="EP438" s="19"/>
      <c r="EQ438" s="19"/>
      <c r="ER438" s="19"/>
      <c r="ES438" s="19"/>
      <c r="ET438" s="19"/>
      <c r="EU438" s="19"/>
      <c r="EV438" s="19"/>
      <c r="EW438" s="19"/>
      <c r="EX438" s="19"/>
      <c r="EY438" s="19"/>
      <c r="EZ438" s="19"/>
      <c r="FA438" s="19"/>
      <c r="FB438" s="19"/>
      <c r="FC438" s="19"/>
      <c r="FD438" s="19"/>
      <c r="FE438" s="19"/>
      <c r="FF438" s="19"/>
      <c r="FG438" s="19"/>
      <c r="FH438" s="19"/>
      <c r="FI438" s="19"/>
      <c r="FJ438" s="19"/>
      <c r="FK438" s="19"/>
      <c r="FL438" s="19"/>
      <c r="FM438" s="19"/>
      <c r="FN438" s="19"/>
      <c r="FO438" s="19"/>
      <c r="FP438" s="19"/>
      <c r="FQ438" s="19"/>
      <c r="FR438" s="19"/>
      <c r="FS438" s="19"/>
      <c r="FT438" s="19"/>
      <c r="FU438" s="19"/>
      <c r="FV438" s="19"/>
      <c r="FW438" s="19"/>
      <c r="FX438" s="19"/>
      <c r="FY438" s="19"/>
      <c r="FZ438" s="19"/>
      <c r="GA438" s="19"/>
      <c r="GB438" s="19"/>
      <c r="GC438" s="19"/>
      <c r="GD438" s="19"/>
      <c r="GE438" s="19"/>
      <c r="GF438" s="19"/>
      <c r="GG438" s="19"/>
      <c r="GH438" s="19"/>
      <c r="GI438" s="19"/>
      <c r="GJ438" s="19"/>
      <c r="GK438" s="19"/>
      <c r="GL438" s="19"/>
      <c r="GM438" s="19"/>
      <c r="GN438" s="19"/>
      <c r="GO438" s="19"/>
      <c r="GP438" s="19"/>
      <c r="GQ438" s="19"/>
      <c r="GR438" s="19"/>
      <c r="GS438" s="19"/>
      <c r="GT438" s="19"/>
      <c r="GU438" s="19"/>
      <c r="GV438" s="19"/>
      <c r="GW438" s="19"/>
      <c r="GX438" s="19"/>
      <c r="GY438" s="19"/>
      <c r="GZ438" s="19"/>
      <c r="HA438" s="19"/>
      <c r="HB438" s="19"/>
    </row>
    <row r="439" spans="1:210" x14ac:dyDescent="0.25">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c r="BE439" s="19"/>
      <c r="BF439" s="19"/>
      <c r="BG439" s="19"/>
      <c r="BH439" s="19"/>
      <c r="BI439" s="19"/>
      <c r="BJ439" s="19"/>
      <c r="BK439" s="19"/>
      <c r="BL439" s="19"/>
      <c r="BM439" s="19"/>
      <c r="BN439" s="19"/>
      <c r="BO439" s="19"/>
      <c r="BP439" s="19"/>
      <c r="BQ439" s="19"/>
      <c r="BR439" s="19"/>
      <c r="BS439" s="19"/>
      <c r="BT439" s="19"/>
      <c r="BU439" s="19"/>
      <c r="BV439" s="19"/>
      <c r="BW439" s="19"/>
      <c r="BX439" s="19"/>
      <c r="BY439" s="19"/>
      <c r="BZ439" s="19"/>
      <c r="CA439" s="19"/>
      <c r="CB439" s="19"/>
      <c r="CC439" s="19"/>
      <c r="CD439" s="19"/>
      <c r="CE439" s="19"/>
      <c r="CF439" s="19"/>
      <c r="CG439" s="19"/>
      <c r="CH439" s="19"/>
      <c r="CI439" s="19"/>
      <c r="CJ439" s="19"/>
      <c r="CK439" s="19"/>
      <c r="CL439" s="19"/>
      <c r="CM439" s="19"/>
      <c r="CN439" s="19"/>
      <c r="CO439" s="19"/>
      <c r="CP439" s="19"/>
      <c r="CQ439" s="19"/>
      <c r="CR439" s="19"/>
      <c r="CS439" s="19"/>
      <c r="CT439" s="19"/>
      <c r="CU439" s="19"/>
      <c r="CV439" s="19"/>
      <c r="CW439" s="19"/>
      <c r="CX439" s="19"/>
      <c r="CY439" s="19"/>
      <c r="CZ439" s="19"/>
      <c r="DA439" s="19"/>
      <c r="DB439" s="19"/>
      <c r="DC439" s="19"/>
      <c r="DD439" s="19"/>
      <c r="DE439" s="19"/>
      <c r="DF439" s="19"/>
      <c r="DG439" s="19"/>
      <c r="DH439" s="19"/>
      <c r="DI439" s="19"/>
      <c r="DJ439" s="19"/>
      <c r="DK439" s="19"/>
      <c r="DL439" s="19"/>
      <c r="DM439" s="19"/>
      <c r="DN439" s="19"/>
      <c r="DO439" s="19"/>
      <c r="DP439" s="19"/>
      <c r="DQ439" s="19"/>
      <c r="DR439" s="19"/>
      <c r="DS439" s="19"/>
      <c r="DT439" s="19"/>
      <c r="DU439" s="19"/>
      <c r="DV439" s="19"/>
      <c r="DW439" s="19"/>
      <c r="DX439" s="19"/>
      <c r="DY439" s="19"/>
      <c r="DZ439" s="19"/>
      <c r="EA439" s="19"/>
      <c r="EB439" s="19"/>
      <c r="EC439" s="19"/>
      <c r="ED439" s="19"/>
      <c r="EE439" s="19"/>
      <c r="EF439" s="19"/>
      <c r="EG439" s="19"/>
      <c r="EH439" s="19"/>
      <c r="EI439" s="19"/>
      <c r="EJ439" s="19"/>
      <c r="EK439" s="19"/>
      <c r="EL439" s="19"/>
      <c r="EM439" s="19"/>
      <c r="EN439" s="19"/>
      <c r="EO439" s="19"/>
      <c r="EP439" s="19"/>
      <c r="EQ439" s="19"/>
      <c r="ER439" s="19"/>
      <c r="ES439" s="19"/>
      <c r="ET439" s="19"/>
      <c r="EU439" s="19"/>
      <c r="EV439" s="19"/>
      <c r="EW439" s="19"/>
      <c r="EX439" s="19"/>
      <c r="EY439" s="19"/>
      <c r="EZ439" s="19"/>
      <c r="FA439" s="19"/>
      <c r="FB439" s="19"/>
      <c r="FC439" s="19"/>
      <c r="FD439" s="19"/>
      <c r="FE439" s="19"/>
      <c r="FF439" s="19"/>
      <c r="FG439" s="19"/>
      <c r="FH439" s="19"/>
      <c r="FI439" s="19"/>
      <c r="FJ439" s="19"/>
      <c r="FK439" s="19"/>
      <c r="FL439" s="19"/>
      <c r="FM439" s="19"/>
      <c r="FN439" s="19"/>
      <c r="FO439" s="19"/>
      <c r="FP439" s="19"/>
      <c r="FQ439" s="19"/>
      <c r="FR439" s="19"/>
      <c r="FS439" s="19"/>
      <c r="FT439" s="19"/>
      <c r="FU439" s="19"/>
      <c r="FV439" s="19"/>
      <c r="FW439" s="19"/>
      <c r="FX439" s="19"/>
      <c r="FY439" s="19"/>
      <c r="FZ439" s="19"/>
      <c r="GA439" s="19"/>
      <c r="GB439" s="19"/>
      <c r="GC439" s="19"/>
      <c r="GD439" s="19"/>
      <c r="GE439" s="19"/>
      <c r="GF439" s="19"/>
      <c r="GG439" s="19"/>
      <c r="GH439" s="19"/>
      <c r="GI439" s="19"/>
      <c r="GJ439" s="19"/>
      <c r="GK439" s="19"/>
      <c r="GL439" s="19"/>
      <c r="GM439" s="19"/>
      <c r="GN439" s="19"/>
      <c r="GO439" s="19"/>
      <c r="GP439" s="19"/>
      <c r="GQ439" s="19"/>
      <c r="GR439" s="19"/>
      <c r="GS439" s="19"/>
      <c r="GT439" s="19"/>
      <c r="GU439" s="19"/>
      <c r="GV439" s="19"/>
      <c r="GW439" s="19"/>
      <c r="GX439" s="19"/>
      <c r="GY439" s="19"/>
      <c r="GZ439" s="19"/>
      <c r="HA439" s="19"/>
      <c r="HB439" s="19"/>
    </row>
    <row r="440" spans="1:210" x14ac:dyDescent="0.25">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c r="BE440" s="19"/>
      <c r="BF440" s="19"/>
      <c r="BG440" s="19"/>
      <c r="BH440" s="19"/>
      <c r="BI440" s="19"/>
      <c r="BJ440" s="19"/>
      <c r="BK440" s="19"/>
      <c r="BL440" s="19"/>
      <c r="BM440" s="19"/>
      <c r="BN440" s="19"/>
      <c r="BO440" s="19"/>
      <c r="BP440" s="19"/>
      <c r="BQ440" s="19"/>
      <c r="BR440" s="19"/>
      <c r="BS440" s="19"/>
      <c r="BT440" s="19"/>
      <c r="BU440" s="19"/>
      <c r="BV440" s="19"/>
      <c r="BW440" s="19"/>
      <c r="BX440" s="19"/>
      <c r="BY440" s="19"/>
      <c r="BZ440" s="19"/>
      <c r="CA440" s="19"/>
      <c r="CB440" s="19"/>
      <c r="CC440" s="19"/>
      <c r="CD440" s="19"/>
      <c r="CE440" s="19"/>
      <c r="CF440" s="19"/>
      <c r="CG440" s="19"/>
      <c r="CH440" s="19"/>
      <c r="CI440" s="19"/>
      <c r="CJ440" s="19"/>
      <c r="CK440" s="19"/>
      <c r="CL440" s="19"/>
      <c r="CM440" s="19"/>
      <c r="CN440" s="19"/>
      <c r="CO440" s="19"/>
      <c r="CP440" s="19"/>
      <c r="CQ440" s="19"/>
      <c r="CR440" s="19"/>
      <c r="CS440" s="19"/>
      <c r="CT440" s="19"/>
      <c r="CU440" s="19"/>
      <c r="CV440" s="19"/>
      <c r="CW440" s="19"/>
      <c r="CX440" s="19"/>
      <c r="CY440" s="19"/>
      <c r="CZ440" s="19"/>
      <c r="DA440" s="19"/>
      <c r="DB440" s="19"/>
      <c r="DC440" s="19"/>
      <c r="DD440" s="19"/>
      <c r="DE440" s="19"/>
      <c r="DF440" s="19"/>
      <c r="DG440" s="19"/>
      <c r="DH440" s="19"/>
      <c r="DI440" s="19"/>
      <c r="DJ440" s="19"/>
      <c r="DK440" s="19"/>
      <c r="DL440" s="19"/>
      <c r="DM440" s="19"/>
      <c r="DN440" s="19"/>
      <c r="DO440" s="19"/>
      <c r="DP440" s="19"/>
      <c r="DQ440" s="19"/>
      <c r="DR440" s="19"/>
      <c r="DS440" s="19"/>
      <c r="DT440" s="19"/>
      <c r="DU440" s="19"/>
      <c r="DV440" s="19"/>
      <c r="DW440" s="19"/>
      <c r="DX440" s="19"/>
      <c r="DY440" s="19"/>
      <c r="DZ440" s="19"/>
      <c r="EA440" s="19"/>
      <c r="EB440" s="19"/>
      <c r="EC440" s="19"/>
      <c r="ED440" s="19"/>
      <c r="EE440" s="19"/>
      <c r="EF440" s="19"/>
      <c r="EG440" s="19"/>
      <c r="EH440" s="19"/>
      <c r="EI440" s="19"/>
      <c r="EJ440" s="19"/>
      <c r="EK440" s="19"/>
      <c r="EL440" s="19"/>
      <c r="EM440" s="19"/>
      <c r="EN440" s="19"/>
      <c r="EO440" s="19"/>
      <c r="EP440" s="19"/>
      <c r="EQ440" s="19"/>
      <c r="ER440" s="19"/>
      <c r="ES440" s="19"/>
      <c r="ET440" s="19"/>
      <c r="EU440" s="19"/>
      <c r="EV440" s="19"/>
      <c r="EW440" s="19"/>
      <c r="EX440" s="19"/>
      <c r="EY440" s="19"/>
      <c r="EZ440" s="19"/>
      <c r="FA440" s="19"/>
      <c r="FB440" s="19"/>
      <c r="FC440" s="19"/>
      <c r="FD440" s="19"/>
      <c r="FE440" s="19"/>
      <c r="FF440" s="19"/>
      <c r="FG440" s="19"/>
      <c r="FH440" s="19"/>
      <c r="FI440" s="19"/>
      <c r="FJ440" s="19"/>
      <c r="FK440" s="19"/>
      <c r="FL440" s="19"/>
      <c r="FM440" s="19"/>
      <c r="FN440" s="19"/>
      <c r="FO440" s="19"/>
      <c r="FP440" s="19"/>
      <c r="FQ440" s="19"/>
      <c r="FR440" s="19"/>
      <c r="FS440" s="19"/>
      <c r="FT440" s="19"/>
      <c r="FU440" s="19"/>
      <c r="FV440" s="19"/>
      <c r="FW440" s="19"/>
      <c r="FX440" s="19"/>
      <c r="FY440" s="19"/>
      <c r="FZ440" s="19"/>
      <c r="GA440" s="19"/>
      <c r="GB440" s="19"/>
      <c r="GC440" s="19"/>
      <c r="GD440" s="19"/>
      <c r="GE440" s="19"/>
      <c r="GF440" s="19"/>
      <c r="GG440" s="19"/>
      <c r="GH440" s="19"/>
      <c r="GI440" s="19"/>
      <c r="GJ440" s="19"/>
      <c r="GK440" s="19"/>
      <c r="GL440" s="19"/>
      <c r="GM440" s="19"/>
      <c r="GN440" s="19"/>
      <c r="GO440" s="19"/>
      <c r="GP440" s="19"/>
      <c r="GQ440" s="19"/>
      <c r="GR440" s="19"/>
      <c r="GS440" s="19"/>
      <c r="GT440" s="19"/>
      <c r="GU440" s="19"/>
      <c r="GV440" s="19"/>
      <c r="GW440" s="19"/>
      <c r="GX440" s="19"/>
      <c r="GY440" s="19"/>
      <c r="GZ440" s="19"/>
      <c r="HA440" s="19"/>
      <c r="HB440" s="19"/>
    </row>
    <row r="441" spans="1:210" x14ac:dyDescent="0.25">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c r="BE441" s="19"/>
      <c r="BF441" s="19"/>
      <c r="BG441" s="19"/>
      <c r="BH441" s="19"/>
      <c r="BI441" s="19"/>
      <c r="BJ441" s="19"/>
      <c r="BK441" s="19"/>
      <c r="BL441" s="19"/>
      <c r="BM441" s="19"/>
      <c r="BN441" s="19"/>
      <c r="BO441" s="19"/>
      <c r="BP441" s="19"/>
      <c r="BQ441" s="19"/>
      <c r="BR441" s="19"/>
      <c r="BS441" s="19"/>
      <c r="BT441" s="19"/>
      <c r="BU441" s="19"/>
      <c r="BV441" s="19"/>
      <c r="BW441" s="19"/>
      <c r="BX441" s="19"/>
      <c r="BY441" s="19"/>
      <c r="BZ441" s="19"/>
      <c r="CA441" s="19"/>
      <c r="CB441" s="19"/>
      <c r="CC441" s="19"/>
      <c r="CD441" s="19"/>
      <c r="CE441" s="19"/>
      <c r="CF441" s="19"/>
      <c r="CG441" s="19"/>
      <c r="CH441" s="19"/>
      <c r="CI441" s="19"/>
      <c r="CJ441" s="19"/>
      <c r="CK441" s="19"/>
      <c r="CL441" s="19"/>
      <c r="CM441" s="19"/>
      <c r="CN441" s="19"/>
      <c r="CO441" s="19"/>
      <c r="CP441" s="19"/>
      <c r="CQ441" s="19"/>
      <c r="CR441" s="19"/>
      <c r="CS441" s="19"/>
      <c r="CT441" s="19"/>
      <c r="CU441" s="19"/>
      <c r="CV441" s="19"/>
      <c r="CW441" s="19"/>
      <c r="CX441" s="19"/>
      <c r="CY441" s="19"/>
      <c r="CZ441" s="19"/>
      <c r="DA441" s="19"/>
      <c r="DB441" s="19"/>
      <c r="DC441" s="19"/>
      <c r="DD441" s="19"/>
      <c r="DE441" s="19"/>
      <c r="DF441" s="19"/>
      <c r="DG441" s="19"/>
      <c r="DH441" s="19"/>
      <c r="DI441" s="19"/>
      <c r="DJ441" s="19"/>
      <c r="DK441" s="19"/>
      <c r="DL441" s="19"/>
      <c r="DM441" s="19"/>
      <c r="DN441" s="19"/>
      <c r="DO441" s="19"/>
      <c r="DP441" s="19"/>
      <c r="DQ441" s="19"/>
      <c r="DR441" s="19"/>
      <c r="DS441" s="19"/>
      <c r="DT441" s="19"/>
      <c r="DU441" s="19"/>
      <c r="DV441" s="19"/>
      <c r="DW441" s="19"/>
      <c r="DX441" s="19"/>
      <c r="DY441" s="19"/>
      <c r="DZ441" s="19"/>
      <c r="EA441" s="19"/>
      <c r="EB441" s="19"/>
      <c r="EC441" s="19"/>
      <c r="ED441" s="19"/>
      <c r="EE441" s="19"/>
      <c r="EF441" s="19"/>
      <c r="EG441" s="19"/>
      <c r="EH441" s="19"/>
      <c r="EI441" s="19"/>
      <c r="EJ441" s="19"/>
      <c r="EK441" s="19"/>
      <c r="EL441" s="19"/>
      <c r="EM441" s="19"/>
      <c r="EN441" s="19"/>
      <c r="EO441" s="19"/>
      <c r="EP441" s="19"/>
      <c r="EQ441" s="19"/>
      <c r="ER441" s="19"/>
      <c r="ES441" s="19"/>
      <c r="ET441" s="19"/>
      <c r="EU441" s="19"/>
      <c r="EV441" s="19"/>
      <c r="EW441" s="19"/>
      <c r="EX441" s="19"/>
      <c r="EY441" s="19"/>
      <c r="EZ441" s="19"/>
      <c r="FA441" s="19"/>
      <c r="FB441" s="19"/>
      <c r="FC441" s="19"/>
      <c r="FD441" s="19"/>
      <c r="FE441" s="19"/>
      <c r="FF441" s="19"/>
      <c r="FG441" s="19"/>
      <c r="FH441" s="19"/>
      <c r="FI441" s="19"/>
      <c r="FJ441" s="19"/>
      <c r="FK441" s="19"/>
      <c r="FL441" s="19"/>
      <c r="FM441" s="19"/>
      <c r="FN441" s="19"/>
      <c r="FO441" s="19"/>
      <c r="FP441" s="19"/>
      <c r="FQ441" s="19"/>
      <c r="FR441" s="19"/>
      <c r="FS441" s="19"/>
      <c r="FT441" s="19"/>
      <c r="FU441" s="19"/>
      <c r="FV441" s="19"/>
      <c r="FW441" s="19"/>
      <c r="FX441" s="19"/>
      <c r="FY441" s="19"/>
      <c r="FZ441" s="19"/>
      <c r="GA441" s="19"/>
      <c r="GB441" s="19"/>
      <c r="GC441" s="19"/>
      <c r="GD441" s="19"/>
      <c r="GE441" s="19"/>
      <c r="GF441" s="19"/>
      <c r="GG441" s="19"/>
      <c r="GH441" s="19"/>
      <c r="GI441" s="19"/>
      <c r="GJ441" s="19"/>
      <c r="GK441" s="19"/>
      <c r="GL441" s="19"/>
      <c r="GM441" s="19"/>
      <c r="GN441" s="19"/>
      <c r="GO441" s="19"/>
      <c r="GP441" s="19"/>
      <c r="GQ441" s="19"/>
      <c r="GR441" s="19"/>
      <c r="GS441" s="19"/>
      <c r="GT441" s="19"/>
      <c r="GU441" s="19"/>
      <c r="GV441" s="19"/>
      <c r="GW441" s="19"/>
      <c r="GX441" s="19"/>
      <c r="GY441" s="19"/>
      <c r="GZ441" s="19"/>
      <c r="HA441" s="19"/>
      <c r="HB441" s="19"/>
    </row>
    <row r="442" spans="1:210" x14ac:dyDescent="0.25">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c r="BE442" s="19"/>
      <c r="BF442" s="19"/>
      <c r="BG442" s="19"/>
      <c r="BH442" s="19"/>
      <c r="BI442" s="19"/>
      <c r="BJ442" s="19"/>
      <c r="BK442" s="19"/>
      <c r="BL442" s="19"/>
      <c r="BM442" s="19"/>
      <c r="BN442" s="19"/>
      <c r="BO442" s="19"/>
      <c r="BP442" s="19"/>
      <c r="BQ442" s="19"/>
      <c r="BR442" s="19"/>
      <c r="BS442" s="19"/>
      <c r="BT442" s="19"/>
      <c r="BU442" s="19"/>
      <c r="BV442" s="19"/>
      <c r="BW442" s="19"/>
      <c r="BX442" s="19"/>
      <c r="BY442" s="19"/>
      <c r="BZ442" s="19"/>
      <c r="CA442" s="19"/>
      <c r="CB442" s="19"/>
      <c r="CC442" s="19"/>
      <c r="CD442" s="19"/>
      <c r="CE442" s="19"/>
      <c r="CF442" s="19"/>
      <c r="CG442" s="19"/>
      <c r="CH442" s="19"/>
      <c r="CI442" s="19"/>
      <c r="CJ442" s="19"/>
      <c r="CK442" s="19"/>
      <c r="CL442" s="19"/>
      <c r="CM442" s="19"/>
      <c r="CN442" s="19"/>
      <c r="CO442" s="19"/>
      <c r="CP442" s="19"/>
      <c r="CQ442" s="19"/>
      <c r="CR442" s="19"/>
      <c r="CS442" s="19"/>
      <c r="CT442" s="19"/>
      <c r="CU442" s="19"/>
      <c r="CV442" s="19"/>
      <c r="CW442" s="19"/>
      <c r="CX442" s="19"/>
      <c r="CY442" s="19"/>
      <c r="CZ442" s="19"/>
      <c r="DA442" s="19"/>
      <c r="DB442" s="19"/>
      <c r="DC442" s="19"/>
      <c r="DD442" s="19"/>
      <c r="DE442" s="19"/>
      <c r="DF442" s="19"/>
      <c r="DG442" s="19"/>
      <c r="DH442" s="19"/>
      <c r="DI442" s="19"/>
      <c r="DJ442" s="19"/>
      <c r="DK442" s="19"/>
      <c r="DL442" s="19"/>
      <c r="DM442" s="19"/>
      <c r="DN442" s="19"/>
      <c r="DO442" s="19"/>
      <c r="DP442" s="19"/>
      <c r="DQ442" s="19"/>
      <c r="DR442" s="19"/>
      <c r="DS442" s="19"/>
      <c r="DT442" s="19"/>
      <c r="DU442" s="19"/>
      <c r="DV442" s="19"/>
      <c r="DW442" s="19"/>
      <c r="DX442" s="19"/>
      <c r="DY442" s="19"/>
      <c r="DZ442" s="19"/>
      <c r="EA442" s="19"/>
      <c r="EB442" s="19"/>
      <c r="EC442" s="19"/>
      <c r="ED442" s="19"/>
      <c r="EE442" s="19"/>
      <c r="EF442" s="19"/>
      <c r="EG442" s="19"/>
      <c r="EH442" s="19"/>
      <c r="EI442" s="19"/>
      <c r="EJ442" s="19"/>
      <c r="EK442" s="19"/>
      <c r="EL442" s="19"/>
      <c r="EM442" s="19"/>
      <c r="EN442" s="19"/>
      <c r="EO442" s="19"/>
      <c r="EP442" s="19"/>
      <c r="EQ442" s="19"/>
      <c r="ER442" s="19"/>
      <c r="ES442" s="19"/>
      <c r="ET442" s="19"/>
      <c r="EU442" s="19"/>
      <c r="EV442" s="19"/>
      <c r="EW442" s="19"/>
      <c r="EX442" s="19"/>
      <c r="EY442" s="19"/>
      <c r="EZ442" s="19"/>
      <c r="FA442" s="19"/>
      <c r="FB442" s="19"/>
      <c r="FC442" s="19"/>
      <c r="FD442" s="19"/>
      <c r="FE442" s="19"/>
      <c r="FF442" s="19"/>
      <c r="FG442" s="19"/>
      <c r="FH442" s="19"/>
      <c r="FI442" s="19"/>
      <c r="FJ442" s="19"/>
      <c r="FK442" s="19"/>
      <c r="FL442" s="19"/>
      <c r="FM442" s="19"/>
      <c r="FN442" s="19"/>
      <c r="FO442" s="19"/>
      <c r="FP442" s="19"/>
      <c r="FQ442" s="19"/>
      <c r="FR442" s="19"/>
      <c r="FS442" s="19"/>
      <c r="FT442" s="19"/>
      <c r="FU442" s="19"/>
      <c r="FV442" s="19"/>
      <c r="FW442" s="19"/>
      <c r="FX442" s="19"/>
      <c r="FY442" s="19"/>
      <c r="FZ442" s="19"/>
      <c r="GA442" s="19"/>
      <c r="GB442" s="19"/>
      <c r="GC442" s="19"/>
      <c r="GD442" s="19"/>
      <c r="GE442" s="19"/>
      <c r="GF442" s="19"/>
      <c r="GG442" s="19"/>
      <c r="GH442" s="19"/>
      <c r="GI442" s="19"/>
      <c r="GJ442" s="19"/>
      <c r="GK442" s="19"/>
      <c r="GL442" s="19"/>
      <c r="GM442" s="19"/>
      <c r="GN442" s="19"/>
      <c r="GO442" s="19"/>
      <c r="GP442" s="19"/>
      <c r="GQ442" s="19"/>
      <c r="GR442" s="19"/>
      <c r="GS442" s="19"/>
      <c r="GT442" s="19"/>
      <c r="GU442" s="19"/>
      <c r="GV442" s="19"/>
      <c r="GW442" s="19"/>
      <c r="GX442" s="19"/>
      <c r="GY442" s="19"/>
      <c r="GZ442" s="19"/>
      <c r="HA442" s="19"/>
      <c r="HB442" s="19"/>
    </row>
    <row r="443" spans="1:210" x14ac:dyDescent="0.25">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c r="BE443" s="19"/>
      <c r="BF443" s="19"/>
      <c r="BG443" s="19"/>
      <c r="BH443" s="19"/>
      <c r="BI443" s="19"/>
      <c r="BJ443" s="19"/>
      <c r="BK443" s="19"/>
      <c r="BL443" s="19"/>
      <c r="BM443" s="19"/>
      <c r="BN443" s="19"/>
      <c r="BO443" s="19"/>
      <c r="BP443" s="19"/>
      <c r="BQ443" s="19"/>
      <c r="BR443" s="19"/>
      <c r="BS443" s="19"/>
      <c r="BT443" s="19"/>
      <c r="BU443" s="19"/>
      <c r="BV443" s="19"/>
      <c r="BW443" s="19"/>
      <c r="BX443" s="19"/>
      <c r="BY443" s="19"/>
      <c r="BZ443" s="19"/>
      <c r="CA443" s="19"/>
      <c r="CB443" s="19"/>
      <c r="CC443" s="19"/>
      <c r="CD443" s="19"/>
      <c r="CE443" s="19"/>
      <c r="CF443" s="19"/>
      <c r="CG443" s="19"/>
      <c r="CH443" s="19"/>
      <c r="CI443" s="19"/>
      <c r="CJ443" s="19"/>
      <c r="CK443" s="19"/>
      <c r="CL443" s="19"/>
      <c r="CM443" s="19"/>
      <c r="CN443" s="19"/>
      <c r="CO443" s="19"/>
      <c r="CP443" s="19"/>
      <c r="CQ443" s="19"/>
      <c r="CR443" s="19"/>
      <c r="CS443" s="19"/>
      <c r="CT443" s="19"/>
      <c r="CU443" s="19"/>
      <c r="CV443" s="19"/>
      <c r="CW443" s="19"/>
      <c r="CX443" s="19"/>
      <c r="CY443" s="19"/>
      <c r="CZ443" s="19"/>
      <c r="DA443" s="19"/>
      <c r="DB443" s="19"/>
      <c r="DC443" s="19"/>
      <c r="DD443" s="19"/>
      <c r="DE443" s="19"/>
      <c r="DF443" s="19"/>
      <c r="DG443" s="19"/>
      <c r="DH443" s="19"/>
      <c r="DI443" s="19"/>
      <c r="DJ443" s="19"/>
      <c r="DK443" s="19"/>
      <c r="DL443" s="19"/>
      <c r="DM443" s="19"/>
      <c r="DN443" s="19"/>
      <c r="DO443" s="19"/>
      <c r="DP443" s="19"/>
      <c r="DQ443" s="19"/>
      <c r="DR443" s="19"/>
      <c r="DS443" s="19"/>
      <c r="DT443" s="19"/>
      <c r="DU443" s="19"/>
      <c r="DV443" s="19"/>
      <c r="DW443" s="19"/>
      <c r="DX443" s="19"/>
      <c r="DY443" s="19"/>
      <c r="DZ443" s="19"/>
      <c r="EA443" s="19"/>
      <c r="EB443" s="19"/>
      <c r="EC443" s="19"/>
      <c r="ED443" s="19"/>
      <c r="EE443" s="19"/>
      <c r="EF443" s="19"/>
      <c r="EG443" s="19"/>
      <c r="EH443" s="19"/>
      <c r="EI443" s="19"/>
      <c r="EJ443" s="19"/>
      <c r="EK443" s="19"/>
      <c r="EL443" s="19"/>
      <c r="EM443" s="19"/>
      <c r="EN443" s="19"/>
      <c r="EO443" s="19"/>
      <c r="EP443" s="19"/>
      <c r="EQ443" s="19"/>
      <c r="ER443" s="19"/>
      <c r="ES443" s="19"/>
      <c r="ET443" s="19"/>
      <c r="EU443" s="19"/>
      <c r="EV443" s="19"/>
      <c r="EW443" s="19"/>
      <c r="EX443" s="19"/>
      <c r="EY443" s="19"/>
      <c r="EZ443" s="19"/>
      <c r="FA443" s="19"/>
      <c r="FB443" s="19"/>
      <c r="FC443" s="19"/>
      <c r="FD443" s="19"/>
      <c r="FE443" s="19"/>
      <c r="FF443" s="19"/>
      <c r="FG443" s="19"/>
      <c r="FH443" s="19"/>
      <c r="FI443" s="19"/>
      <c r="FJ443" s="19"/>
      <c r="FK443" s="19"/>
      <c r="FL443" s="19"/>
      <c r="FM443" s="19"/>
      <c r="FN443" s="19"/>
      <c r="FO443" s="19"/>
      <c r="FP443" s="19"/>
      <c r="FQ443" s="19"/>
      <c r="FR443" s="19"/>
      <c r="FS443" s="19"/>
      <c r="FT443" s="19"/>
      <c r="FU443" s="19"/>
      <c r="FV443" s="19"/>
      <c r="FW443" s="19"/>
      <c r="FX443" s="19"/>
      <c r="FY443" s="19"/>
      <c r="FZ443" s="19"/>
      <c r="GA443" s="19"/>
      <c r="GB443" s="19"/>
      <c r="GC443" s="19"/>
      <c r="GD443" s="19"/>
      <c r="GE443" s="19"/>
      <c r="GF443" s="19"/>
      <c r="GG443" s="19"/>
      <c r="GH443" s="19"/>
      <c r="GI443" s="19"/>
      <c r="GJ443" s="19"/>
      <c r="GK443" s="19"/>
      <c r="GL443" s="19"/>
      <c r="GM443" s="19"/>
      <c r="GN443" s="19"/>
      <c r="GO443" s="19"/>
      <c r="GP443" s="19"/>
      <c r="GQ443" s="19"/>
      <c r="GR443" s="19"/>
      <c r="GS443" s="19"/>
      <c r="GT443" s="19"/>
      <c r="GU443" s="19"/>
      <c r="GV443" s="19"/>
      <c r="GW443" s="19"/>
      <c r="GX443" s="19"/>
      <c r="GY443" s="19"/>
      <c r="GZ443" s="19"/>
      <c r="HA443" s="19"/>
      <c r="HB443" s="19"/>
    </row>
    <row r="444" spans="1:210" x14ac:dyDescent="0.25">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c r="BE444" s="19"/>
      <c r="BF444" s="19"/>
      <c r="BG444" s="19"/>
      <c r="BH444" s="19"/>
      <c r="BI444" s="19"/>
      <c r="BJ444" s="19"/>
      <c r="BK444" s="19"/>
      <c r="BL444" s="19"/>
      <c r="BM444" s="19"/>
      <c r="BN444" s="19"/>
      <c r="BO444" s="19"/>
      <c r="BP444" s="19"/>
      <c r="BQ444" s="19"/>
      <c r="BR444" s="19"/>
      <c r="BS444" s="19"/>
      <c r="BT444" s="19"/>
      <c r="BU444" s="19"/>
      <c r="BV444" s="19"/>
      <c r="BW444" s="19"/>
      <c r="BX444" s="19"/>
      <c r="BY444" s="19"/>
      <c r="BZ444" s="19"/>
      <c r="CA444" s="19"/>
      <c r="CB444" s="19"/>
      <c r="CC444" s="19"/>
      <c r="CD444" s="19"/>
      <c r="CE444" s="19"/>
      <c r="CF444" s="19"/>
      <c r="CG444" s="19"/>
      <c r="CH444" s="19"/>
      <c r="CI444" s="19"/>
      <c r="CJ444" s="19"/>
      <c r="CK444" s="19"/>
      <c r="CL444" s="19"/>
      <c r="CM444" s="19"/>
      <c r="CN444" s="19"/>
      <c r="CO444" s="19"/>
      <c r="CP444" s="19"/>
      <c r="CQ444" s="19"/>
      <c r="CR444" s="19"/>
      <c r="CS444" s="19"/>
      <c r="CT444" s="19"/>
      <c r="CU444" s="19"/>
      <c r="CV444" s="19"/>
      <c r="CW444" s="19"/>
      <c r="CX444" s="19"/>
      <c r="CY444" s="19"/>
      <c r="CZ444" s="19"/>
      <c r="DA444" s="19"/>
      <c r="DB444" s="19"/>
      <c r="DC444" s="19"/>
      <c r="DD444" s="19"/>
      <c r="DE444" s="19"/>
      <c r="DF444" s="19"/>
      <c r="DG444" s="19"/>
      <c r="DH444" s="19"/>
      <c r="DI444" s="19"/>
      <c r="DJ444" s="19"/>
      <c r="DK444" s="19"/>
      <c r="DL444" s="19"/>
      <c r="DM444" s="19"/>
      <c r="DN444" s="19"/>
      <c r="DO444" s="19"/>
      <c r="DP444" s="19"/>
      <c r="DQ444" s="19"/>
      <c r="DR444" s="19"/>
      <c r="DS444" s="19"/>
      <c r="DT444" s="19"/>
      <c r="DU444" s="19"/>
      <c r="DV444" s="19"/>
      <c r="DW444" s="19"/>
      <c r="DX444" s="19"/>
      <c r="DY444" s="19"/>
      <c r="DZ444" s="19"/>
      <c r="EA444" s="19"/>
      <c r="EB444" s="19"/>
      <c r="EC444" s="19"/>
      <c r="ED444" s="19"/>
      <c r="EE444" s="19"/>
      <c r="EF444" s="19"/>
      <c r="EG444" s="19"/>
      <c r="EH444" s="19"/>
      <c r="EI444" s="19"/>
      <c r="EJ444" s="19"/>
      <c r="EK444" s="19"/>
      <c r="EL444" s="19"/>
      <c r="EM444" s="19"/>
      <c r="EN444" s="19"/>
      <c r="EO444" s="19"/>
      <c r="EP444" s="19"/>
      <c r="EQ444" s="19"/>
      <c r="ER444" s="19"/>
      <c r="ES444" s="19"/>
      <c r="ET444" s="19"/>
      <c r="EU444" s="19"/>
      <c r="EV444" s="19"/>
      <c r="EW444" s="19"/>
      <c r="EX444" s="19"/>
      <c r="EY444" s="19"/>
      <c r="EZ444" s="19"/>
      <c r="FA444" s="19"/>
      <c r="FB444" s="19"/>
      <c r="FC444" s="19"/>
      <c r="FD444" s="19"/>
      <c r="FE444" s="19"/>
      <c r="FF444" s="19"/>
      <c r="FG444" s="19"/>
      <c r="FH444" s="19"/>
      <c r="FI444" s="19"/>
      <c r="FJ444" s="19"/>
      <c r="FK444" s="19"/>
      <c r="FL444" s="19"/>
      <c r="FM444" s="19"/>
      <c r="FN444" s="19"/>
      <c r="FO444" s="19"/>
      <c r="FP444" s="19"/>
      <c r="FQ444" s="19"/>
      <c r="FR444" s="19"/>
      <c r="FS444" s="19"/>
      <c r="FT444" s="19"/>
      <c r="FU444" s="19"/>
      <c r="FV444" s="19"/>
      <c r="FW444" s="19"/>
      <c r="FX444" s="19"/>
      <c r="FY444" s="19"/>
      <c r="FZ444" s="19"/>
      <c r="GA444" s="19"/>
      <c r="GB444" s="19"/>
      <c r="GC444" s="19"/>
      <c r="GD444" s="19"/>
      <c r="GE444" s="19"/>
      <c r="GF444" s="19"/>
      <c r="GG444" s="19"/>
      <c r="GH444" s="19"/>
      <c r="GI444" s="19"/>
      <c r="GJ444" s="19"/>
      <c r="GK444" s="19"/>
      <c r="GL444" s="19"/>
      <c r="GM444" s="19"/>
      <c r="GN444" s="19"/>
      <c r="GO444" s="19"/>
      <c r="GP444" s="19"/>
      <c r="GQ444" s="19"/>
      <c r="GR444" s="19"/>
      <c r="GS444" s="19"/>
      <c r="GT444" s="19"/>
      <c r="GU444" s="19"/>
      <c r="GV444" s="19"/>
      <c r="GW444" s="19"/>
      <c r="GX444" s="19"/>
      <c r="GY444" s="19"/>
      <c r="GZ444" s="19"/>
      <c r="HA444" s="19"/>
      <c r="HB444" s="19"/>
    </row>
    <row r="445" spans="1:210" x14ac:dyDescent="0.25">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c r="BE445" s="19"/>
      <c r="BF445" s="19"/>
      <c r="BG445" s="19"/>
      <c r="BH445" s="19"/>
      <c r="BI445" s="19"/>
      <c r="BJ445" s="19"/>
      <c r="BK445" s="19"/>
      <c r="BL445" s="19"/>
      <c r="BM445" s="19"/>
      <c r="BN445" s="19"/>
      <c r="BO445" s="19"/>
      <c r="BP445" s="19"/>
      <c r="BQ445" s="19"/>
      <c r="BR445" s="19"/>
      <c r="BS445" s="19"/>
      <c r="BT445" s="19"/>
      <c r="BU445" s="19"/>
      <c r="BV445" s="19"/>
      <c r="BW445" s="19"/>
      <c r="BX445" s="19"/>
      <c r="BY445" s="19"/>
      <c r="BZ445" s="19"/>
      <c r="CA445" s="19"/>
      <c r="CB445" s="19"/>
      <c r="CC445" s="19"/>
      <c r="CD445" s="19"/>
      <c r="CE445" s="19"/>
      <c r="CF445" s="19"/>
      <c r="CG445" s="19"/>
      <c r="CH445" s="19"/>
      <c r="CI445" s="19"/>
      <c r="CJ445" s="19"/>
      <c r="CK445" s="19"/>
      <c r="CL445" s="19"/>
      <c r="CM445" s="19"/>
      <c r="CN445" s="19"/>
      <c r="CO445" s="19"/>
      <c r="CP445" s="19"/>
      <c r="CQ445" s="19"/>
      <c r="CR445" s="19"/>
      <c r="CS445" s="19"/>
      <c r="CT445" s="19"/>
      <c r="CU445" s="19"/>
      <c r="CV445" s="19"/>
      <c r="CW445" s="19"/>
      <c r="CX445" s="19"/>
      <c r="CY445" s="19"/>
      <c r="CZ445" s="19"/>
      <c r="DA445" s="19"/>
      <c r="DB445" s="19"/>
      <c r="DC445" s="19"/>
      <c r="DD445" s="19"/>
      <c r="DE445" s="19"/>
      <c r="DF445" s="19"/>
      <c r="DG445" s="19"/>
      <c r="DH445" s="19"/>
      <c r="DI445" s="19"/>
      <c r="DJ445" s="19"/>
      <c r="DK445" s="19"/>
      <c r="DL445" s="19"/>
      <c r="DM445" s="19"/>
      <c r="DN445" s="19"/>
      <c r="DO445" s="19"/>
      <c r="DP445" s="19"/>
      <c r="DQ445" s="19"/>
      <c r="DR445" s="19"/>
      <c r="DS445" s="19"/>
      <c r="DT445" s="19"/>
      <c r="DU445" s="19"/>
      <c r="DV445" s="19"/>
      <c r="DW445" s="19"/>
      <c r="DX445" s="19"/>
      <c r="DY445" s="19"/>
      <c r="DZ445" s="19"/>
      <c r="EA445" s="19"/>
      <c r="EB445" s="19"/>
      <c r="EC445" s="19"/>
      <c r="ED445" s="19"/>
      <c r="EE445" s="19"/>
      <c r="EF445" s="19"/>
      <c r="EG445" s="19"/>
      <c r="EH445" s="19"/>
      <c r="EI445" s="19"/>
      <c r="EJ445" s="19"/>
      <c r="EK445" s="19"/>
      <c r="EL445" s="19"/>
      <c r="EM445" s="19"/>
      <c r="EN445" s="19"/>
      <c r="EO445" s="19"/>
      <c r="EP445" s="19"/>
      <c r="EQ445" s="19"/>
      <c r="ER445" s="19"/>
      <c r="ES445" s="19"/>
      <c r="ET445" s="19"/>
      <c r="EU445" s="19"/>
      <c r="EV445" s="19"/>
      <c r="EW445" s="19"/>
      <c r="EX445" s="19"/>
      <c r="EY445" s="19"/>
      <c r="EZ445" s="19"/>
      <c r="FA445" s="19"/>
      <c r="FB445" s="19"/>
      <c r="FC445" s="19"/>
      <c r="FD445" s="19"/>
      <c r="FE445" s="19"/>
      <c r="FF445" s="19"/>
      <c r="FG445" s="19"/>
      <c r="FH445" s="19"/>
      <c r="FI445" s="19"/>
      <c r="FJ445" s="19"/>
      <c r="FK445" s="19"/>
      <c r="FL445" s="19"/>
      <c r="FM445" s="19"/>
      <c r="FN445" s="19"/>
      <c r="FO445" s="19"/>
      <c r="FP445" s="19"/>
      <c r="FQ445" s="19"/>
      <c r="FR445" s="19"/>
      <c r="FS445" s="19"/>
      <c r="FT445" s="19"/>
      <c r="FU445" s="19"/>
      <c r="FV445" s="19"/>
      <c r="FW445" s="19"/>
      <c r="FX445" s="19"/>
      <c r="FY445" s="19"/>
      <c r="FZ445" s="19"/>
      <c r="GA445" s="19"/>
      <c r="GB445" s="19"/>
      <c r="GC445" s="19"/>
      <c r="GD445" s="19"/>
      <c r="GE445" s="19"/>
      <c r="GF445" s="19"/>
      <c r="GG445" s="19"/>
      <c r="GH445" s="19"/>
      <c r="GI445" s="19"/>
      <c r="GJ445" s="19"/>
      <c r="GK445" s="19"/>
      <c r="GL445" s="19"/>
      <c r="GM445" s="19"/>
      <c r="GN445" s="19"/>
      <c r="GO445" s="19"/>
      <c r="GP445" s="19"/>
      <c r="GQ445" s="19"/>
      <c r="GR445" s="19"/>
      <c r="GS445" s="19"/>
      <c r="GT445" s="19"/>
      <c r="GU445" s="19"/>
      <c r="GV445" s="19"/>
      <c r="GW445" s="19"/>
      <c r="GX445" s="19"/>
      <c r="GY445" s="19"/>
      <c r="GZ445" s="19"/>
      <c r="HA445" s="19"/>
      <c r="HB445" s="19"/>
    </row>
    <row r="446" spans="1:210" x14ac:dyDescent="0.25">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c r="BE446" s="19"/>
      <c r="BF446" s="19"/>
      <c r="BG446" s="19"/>
      <c r="BH446" s="19"/>
      <c r="BI446" s="19"/>
      <c r="BJ446" s="19"/>
      <c r="BK446" s="19"/>
      <c r="BL446" s="19"/>
      <c r="BM446" s="19"/>
      <c r="BN446" s="19"/>
      <c r="BO446" s="19"/>
      <c r="BP446" s="19"/>
      <c r="BQ446" s="19"/>
      <c r="BR446" s="19"/>
      <c r="BS446" s="19"/>
      <c r="BT446" s="19"/>
      <c r="BU446" s="19"/>
      <c r="BV446" s="19"/>
      <c r="BW446" s="19"/>
      <c r="BX446" s="19"/>
      <c r="BY446" s="19"/>
      <c r="BZ446" s="19"/>
      <c r="CA446" s="19"/>
      <c r="CB446" s="19"/>
      <c r="CC446" s="19"/>
      <c r="CD446" s="19"/>
      <c r="CE446" s="19"/>
      <c r="CF446" s="19"/>
      <c r="CG446" s="19"/>
      <c r="CH446" s="19"/>
      <c r="CI446" s="19"/>
      <c r="CJ446" s="19"/>
      <c r="CK446" s="19"/>
      <c r="CL446" s="19"/>
      <c r="CM446" s="19"/>
      <c r="CN446" s="19"/>
      <c r="CO446" s="19"/>
      <c r="CP446" s="19"/>
      <c r="CQ446" s="19"/>
      <c r="CR446" s="19"/>
      <c r="CS446" s="19"/>
      <c r="CT446" s="19"/>
      <c r="CU446" s="19"/>
      <c r="CV446" s="19"/>
      <c r="CW446" s="19"/>
      <c r="CX446" s="19"/>
      <c r="CY446" s="19"/>
      <c r="CZ446" s="19"/>
      <c r="DA446" s="19"/>
      <c r="DB446" s="19"/>
      <c r="DC446" s="19"/>
      <c r="DD446" s="19"/>
      <c r="DE446" s="19"/>
      <c r="DF446" s="19"/>
      <c r="DG446" s="19"/>
      <c r="DH446" s="19"/>
      <c r="DI446" s="19"/>
      <c r="DJ446" s="19"/>
      <c r="DK446" s="19"/>
      <c r="DL446" s="19"/>
      <c r="DM446" s="19"/>
      <c r="DN446" s="19"/>
      <c r="DO446" s="19"/>
      <c r="DP446" s="19"/>
      <c r="DQ446" s="19"/>
      <c r="DR446" s="19"/>
      <c r="DS446" s="19"/>
      <c r="DT446" s="19"/>
      <c r="DU446" s="19"/>
      <c r="DV446" s="19"/>
      <c r="DW446" s="19"/>
      <c r="DX446" s="19"/>
      <c r="DY446" s="19"/>
      <c r="DZ446" s="19"/>
      <c r="EA446" s="19"/>
      <c r="EB446" s="19"/>
      <c r="EC446" s="19"/>
      <c r="ED446" s="19"/>
      <c r="EE446" s="19"/>
      <c r="EF446" s="19"/>
      <c r="EG446" s="19"/>
      <c r="EH446" s="19"/>
      <c r="EI446" s="19"/>
      <c r="EJ446" s="19"/>
      <c r="EK446" s="19"/>
      <c r="EL446" s="19"/>
      <c r="EM446" s="19"/>
      <c r="EN446" s="19"/>
      <c r="EO446" s="19"/>
      <c r="EP446" s="19"/>
      <c r="EQ446" s="19"/>
      <c r="ER446" s="19"/>
      <c r="ES446" s="19"/>
      <c r="ET446" s="19"/>
      <c r="EU446" s="19"/>
      <c r="EV446" s="19"/>
      <c r="EW446" s="19"/>
      <c r="EX446" s="19"/>
      <c r="EY446" s="19"/>
      <c r="EZ446" s="19"/>
      <c r="FA446" s="19"/>
      <c r="FB446" s="19"/>
      <c r="FC446" s="19"/>
      <c r="FD446" s="19"/>
      <c r="FE446" s="19"/>
      <c r="FF446" s="19"/>
      <c r="FG446" s="19"/>
      <c r="FH446" s="19"/>
      <c r="FI446" s="19"/>
      <c r="FJ446" s="19"/>
      <c r="FK446" s="19"/>
      <c r="FL446" s="19"/>
      <c r="FM446" s="19"/>
      <c r="FN446" s="19"/>
      <c r="FO446" s="19"/>
      <c r="FP446" s="19"/>
      <c r="FQ446" s="19"/>
      <c r="FR446" s="19"/>
      <c r="FS446" s="19"/>
      <c r="FT446" s="19"/>
      <c r="FU446" s="19"/>
      <c r="FV446" s="19"/>
      <c r="FW446" s="19"/>
      <c r="FX446" s="19"/>
      <c r="FY446" s="19"/>
      <c r="FZ446" s="19"/>
      <c r="GA446" s="19"/>
      <c r="GB446" s="19"/>
      <c r="GC446" s="19"/>
      <c r="GD446" s="19"/>
      <c r="GE446" s="19"/>
      <c r="GF446" s="19"/>
      <c r="GG446" s="19"/>
      <c r="GH446" s="19"/>
      <c r="GI446" s="19"/>
      <c r="GJ446" s="19"/>
      <c r="GK446" s="19"/>
      <c r="GL446" s="19"/>
      <c r="GM446" s="19"/>
      <c r="GN446" s="19"/>
      <c r="GO446" s="19"/>
      <c r="GP446" s="19"/>
      <c r="GQ446" s="19"/>
      <c r="GR446" s="19"/>
      <c r="GS446" s="19"/>
      <c r="GT446" s="19"/>
      <c r="GU446" s="19"/>
      <c r="GV446" s="19"/>
      <c r="GW446" s="19"/>
      <c r="GX446" s="19"/>
      <c r="GY446" s="19"/>
      <c r="GZ446" s="19"/>
      <c r="HA446" s="19"/>
      <c r="HB446" s="19"/>
    </row>
    <row r="447" spans="1:210" x14ac:dyDescent="0.25">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c r="BE447" s="19"/>
      <c r="BF447" s="19"/>
      <c r="BG447" s="19"/>
      <c r="BH447" s="19"/>
      <c r="BI447" s="19"/>
      <c r="BJ447" s="19"/>
      <c r="BK447" s="19"/>
      <c r="BL447" s="19"/>
      <c r="BM447" s="19"/>
      <c r="BN447" s="19"/>
      <c r="BO447" s="19"/>
      <c r="BP447" s="19"/>
      <c r="BQ447" s="19"/>
      <c r="BR447" s="19"/>
      <c r="BS447" s="19"/>
      <c r="BT447" s="19"/>
      <c r="BU447" s="19"/>
      <c r="BV447" s="19"/>
      <c r="BW447" s="19"/>
      <c r="BX447" s="19"/>
      <c r="BY447" s="19"/>
      <c r="BZ447" s="19"/>
      <c r="CA447" s="19"/>
      <c r="CB447" s="19"/>
      <c r="CC447" s="19"/>
      <c r="CD447" s="19"/>
      <c r="CE447" s="19"/>
      <c r="CF447" s="19"/>
      <c r="CG447" s="19"/>
      <c r="CH447" s="19"/>
      <c r="CI447" s="19"/>
      <c r="CJ447" s="19"/>
      <c r="CK447" s="19"/>
      <c r="CL447" s="19"/>
      <c r="CM447" s="19"/>
      <c r="CN447" s="19"/>
      <c r="CO447" s="19"/>
      <c r="CP447" s="19"/>
      <c r="CQ447" s="19"/>
      <c r="CR447" s="19"/>
      <c r="CS447" s="19"/>
      <c r="CT447" s="19"/>
      <c r="CU447" s="19"/>
      <c r="CV447" s="19"/>
      <c r="CW447" s="19"/>
      <c r="CX447" s="19"/>
      <c r="CY447" s="19"/>
      <c r="CZ447" s="19"/>
      <c r="DA447" s="19"/>
      <c r="DB447" s="19"/>
      <c r="DC447" s="19"/>
      <c r="DD447" s="19"/>
      <c r="DE447" s="19"/>
      <c r="DF447" s="19"/>
      <c r="DG447" s="19"/>
      <c r="DH447" s="19"/>
      <c r="DI447" s="19"/>
      <c r="DJ447" s="19"/>
      <c r="DK447" s="19"/>
      <c r="DL447" s="19"/>
      <c r="DM447" s="19"/>
      <c r="DN447" s="19"/>
      <c r="DO447" s="19"/>
      <c r="DP447" s="19"/>
      <c r="DQ447" s="19"/>
      <c r="DR447" s="19"/>
      <c r="DS447" s="19"/>
      <c r="DT447" s="19"/>
      <c r="DU447" s="19"/>
      <c r="DV447" s="19"/>
      <c r="DW447" s="19"/>
      <c r="DX447" s="19"/>
      <c r="DY447" s="19"/>
      <c r="DZ447" s="19"/>
      <c r="EA447" s="19"/>
      <c r="EB447" s="19"/>
      <c r="EC447" s="19"/>
      <c r="ED447" s="19"/>
      <c r="EE447" s="19"/>
      <c r="EF447" s="19"/>
      <c r="EG447" s="19"/>
      <c r="EH447" s="19"/>
      <c r="EI447" s="19"/>
      <c r="EJ447" s="19"/>
      <c r="EK447" s="19"/>
      <c r="EL447" s="19"/>
      <c r="EM447" s="19"/>
      <c r="EN447" s="19"/>
      <c r="EO447" s="19"/>
      <c r="EP447" s="19"/>
      <c r="EQ447" s="19"/>
      <c r="ER447" s="19"/>
      <c r="ES447" s="19"/>
      <c r="ET447" s="19"/>
      <c r="EU447" s="19"/>
      <c r="EV447" s="19"/>
      <c r="EW447" s="19"/>
      <c r="EX447" s="19"/>
      <c r="EY447" s="19"/>
      <c r="EZ447" s="19"/>
      <c r="FA447" s="19"/>
      <c r="FB447" s="19"/>
      <c r="FC447" s="19"/>
      <c r="FD447" s="19"/>
      <c r="FE447" s="19"/>
      <c r="FF447" s="19"/>
      <c r="FG447" s="19"/>
      <c r="FH447" s="19"/>
      <c r="FI447" s="19"/>
      <c r="FJ447" s="19"/>
      <c r="FK447" s="19"/>
      <c r="FL447" s="19"/>
      <c r="FM447" s="19"/>
      <c r="FN447" s="19"/>
      <c r="FO447" s="19"/>
      <c r="FP447" s="19"/>
      <c r="FQ447" s="19"/>
      <c r="FR447" s="19"/>
      <c r="FS447" s="19"/>
      <c r="FT447" s="19"/>
      <c r="FU447" s="19"/>
      <c r="FV447" s="19"/>
      <c r="FW447" s="19"/>
      <c r="FX447" s="19"/>
      <c r="FY447" s="19"/>
      <c r="FZ447" s="19"/>
      <c r="GA447" s="19"/>
      <c r="GB447" s="19"/>
      <c r="GC447" s="19"/>
      <c r="GD447" s="19"/>
      <c r="GE447" s="19"/>
      <c r="GF447" s="19"/>
      <c r="GG447" s="19"/>
      <c r="GH447" s="19"/>
      <c r="GI447" s="19"/>
      <c r="GJ447" s="19"/>
      <c r="GK447" s="19"/>
      <c r="GL447" s="19"/>
      <c r="GM447" s="19"/>
      <c r="GN447" s="19"/>
      <c r="GO447" s="19"/>
      <c r="GP447" s="19"/>
      <c r="GQ447" s="19"/>
      <c r="GR447" s="19"/>
      <c r="GS447" s="19"/>
      <c r="GT447" s="19"/>
      <c r="GU447" s="19"/>
      <c r="GV447" s="19"/>
      <c r="GW447" s="19"/>
      <c r="GX447" s="19"/>
      <c r="GY447" s="19"/>
      <c r="GZ447" s="19"/>
      <c r="HA447" s="19"/>
      <c r="HB447" s="19"/>
    </row>
    <row r="448" spans="1:210" x14ac:dyDescent="0.25">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c r="BE448" s="19"/>
      <c r="BF448" s="19"/>
      <c r="BG448" s="19"/>
      <c r="BH448" s="19"/>
      <c r="BI448" s="19"/>
      <c r="BJ448" s="19"/>
      <c r="BK448" s="19"/>
      <c r="BL448" s="19"/>
      <c r="BM448" s="19"/>
      <c r="BN448" s="19"/>
      <c r="BO448" s="19"/>
      <c r="BP448" s="19"/>
      <c r="BQ448" s="19"/>
      <c r="BR448" s="19"/>
      <c r="BS448" s="19"/>
      <c r="BT448" s="19"/>
      <c r="BU448" s="19"/>
      <c r="BV448" s="19"/>
      <c r="BW448" s="19"/>
      <c r="BX448" s="19"/>
      <c r="BY448" s="19"/>
      <c r="BZ448" s="19"/>
      <c r="CA448" s="19"/>
      <c r="CB448" s="19"/>
      <c r="CC448" s="19"/>
      <c r="CD448" s="19"/>
      <c r="CE448" s="19"/>
      <c r="CF448" s="19"/>
      <c r="CG448" s="19"/>
      <c r="CH448" s="19"/>
      <c r="CI448" s="19"/>
      <c r="CJ448" s="19"/>
      <c r="CK448" s="19"/>
      <c r="CL448" s="19"/>
      <c r="CM448" s="19"/>
      <c r="CN448" s="19"/>
      <c r="CO448" s="19"/>
      <c r="CP448" s="19"/>
      <c r="CQ448" s="19"/>
      <c r="CR448" s="19"/>
      <c r="CS448" s="19"/>
      <c r="CT448" s="19"/>
      <c r="CU448" s="19"/>
      <c r="CV448" s="19"/>
      <c r="CW448" s="19"/>
      <c r="CX448" s="19"/>
      <c r="CY448" s="19"/>
      <c r="CZ448" s="19"/>
      <c r="DA448" s="19"/>
      <c r="DB448" s="19"/>
      <c r="DC448" s="19"/>
      <c r="DD448" s="19"/>
      <c r="DE448" s="19"/>
      <c r="DF448" s="19"/>
      <c r="DG448" s="19"/>
      <c r="DH448" s="19"/>
      <c r="DI448" s="19"/>
      <c r="DJ448" s="19"/>
      <c r="DK448" s="19"/>
      <c r="DL448" s="19"/>
      <c r="DM448" s="19"/>
      <c r="DN448" s="19"/>
      <c r="DO448" s="19"/>
      <c r="DP448" s="19"/>
      <c r="DQ448" s="19"/>
      <c r="DR448" s="19"/>
      <c r="DS448" s="19"/>
      <c r="DT448" s="19"/>
      <c r="DU448" s="19"/>
      <c r="DV448" s="19"/>
      <c r="DW448" s="19"/>
      <c r="DX448" s="19"/>
      <c r="DY448" s="19"/>
      <c r="DZ448" s="19"/>
      <c r="EA448" s="19"/>
      <c r="EB448" s="19"/>
      <c r="EC448" s="19"/>
      <c r="ED448" s="19"/>
      <c r="EE448" s="19"/>
      <c r="EF448" s="19"/>
      <c r="EG448" s="19"/>
      <c r="EH448" s="19"/>
      <c r="EI448" s="19"/>
      <c r="EJ448" s="19"/>
      <c r="EK448" s="19"/>
      <c r="EL448" s="19"/>
      <c r="EM448" s="19"/>
      <c r="EN448" s="19"/>
      <c r="EO448" s="19"/>
      <c r="EP448" s="19"/>
      <c r="EQ448" s="19"/>
      <c r="ER448" s="19"/>
      <c r="ES448" s="19"/>
      <c r="ET448" s="19"/>
      <c r="EU448" s="19"/>
      <c r="EV448" s="19"/>
      <c r="EW448" s="19"/>
      <c r="EX448" s="19"/>
      <c r="EY448" s="19"/>
      <c r="EZ448" s="19"/>
      <c r="FA448" s="19"/>
      <c r="FB448" s="19"/>
      <c r="FC448" s="19"/>
      <c r="FD448" s="19"/>
      <c r="FE448" s="19"/>
      <c r="FF448" s="19"/>
      <c r="FG448" s="19"/>
      <c r="FH448" s="19"/>
      <c r="FI448" s="19"/>
      <c r="FJ448" s="19"/>
      <c r="FK448" s="19"/>
      <c r="FL448" s="19"/>
      <c r="FM448" s="19"/>
      <c r="FN448" s="19"/>
      <c r="FO448" s="19"/>
      <c r="FP448" s="19"/>
      <c r="FQ448" s="19"/>
      <c r="FR448" s="19"/>
      <c r="FS448" s="19"/>
      <c r="FT448" s="19"/>
      <c r="FU448" s="19"/>
      <c r="FV448" s="19"/>
      <c r="FW448" s="19"/>
      <c r="FX448" s="19"/>
      <c r="FY448" s="19"/>
      <c r="FZ448" s="19"/>
      <c r="GA448" s="19"/>
      <c r="GB448" s="19"/>
      <c r="GC448" s="19"/>
      <c r="GD448" s="19"/>
      <c r="GE448" s="19"/>
      <c r="GF448" s="19"/>
      <c r="GG448" s="19"/>
      <c r="GH448" s="19"/>
      <c r="GI448" s="19"/>
      <c r="GJ448" s="19"/>
      <c r="GK448" s="19"/>
      <c r="GL448" s="19"/>
      <c r="GM448" s="19"/>
      <c r="GN448" s="19"/>
      <c r="GO448" s="19"/>
      <c r="GP448" s="19"/>
      <c r="GQ448" s="19"/>
      <c r="GR448" s="19"/>
      <c r="GS448" s="19"/>
      <c r="GT448" s="19"/>
      <c r="GU448" s="19"/>
      <c r="GV448" s="19"/>
      <c r="GW448" s="19"/>
      <c r="GX448" s="19"/>
      <c r="GY448" s="19"/>
      <c r="GZ448" s="19"/>
      <c r="HA448" s="19"/>
      <c r="HB448" s="19"/>
    </row>
    <row r="449" spans="1:210" x14ac:dyDescent="0.25">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c r="BE449" s="19"/>
      <c r="BF449" s="19"/>
      <c r="BG449" s="19"/>
      <c r="BH449" s="19"/>
      <c r="BI449" s="19"/>
      <c r="BJ449" s="19"/>
      <c r="BK449" s="19"/>
      <c r="BL449" s="19"/>
      <c r="BM449" s="19"/>
      <c r="BN449" s="19"/>
      <c r="BO449" s="19"/>
      <c r="BP449" s="19"/>
      <c r="BQ449" s="19"/>
      <c r="BR449" s="19"/>
      <c r="BS449" s="19"/>
      <c r="BT449" s="19"/>
      <c r="BU449" s="19"/>
      <c r="BV449" s="19"/>
      <c r="BW449" s="19"/>
      <c r="BX449" s="19"/>
      <c r="BY449" s="19"/>
      <c r="BZ449" s="19"/>
      <c r="CA449" s="19"/>
      <c r="CB449" s="19"/>
      <c r="CC449" s="19"/>
      <c r="CD449" s="19"/>
      <c r="CE449" s="19"/>
      <c r="CF449" s="19"/>
      <c r="CG449" s="19"/>
      <c r="CH449" s="19"/>
      <c r="CI449" s="19"/>
      <c r="CJ449" s="19"/>
      <c r="CK449" s="19"/>
      <c r="CL449" s="19"/>
      <c r="CM449" s="19"/>
      <c r="CN449" s="19"/>
      <c r="CO449" s="19"/>
      <c r="CP449" s="19"/>
      <c r="CQ449" s="19"/>
      <c r="CR449" s="19"/>
      <c r="CS449" s="19"/>
      <c r="CT449" s="19"/>
      <c r="CU449" s="19"/>
      <c r="CV449" s="19"/>
      <c r="CW449" s="19"/>
      <c r="CX449" s="19"/>
      <c r="CY449" s="19"/>
      <c r="CZ449" s="19"/>
      <c r="DA449" s="19"/>
      <c r="DB449" s="19"/>
      <c r="DC449" s="19"/>
      <c r="DD449" s="19"/>
      <c r="DE449" s="19"/>
      <c r="DF449" s="19"/>
      <c r="DG449" s="19"/>
      <c r="DH449" s="19"/>
      <c r="DI449" s="19"/>
      <c r="DJ449" s="19"/>
      <c r="DK449" s="19"/>
      <c r="DL449" s="19"/>
      <c r="DM449" s="19"/>
      <c r="DN449" s="19"/>
      <c r="DO449" s="19"/>
      <c r="DP449" s="19"/>
      <c r="DQ449" s="19"/>
      <c r="DR449" s="19"/>
      <c r="DS449" s="19"/>
      <c r="DT449" s="19"/>
      <c r="DU449" s="19"/>
      <c r="DV449" s="19"/>
      <c r="DW449" s="19"/>
      <c r="DX449" s="19"/>
      <c r="DY449" s="19"/>
      <c r="DZ449" s="19"/>
      <c r="EA449" s="19"/>
      <c r="EB449" s="19"/>
      <c r="EC449" s="19"/>
      <c r="ED449" s="19"/>
      <c r="EE449" s="19"/>
      <c r="EF449" s="19"/>
      <c r="EG449" s="19"/>
      <c r="EH449" s="19"/>
      <c r="EI449" s="19"/>
      <c r="EJ449" s="19"/>
      <c r="EK449" s="19"/>
      <c r="EL449" s="19"/>
      <c r="EM449" s="19"/>
      <c r="EN449" s="19"/>
      <c r="EO449" s="19"/>
      <c r="EP449" s="19"/>
      <c r="EQ449" s="19"/>
      <c r="ER449" s="19"/>
      <c r="ES449" s="19"/>
      <c r="ET449" s="19"/>
      <c r="EU449" s="19"/>
      <c r="EV449" s="19"/>
      <c r="EW449" s="19"/>
      <c r="EX449" s="19"/>
      <c r="EY449" s="19"/>
      <c r="EZ449" s="19"/>
      <c r="FA449" s="19"/>
      <c r="FB449" s="19"/>
      <c r="FC449" s="19"/>
      <c r="FD449" s="19"/>
      <c r="FE449" s="19"/>
      <c r="FF449" s="19"/>
      <c r="FG449" s="19"/>
      <c r="FH449" s="19"/>
      <c r="FI449" s="19"/>
      <c r="FJ449" s="19"/>
      <c r="FK449" s="19"/>
      <c r="FL449" s="19"/>
      <c r="FM449" s="19"/>
      <c r="FN449" s="19"/>
      <c r="FO449" s="19"/>
      <c r="FP449" s="19"/>
      <c r="FQ449" s="19"/>
      <c r="FR449" s="19"/>
      <c r="FS449" s="19"/>
      <c r="FT449" s="19"/>
      <c r="FU449" s="19"/>
      <c r="FV449" s="19"/>
      <c r="FW449" s="19"/>
      <c r="FX449" s="19"/>
      <c r="FY449" s="19"/>
      <c r="FZ449" s="19"/>
      <c r="GA449" s="19"/>
      <c r="GB449" s="19"/>
      <c r="GC449" s="19"/>
      <c r="GD449" s="19"/>
      <c r="GE449" s="19"/>
      <c r="GF449" s="19"/>
      <c r="GG449" s="19"/>
      <c r="GH449" s="19"/>
      <c r="GI449" s="19"/>
      <c r="GJ449" s="19"/>
      <c r="GK449" s="19"/>
      <c r="GL449" s="19"/>
      <c r="GM449" s="19"/>
      <c r="GN449" s="19"/>
      <c r="GO449" s="19"/>
      <c r="GP449" s="19"/>
      <c r="GQ449" s="19"/>
      <c r="GR449" s="19"/>
      <c r="GS449" s="19"/>
      <c r="GT449" s="19"/>
      <c r="GU449" s="19"/>
      <c r="GV449" s="19"/>
      <c r="GW449" s="19"/>
      <c r="GX449" s="19"/>
      <c r="GY449" s="19"/>
      <c r="GZ449" s="19"/>
      <c r="HA449" s="19"/>
      <c r="HB449" s="19"/>
    </row>
    <row r="450" spans="1:210" x14ac:dyDescent="0.25">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c r="BE450" s="19"/>
      <c r="BF450" s="19"/>
      <c r="BG450" s="19"/>
      <c r="BH450" s="19"/>
      <c r="BI450" s="19"/>
      <c r="BJ450" s="19"/>
      <c r="BK450" s="19"/>
      <c r="BL450" s="19"/>
      <c r="BM450" s="19"/>
      <c r="BN450" s="19"/>
      <c r="BO450" s="19"/>
      <c r="BP450" s="19"/>
      <c r="BQ450" s="19"/>
      <c r="BR450" s="19"/>
      <c r="BS450" s="19"/>
      <c r="BT450" s="19"/>
      <c r="BU450" s="19"/>
      <c r="BV450" s="19"/>
      <c r="BW450" s="19"/>
      <c r="BX450" s="19"/>
      <c r="BY450" s="19"/>
      <c r="BZ450" s="19"/>
      <c r="CA450" s="19"/>
      <c r="CB450" s="19"/>
      <c r="CC450" s="19"/>
      <c r="CD450" s="19"/>
      <c r="CE450" s="19"/>
      <c r="CF450" s="19"/>
      <c r="CG450" s="19"/>
      <c r="CH450" s="19"/>
      <c r="CI450" s="19"/>
      <c r="CJ450" s="19"/>
      <c r="CK450" s="19"/>
      <c r="CL450" s="19"/>
      <c r="CM450" s="19"/>
      <c r="CN450" s="19"/>
      <c r="CO450" s="19"/>
      <c r="CP450" s="19"/>
      <c r="CQ450" s="19"/>
      <c r="CR450" s="19"/>
      <c r="CS450" s="19"/>
      <c r="CT450" s="19"/>
      <c r="CU450" s="19"/>
      <c r="CV450" s="19"/>
      <c r="CW450" s="19"/>
      <c r="CX450" s="19"/>
      <c r="CY450" s="19"/>
      <c r="CZ450" s="19"/>
      <c r="DA450" s="19"/>
      <c r="DB450" s="19"/>
      <c r="DC450" s="19"/>
      <c r="DD450" s="19"/>
      <c r="DE450" s="19"/>
      <c r="DF450" s="19"/>
      <c r="DG450" s="19"/>
      <c r="DH450" s="19"/>
      <c r="DI450" s="19"/>
      <c r="DJ450" s="19"/>
      <c r="DK450" s="19"/>
      <c r="DL450" s="19"/>
      <c r="DM450" s="19"/>
      <c r="DN450" s="19"/>
      <c r="DO450" s="19"/>
      <c r="DP450" s="19"/>
      <c r="DQ450" s="19"/>
      <c r="DR450" s="19"/>
      <c r="DS450" s="19"/>
      <c r="DT450" s="19"/>
      <c r="DU450" s="19"/>
      <c r="DV450" s="19"/>
      <c r="DW450" s="19"/>
      <c r="DX450" s="19"/>
      <c r="DY450" s="19"/>
      <c r="DZ450" s="19"/>
      <c r="EA450" s="19"/>
      <c r="EB450" s="19"/>
      <c r="EC450" s="19"/>
      <c r="ED450" s="19"/>
      <c r="EE450" s="19"/>
      <c r="EF450" s="19"/>
      <c r="EG450" s="19"/>
      <c r="EH450" s="19"/>
      <c r="EI450" s="19"/>
      <c r="EJ450" s="19"/>
      <c r="EK450" s="19"/>
      <c r="EL450" s="19"/>
      <c r="EM450" s="19"/>
      <c r="EN450" s="19"/>
      <c r="EO450" s="19"/>
      <c r="EP450" s="19"/>
      <c r="EQ450" s="19"/>
      <c r="ER450" s="19"/>
      <c r="ES450" s="19"/>
      <c r="ET450" s="19"/>
      <c r="EU450" s="19"/>
      <c r="EV450" s="19"/>
      <c r="EW450" s="19"/>
      <c r="EX450" s="19"/>
      <c r="EY450" s="19"/>
      <c r="EZ450" s="19"/>
      <c r="FA450" s="19"/>
      <c r="FB450" s="19"/>
      <c r="FC450" s="19"/>
      <c r="FD450" s="19"/>
      <c r="FE450" s="19"/>
      <c r="FF450" s="19"/>
      <c r="FG450" s="19"/>
      <c r="FH450" s="19"/>
      <c r="FI450" s="19"/>
      <c r="FJ450" s="19"/>
      <c r="FK450" s="19"/>
      <c r="FL450" s="19"/>
      <c r="FM450" s="19"/>
      <c r="FN450" s="19"/>
      <c r="FO450" s="19"/>
      <c r="FP450" s="19"/>
      <c r="FQ450" s="19"/>
      <c r="FR450" s="19"/>
      <c r="FS450" s="19"/>
      <c r="FT450" s="19"/>
      <c r="FU450" s="19"/>
      <c r="FV450" s="19"/>
      <c r="FW450" s="19"/>
      <c r="FX450" s="19"/>
      <c r="FY450" s="19"/>
      <c r="FZ450" s="19"/>
      <c r="GA450" s="19"/>
      <c r="GB450" s="19"/>
      <c r="GC450" s="19"/>
      <c r="GD450" s="19"/>
      <c r="GE450" s="19"/>
      <c r="GF450" s="19"/>
      <c r="GG450" s="19"/>
      <c r="GH450" s="19"/>
      <c r="GI450" s="19"/>
      <c r="GJ450" s="19"/>
      <c r="GK450" s="19"/>
      <c r="GL450" s="19"/>
      <c r="GM450" s="19"/>
      <c r="GN450" s="19"/>
      <c r="GO450" s="19"/>
      <c r="GP450" s="19"/>
      <c r="GQ450" s="19"/>
      <c r="GR450" s="19"/>
      <c r="GS450" s="19"/>
      <c r="GT450" s="19"/>
      <c r="GU450" s="19"/>
      <c r="GV450" s="19"/>
      <c r="GW450" s="19"/>
      <c r="GX450" s="19"/>
      <c r="GY450" s="19"/>
      <c r="GZ450" s="19"/>
      <c r="HA450" s="19"/>
      <c r="HB450" s="19"/>
    </row>
    <row r="451" spans="1:210" x14ac:dyDescent="0.25">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c r="BE451" s="19"/>
      <c r="BF451" s="19"/>
      <c r="BG451" s="19"/>
      <c r="BH451" s="19"/>
      <c r="BI451" s="19"/>
      <c r="BJ451" s="19"/>
      <c r="BK451" s="19"/>
      <c r="BL451" s="19"/>
      <c r="BM451" s="19"/>
      <c r="BN451" s="19"/>
      <c r="BO451" s="19"/>
      <c r="BP451" s="19"/>
      <c r="BQ451" s="19"/>
      <c r="BR451" s="19"/>
      <c r="BS451" s="19"/>
      <c r="BT451" s="19"/>
      <c r="BU451" s="19"/>
      <c r="BV451" s="19"/>
      <c r="BW451" s="19"/>
      <c r="BX451" s="19"/>
      <c r="BY451" s="19"/>
      <c r="BZ451" s="19"/>
      <c r="CA451" s="19"/>
      <c r="CB451" s="19"/>
      <c r="CC451" s="19"/>
      <c r="CD451" s="19"/>
      <c r="CE451" s="19"/>
      <c r="CF451" s="19"/>
      <c r="CG451" s="19"/>
      <c r="CH451" s="19"/>
      <c r="CI451" s="19"/>
      <c r="CJ451" s="19"/>
      <c r="CK451" s="19"/>
      <c r="CL451" s="19"/>
      <c r="CM451" s="19"/>
      <c r="CN451" s="19"/>
      <c r="CO451" s="19"/>
      <c r="CP451" s="19"/>
      <c r="CQ451" s="19"/>
      <c r="CR451" s="19"/>
      <c r="CS451" s="19"/>
      <c r="CT451" s="19"/>
      <c r="CU451" s="19"/>
      <c r="CV451" s="19"/>
      <c r="CW451" s="19"/>
      <c r="CX451" s="19"/>
      <c r="CY451" s="19"/>
      <c r="CZ451" s="19"/>
      <c r="DA451" s="19"/>
      <c r="DB451" s="19"/>
      <c r="DC451" s="19"/>
      <c r="DD451" s="19"/>
      <c r="DE451" s="19"/>
      <c r="DF451" s="19"/>
      <c r="DG451" s="19"/>
      <c r="DH451" s="19"/>
      <c r="DI451" s="19"/>
      <c r="DJ451" s="19"/>
      <c r="DK451" s="19"/>
      <c r="DL451" s="19"/>
      <c r="DM451" s="19"/>
      <c r="DN451" s="19"/>
      <c r="DO451" s="19"/>
      <c r="DP451" s="19"/>
      <c r="DQ451" s="19"/>
      <c r="DR451" s="19"/>
      <c r="DS451" s="19"/>
      <c r="DT451" s="19"/>
      <c r="DU451" s="19"/>
      <c r="DV451" s="19"/>
      <c r="DW451" s="19"/>
      <c r="DX451" s="19"/>
      <c r="DY451" s="19"/>
      <c r="DZ451" s="19"/>
      <c r="EA451" s="19"/>
      <c r="EB451" s="19"/>
      <c r="EC451" s="19"/>
      <c r="ED451" s="19"/>
      <c r="EE451" s="19"/>
      <c r="EF451" s="19"/>
      <c r="EG451" s="19"/>
      <c r="EH451" s="19"/>
      <c r="EI451" s="19"/>
      <c r="EJ451" s="19"/>
      <c r="EK451" s="19"/>
      <c r="EL451" s="19"/>
      <c r="EM451" s="19"/>
      <c r="EN451" s="19"/>
      <c r="EO451" s="19"/>
      <c r="EP451" s="19"/>
      <c r="EQ451" s="19"/>
      <c r="ER451" s="19"/>
      <c r="ES451" s="19"/>
      <c r="ET451" s="19"/>
      <c r="EU451" s="19"/>
      <c r="EV451" s="19"/>
      <c r="EW451" s="19"/>
      <c r="EX451" s="19"/>
      <c r="EY451" s="19"/>
      <c r="EZ451" s="19"/>
      <c r="FA451" s="19"/>
      <c r="FB451" s="19"/>
      <c r="FC451" s="19"/>
      <c r="FD451" s="19"/>
      <c r="FE451" s="19"/>
      <c r="FF451" s="19"/>
      <c r="FG451" s="19"/>
      <c r="FH451" s="19"/>
      <c r="FI451" s="19"/>
      <c r="FJ451" s="19"/>
      <c r="FK451" s="19"/>
      <c r="FL451" s="19"/>
      <c r="FM451" s="19"/>
      <c r="FN451" s="19"/>
      <c r="FO451" s="19"/>
      <c r="FP451" s="19"/>
      <c r="FQ451" s="19"/>
      <c r="FR451" s="19"/>
      <c r="FS451" s="19"/>
      <c r="FT451" s="19"/>
      <c r="FU451" s="19"/>
      <c r="FV451" s="19"/>
      <c r="FW451" s="19"/>
      <c r="FX451" s="19"/>
      <c r="FY451" s="19"/>
      <c r="FZ451" s="19"/>
      <c r="GA451" s="19"/>
      <c r="GB451" s="19"/>
      <c r="GC451" s="19"/>
      <c r="GD451" s="19"/>
      <c r="GE451" s="19"/>
      <c r="GF451" s="19"/>
      <c r="GG451" s="19"/>
      <c r="GH451" s="19"/>
      <c r="GI451" s="19"/>
      <c r="GJ451" s="19"/>
      <c r="GK451" s="19"/>
      <c r="GL451" s="19"/>
      <c r="GM451" s="19"/>
      <c r="GN451" s="19"/>
      <c r="GO451" s="19"/>
      <c r="GP451" s="19"/>
      <c r="GQ451" s="19"/>
      <c r="GR451" s="19"/>
      <c r="GS451" s="19"/>
      <c r="GT451" s="19"/>
      <c r="GU451" s="19"/>
      <c r="GV451" s="19"/>
      <c r="GW451" s="19"/>
      <c r="GX451" s="19"/>
      <c r="GY451" s="19"/>
      <c r="GZ451" s="19"/>
      <c r="HA451" s="19"/>
      <c r="HB451" s="19"/>
    </row>
    <row r="452" spans="1:210" x14ac:dyDescent="0.25">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c r="BE452" s="19"/>
      <c r="BF452" s="19"/>
      <c r="BG452" s="19"/>
      <c r="BH452" s="19"/>
      <c r="BI452" s="19"/>
      <c r="BJ452" s="19"/>
      <c r="BK452" s="19"/>
      <c r="BL452" s="19"/>
      <c r="BM452" s="19"/>
      <c r="BN452" s="19"/>
      <c r="BO452" s="19"/>
      <c r="BP452" s="19"/>
      <c r="BQ452" s="19"/>
      <c r="BR452" s="19"/>
      <c r="BS452" s="19"/>
      <c r="BT452" s="19"/>
      <c r="BU452" s="19"/>
      <c r="BV452" s="19"/>
      <c r="BW452" s="19"/>
      <c r="BX452" s="19"/>
      <c r="BY452" s="19"/>
      <c r="BZ452" s="19"/>
      <c r="CA452" s="19"/>
      <c r="CB452" s="19"/>
      <c r="CC452" s="19"/>
      <c r="CD452" s="19"/>
      <c r="CE452" s="19"/>
      <c r="CF452" s="19"/>
      <c r="CG452" s="19"/>
      <c r="CH452" s="19"/>
      <c r="CI452" s="19"/>
      <c r="CJ452" s="19"/>
      <c r="CK452" s="19"/>
      <c r="CL452" s="19"/>
      <c r="CM452" s="19"/>
      <c r="CN452" s="19"/>
      <c r="CO452" s="19"/>
      <c r="CP452" s="19"/>
      <c r="CQ452" s="19"/>
      <c r="CR452" s="19"/>
      <c r="CS452" s="19"/>
      <c r="CT452" s="19"/>
      <c r="CU452" s="19"/>
      <c r="CV452" s="19"/>
      <c r="CW452" s="19"/>
      <c r="CX452" s="19"/>
      <c r="CY452" s="19"/>
      <c r="CZ452" s="19"/>
      <c r="DA452" s="19"/>
      <c r="DB452" s="19"/>
      <c r="DC452" s="19"/>
      <c r="DD452" s="19"/>
      <c r="DE452" s="19"/>
      <c r="DF452" s="19"/>
      <c r="DG452" s="19"/>
      <c r="DH452" s="19"/>
      <c r="DI452" s="19"/>
      <c r="DJ452" s="19"/>
      <c r="DK452" s="19"/>
      <c r="DL452" s="19"/>
      <c r="DM452" s="19"/>
      <c r="DN452" s="19"/>
      <c r="DO452" s="19"/>
      <c r="DP452" s="19"/>
      <c r="DQ452" s="19"/>
      <c r="DR452" s="19"/>
      <c r="DS452" s="19"/>
      <c r="DT452" s="19"/>
      <c r="DU452" s="19"/>
      <c r="DV452" s="19"/>
      <c r="DW452" s="19"/>
      <c r="DX452" s="19"/>
      <c r="DY452" s="19"/>
      <c r="DZ452" s="19"/>
      <c r="EA452" s="19"/>
      <c r="EB452" s="19"/>
      <c r="EC452" s="19"/>
      <c r="ED452" s="19"/>
      <c r="EE452" s="19"/>
      <c r="EF452" s="19"/>
      <c r="EG452" s="19"/>
      <c r="EH452" s="19"/>
      <c r="EI452" s="19"/>
      <c r="EJ452" s="19"/>
      <c r="EK452" s="19"/>
      <c r="EL452" s="19"/>
      <c r="EM452" s="19"/>
      <c r="EN452" s="19"/>
      <c r="EO452" s="19"/>
      <c r="EP452" s="19"/>
      <c r="EQ452" s="19"/>
      <c r="ER452" s="19"/>
      <c r="ES452" s="19"/>
      <c r="ET452" s="19"/>
      <c r="EU452" s="19"/>
      <c r="EV452" s="19"/>
      <c r="EW452" s="19"/>
      <c r="EX452" s="19"/>
      <c r="EY452" s="19"/>
      <c r="EZ452" s="19"/>
      <c r="FA452" s="19"/>
      <c r="FB452" s="19"/>
      <c r="FC452" s="19"/>
      <c r="FD452" s="19"/>
      <c r="FE452" s="19"/>
      <c r="FF452" s="19"/>
      <c r="FG452" s="19"/>
      <c r="FH452" s="19"/>
      <c r="FI452" s="19"/>
      <c r="FJ452" s="19"/>
      <c r="FK452" s="19"/>
      <c r="FL452" s="19"/>
      <c r="FM452" s="19"/>
      <c r="FN452" s="19"/>
      <c r="FO452" s="19"/>
      <c r="FP452" s="19"/>
      <c r="FQ452" s="19"/>
      <c r="FR452" s="19"/>
      <c r="FS452" s="19"/>
      <c r="FT452" s="19"/>
      <c r="FU452" s="19"/>
      <c r="FV452" s="19"/>
      <c r="FW452" s="19"/>
      <c r="FX452" s="19"/>
      <c r="FY452" s="19"/>
      <c r="FZ452" s="19"/>
      <c r="GA452" s="19"/>
      <c r="GB452" s="19"/>
      <c r="GC452" s="19"/>
      <c r="GD452" s="19"/>
      <c r="GE452" s="19"/>
      <c r="GF452" s="19"/>
      <c r="GG452" s="19"/>
      <c r="GH452" s="19"/>
      <c r="GI452" s="19"/>
      <c r="GJ452" s="19"/>
      <c r="GK452" s="19"/>
      <c r="GL452" s="19"/>
      <c r="GM452" s="19"/>
      <c r="GN452" s="19"/>
      <c r="GO452" s="19"/>
      <c r="GP452" s="19"/>
      <c r="GQ452" s="19"/>
      <c r="GR452" s="19"/>
      <c r="GS452" s="19"/>
      <c r="GT452" s="19"/>
      <c r="GU452" s="19"/>
      <c r="GV452" s="19"/>
      <c r="GW452" s="19"/>
      <c r="GX452" s="19"/>
      <c r="GY452" s="19"/>
      <c r="GZ452" s="19"/>
      <c r="HA452" s="19"/>
      <c r="HB452" s="19"/>
    </row>
    <row r="453" spans="1:210" x14ac:dyDescent="0.25">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c r="BE453" s="19"/>
      <c r="BF453" s="19"/>
      <c r="BG453" s="19"/>
      <c r="BH453" s="19"/>
      <c r="BI453" s="19"/>
      <c r="BJ453" s="19"/>
      <c r="BK453" s="19"/>
      <c r="BL453" s="19"/>
      <c r="BM453" s="19"/>
      <c r="BN453" s="19"/>
      <c r="BO453" s="19"/>
      <c r="BP453" s="19"/>
      <c r="BQ453" s="19"/>
      <c r="BR453" s="19"/>
      <c r="BS453" s="19"/>
      <c r="BT453" s="19"/>
      <c r="BU453" s="19"/>
      <c r="BV453" s="19"/>
      <c r="BW453" s="19"/>
      <c r="BX453" s="19"/>
      <c r="BY453" s="19"/>
      <c r="BZ453" s="19"/>
      <c r="CA453" s="19"/>
      <c r="CB453" s="19"/>
      <c r="CC453" s="19"/>
      <c r="CD453" s="19"/>
      <c r="CE453" s="19"/>
      <c r="CF453" s="19"/>
      <c r="CG453" s="19"/>
      <c r="CH453" s="19"/>
      <c r="CI453" s="19"/>
      <c r="CJ453" s="19"/>
      <c r="CK453" s="19"/>
      <c r="CL453" s="19"/>
      <c r="CM453" s="19"/>
      <c r="CN453" s="19"/>
      <c r="CO453" s="19"/>
      <c r="CP453" s="19"/>
      <c r="CQ453" s="19"/>
      <c r="CR453" s="19"/>
      <c r="CS453" s="19"/>
      <c r="CT453" s="19"/>
      <c r="CU453" s="19"/>
      <c r="CV453" s="19"/>
      <c r="CW453" s="19"/>
      <c r="CX453" s="19"/>
      <c r="CY453" s="19"/>
      <c r="CZ453" s="19"/>
      <c r="DA453" s="19"/>
      <c r="DB453" s="19"/>
      <c r="DC453" s="19"/>
      <c r="DD453" s="19"/>
      <c r="DE453" s="19"/>
      <c r="DF453" s="19"/>
      <c r="DG453" s="19"/>
      <c r="DH453" s="19"/>
      <c r="DI453" s="19"/>
      <c r="DJ453" s="19"/>
      <c r="DK453" s="19"/>
      <c r="DL453" s="19"/>
      <c r="DM453" s="19"/>
      <c r="DN453" s="19"/>
      <c r="DO453" s="19"/>
      <c r="DP453" s="19"/>
      <c r="DQ453" s="19"/>
      <c r="DR453" s="19"/>
      <c r="DS453" s="19"/>
      <c r="DT453" s="19"/>
      <c r="DU453" s="19"/>
      <c r="DV453" s="19"/>
      <c r="DW453" s="19"/>
      <c r="DX453" s="19"/>
      <c r="DY453" s="19"/>
      <c r="DZ453" s="19"/>
      <c r="EA453" s="19"/>
      <c r="EB453" s="19"/>
      <c r="EC453" s="19"/>
      <c r="ED453" s="19"/>
      <c r="EE453" s="19"/>
      <c r="EF453" s="19"/>
      <c r="EG453" s="19"/>
      <c r="EH453" s="19"/>
      <c r="EI453" s="19"/>
      <c r="EJ453" s="19"/>
      <c r="EK453" s="19"/>
      <c r="EL453" s="19"/>
      <c r="EM453" s="19"/>
      <c r="EN453" s="19"/>
      <c r="EO453" s="19"/>
      <c r="EP453" s="19"/>
      <c r="EQ453" s="19"/>
      <c r="ER453" s="19"/>
      <c r="ES453" s="19"/>
      <c r="ET453" s="19"/>
      <c r="EU453" s="19"/>
      <c r="EV453" s="19"/>
      <c r="EW453" s="19"/>
      <c r="EX453" s="19"/>
      <c r="EY453" s="19"/>
      <c r="EZ453" s="19"/>
      <c r="FA453" s="19"/>
      <c r="FB453" s="19"/>
      <c r="FC453" s="19"/>
      <c r="FD453" s="19"/>
      <c r="FE453" s="19"/>
      <c r="FF453" s="19"/>
      <c r="FG453" s="19"/>
      <c r="FH453" s="19"/>
      <c r="FI453" s="19"/>
      <c r="FJ453" s="19"/>
      <c r="FK453" s="19"/>
      <c r="FL453" s="19"/>
      <c r="FM453" s="19"/>
      <c r="FN453" s="19"/>
      <c r="FO453" s="19"/>
      <c r="FP453" s="19"/>
      <c r="FQ453" s="19"/>
      <c r="FR453" s="19"/>
      <c r="FS453" s="19"/>
      <c r="FT453" s="19"/>
      <c r="FU453" s="19"/>
      <c r="FV453" s="19"/>
      <c r="FW453" s="19"/>
      <c r="FX453" s="19"/>
      <c r="FY453" s="19"/>
      <c r="FZ453" s="19"/>
      <c r="GA453" s="19"/>
      <c r="GB453" s="19"/>
      <c r="GC453" s="19"/>
      <c r="GD453" s="19"/>
      <c r="GE453" s="19"/>
      <c r="GF453" s="19"/>
      <c r="GG453" s="19"/>
      <c r="GH453" s="19"/>
      <c r="GI453" s="19"/>
      <c r="GJ453" s="19"/>
      <c r="GK453" s="19"/>
      <c r="GL453" s="19"/>
      <c r="GM453" s="19"/>
      <c r="GN453" s="19"/>
      <c r="GO453" s="19"/>
      <c r="GP453" s="19"/>
      <c r="GQ453" s="19"/>
      <c r="GR453" s="19"/>
      <c r="GS453" s="19"/>
      <c r="GT453" s="19"/>
      <c r="GU453" s="19"/>
      <c r="GV453" s="19"/>
      <c r="GW453" s="19"/>
      <c r="GX453" s="19"/>
      <c r="GY453" s="19"/>
      <c r="GZ453" s="19"/>
      <c r="HA453" s="19"/>
      <c r="HB453" s="19"/>
    </row>
    <row r="454" spans="1:210" x14ac:dyDescent="0.25">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c r="BE454" s="19"/>
      <c r="BF454" s="19"/>
      <c r="BG454" s="19"/>
      <c r="BH454" s="19"/>
      <c r="BI454" s="19"/>
      <c r="BJ454" s="19"/>
      <c r="BK454" s="19"/>
      <c r="BL454" s="19"/>
      <c r="BM454" s="19"/>
      <c r="BN454" s="19"/>
      <c r="BO454" s="19"/>
      <c r="BP454" s="19"/>
      <c r="BQ454" s="19"/>
      <c r="BR454" s="19"/>
      <c r="BS454" s="19"/>
      <c r="BT454" s="19"/>
      <c r="BU454" s="19"/>
      <c r="BV454" s="19"/>
      <c r="BW454" s="19"/>
      <c r="BX454" s="19"/>
      <c r="BY454" s="19"/>
      <c r="BZ454" s="19"/>
      <c r="CA454" s="19"/>
      <c r="CB454" s="19"/>
      <c r="CC454" s="19"/>
      <c r="CD454" s="19"/>
      <c r="CE454" s="19"/>
      <c r="CF454" s="19"/>
      <c r="CG454" s="19"/>
      <c r="CH454" s="19"/>
      <c r="CI454" s="19"/>
      <c r="CJ454" s="19"/>
      <c r="CK454" s="19"/>
      <c r="CL454" s="19"/>
      <c r="CM454" s="19"/>
      <c r="CN454" s="19"/>
      <c r="CO454" s="19"/>
      <c r="CP454" s="19"/>
      <c r="CQ454" s="19"/>
      <c r="CR454" s="19"/>
      <c r="CS454" s="19"/>
      <c r="CT454" s="19"/>
      <c r="CU454" s="19"/>
      <c r="CV454" s="19"/>
      <c r="CW454" s="19"/>
      <c r="CX454" s="19"/>
      <c r="CY454" s="19"/>
      <c r="CZ454" s="19"/>
      <c r="DA454" s="19"/>
      <c r="DB454" s="19"/>
      <c r="DC454" s="19"/>
      <c r="DD454" s="19"/>
      <c r="DE454" s="19"/>
      <c r="DF454" s="19"/>
      <c r="DG454" s="19"/>
      <c r="DH454" s="19"/>
      <c r="DI454" s="19"/>
      <c r="DJ454" s="19"/>
      <c r="DK454" s="19"/>
      <c r="DL454" s="19"/>
      <c r="DM454" s="19"/>
      <c r="DN454" s="19"/>
      <c r="DO454" s="19"/>
      <c r="DP454" s="19"/>
      <c r="DQ454" s="19"/>
      <c r="DR454" s="19"/>
      <c r="DS454" s="19"/>
      <c r="DT454" s="19"/>
      <c r="DU454" s="19"/>
      <c r="DV454" s="19"/>
      <c r="DW454" s="19"/>
      <c r="DX454" s="19"/>
      <c r="DY454" s="19"/>
      <c r="DZ454" s="19"/>
      <c r="EA454" s="19"/>
      <c r="EB454" s="19"/>
      <c r="EC454" s="19"/>
      <c r="ED454" s="19"/>
      <c r="EE454" s="19"/>
      <c r="EF454" s="19"/>
      <c r="EG454" s="19"/>
      <c r="EH454" s="19"/>
      <c r="EI454" s="19"/>
      <c r="EJ454" s="19"/>
      <c r="EK454" s="19"/>
      <c r="EL454" s="19"/>
      <c r="EM454" s="19"/>
      <c r="EN454" s="19"/>
      <c r="EO454" s="19"/>
      <c r="EP454" s="19"/>
      <c r="EQ454" s="19"/>
      <c r="ER454" s="19"/>
      <c r="ES454" s="19"/>
      <c r="ET454" s="19"/>
      <c r="EU454" s="19"/>
      <c r="EV454" s="19"/>
      <c r="EW454" s="19"/>
      <c r="EX454" s="19"/>
      <c r="EY454" s="19"/>
      <c r="EZ454" s="19"/>
      <c r="FA454" s="19"/>
      <c r="FB454" s="19"/>
      <c r="FC454" s="19"/>
      <c r="FD454" s="19"/>
      <c r="FE454" s="19"/>
      <c r="FF454" s="19"/>
      <c r="FG454" s="19"/>
      <c r="FH454" s="19"/>
      <c r="FI454" s="19"/>
      <c r="FJ454" s="19"/>
      <c r="FK454" s="19"/>
      <c r="FL454" s="19"/>
      <c r="FM454" s="19"/>
      <c r="FN454" s="19"/>
      <c r="FO454" s="19"/>
      <c r="FP454" s="19"/>
      <c r="FQ454" s="19"/>
      <c r="FR454" s="19"/>
      <c r="FS454" s="19"/>
      <c r="FT454" s="19"/>
      <c r="FU454" s="19"/>
      <c r="FV454" s="19"/>
      <c r="FW454" s="19"/>
      <c r="FX454" s="19"/>
      <c r="FY454" s="19"/>
      <c r="FZ454" s="19"/>
      <c r="GA454" s="19"/>
      <c r="GB454" s="19"/>
      <c r="GC454" s="19"/>
      <c r="GD454" s="19"/>
      <c r="GE454" s="19"/>
      <c r="GF454" s="19"/>
      <c r="GG454" s="19"/>
      <c r="GH454" s="19"/>
      <c r="GI454" s="19"/>
      <c r="GJ454" s="19"/>
      <c r="GK454" s="19"/>
      <c r="GL454" s="19"/>
      <c r="GM454" s="19"/>
      <c r="GN454" s="19"/>
      <c r="GO454" s="19"/>
      <c r="GP454" s="19"/>
      <c r="GQ454" s="19"/>
      <c r="GR454" s="19"/>
      <c r="GS454" s="19"/>
      <c r="GT454" s="19"/>
      <c r="GU454" s="19"/>
      <c r="GV454" s="19"/>
      <c r="GW454" s="19"/>
      <c r="GX454" s="19"/>
      <c r="GY454" s="19"/>
      <c r="GZ454" s="19"/>
      <c r="HA454" s="19"/>
      <c r="HB454" s="19"/>
    </row>
    <row r="455" spans="1:210" x14ac:dyDescent="0.25">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c r="BE455" s="19"/>
      <c r="BF455" s="19"/>
      <c r="BG455" s="19"/>
      <c r="BH455" s="19"/>
      <c r="BI455" s="19"/>
      <c r="BJ455" s="19"/>
      <c r="BK455" s="19"/>
      <c r="BL455" s="19"/>
      <c r="BM455" s="19"/>
      <c r="BN455" s="19"/>
      <c r="BO455" s="19"/>
      <c r="BP455" s="19"/>
      <c r="BQ455" s="19"/>
      <c r="BR455" s="19"/>
      <c r="BS455" s="19"/>
      <c r="BT455" s="19"/>
      <c r="BU455" s="19"/>
      <c r="BV455" s="19"/>
      <c r="BW455" s="19"/>
      <c r="BX455" s="19"/>
      <c r="BY455" s="19"/>
      <c r="BZ455" s="19"/>
      <c r="CA455" s="19"/>
      <c r="CB455" s="19"/>
      <c r="CC455" s="19"/>
      <c r="CD455" s="19"/>
      <c r="CE455" s="19"/>
      <c r="CF455" s="19"/>
      <c r="CG455" s="19"/>
      <c r="CH455" s="19"/>
      <c r="CI455" s="19"/>
      <c r="CJ455" s="19"/>
      <c r="CK455" s="19"/>
      <c r="CL455" s="19"/>
      <c r="CM455" s="19"/>
      <c r="CN455" s="19"/>
      <c r="CO455" s="19"/>
      <c r="CP455" s="19"/>
      <c r="CQ455" s="19"/>
      <c r="CR455" s="19"/>
      <c r="CS455" s="19"/>
      <c r="CT455" s="19"/>
      <c r="CU455" s="19"/>
      <c r="CV455" s="19"/>
      <c r="CW455" s="19"/>
      <c r="CX455" s="19"/>
      <c r="CY455" s="19"/>
      <c r="CZ455" s="19"/>
      <c r="DA455" s="19"/>
      <c r="DB455" s="19"/>
      <c r="DC455" s="19"/>
      <c r="DD455" s="19"/>
      <c r="DE455" s="19"/>
      <c r="DF455" s="19"/>
      <c r="DG455" s="19"/>
      <c r="DH455" s="19"/>
      <c r="DI455" s="19"/>
      <c r="DJ455" s="19"/>
      <c r="DK455" s="19"/>
      <c r="DL455" s="19"/>
      <c r="DM455" s="19"/>
      <c r="DN455" s="19"/>
      <c r="DO455" s="19"/>
      <c r="DP455" s="19"/>
      <c r="DQ455" s="19"/>
      <c r="DR455" s="19"/>
      <c r="DS455" s="19"/>
      <c r="DT455" s="19"/>
      <c r="DU455" s="19"/>
      <c r="DV455" s="19"/>
      <c r="DW455" s="19"/>
      <c r="DX455" s="19"/>
      <c r="DY455" s="19"/>
      <c r="DZ455" s="19"/>
      <c r="EA455" s="19"/>
      <c r="EB455" s="19"/>
      <c r="EC455" s="19"/>
      <c r="ED455" s="19"/>
      <c r="EE455" s="19"/>
      <c r="EF455" s="19"/>
      <c r="EG455" s="19"/>
      <c r="EH455" s="19"/>
      <c r="EI455" s="19"/>
      <c r="EJ455" s="19"/>
      <c r="EK455" s="19"/>
      <c r="EL455" s="19"/>
      <c r="EM455" s="19"/>
      <c r="EN455" s="19"/>
      <c r="EO455" s="19"/>
      <c r="EP455" s="19"/>
      <c r="EQ455" s="19"/>
      <c r="ER455" s="19"/>
      <c r="ES455" s="19"/>
      <c r="ET455" s="19"/>
      <c r="EU455" s="19"/>
      <c r="EV455" s="19"/>
      <c r="EW455" s="19"/>
      <c r="EX455" s="19"/>
      <c r="EY455" s="19"/>
      <c r="EZ455" s="19"/>
      <c r="FA455" s="19"/>
      <c r="FB455" s="19"/>
      <c r="FC455" s="19"/>
      <c r="FD455" s="19"/>
      <c r="FE455" s="19"/>
      <c r="FF455" s="19"/>
      <c r="FG455" s="19"/>
      <c r="FH455" s="19"/>
      <c r="FI455" s="19"/>
      <c r="FJ455" s="19"/>
      <c r="FK455" s="19"/>
      <c r="FL455" s="19"/>
      <c r="FM455" s="19"/>
      <c r="FN455" s="19"/>
      <c r="FO455" s="19"/>
      <c r="FP455" s="19"/>
      <c r="FQ455" s="19"/>
      <c r="FR455" s="19"/>
      <c r="FS455" s="19"/>
      <c r="FT455" s="19"/>
      <c r="FU455" s="19"/>
      <c r="FV455" s="19"/>
      <c r="FW455" s="19"/>
      <c r="FX455" s="19"/>
      <c r="FY455" s="19"/>
      <c r="FZ455" s="19"/>
      <c r="GA455" s="19"/>
      <c r="GB455" s="19"/>
      <c r="GC455" s="19"/>
      <c r="GD455" s="19"/>
      <c r="GE455" s="19"/>
      <c r="GF455" s="19"/>
      <c r="GG455" s="19"/>
      <c r="GH455" s="19"/>
      <c r="GI455" s="19"/>
      <c r="GJ455" s="19"/>
      <c r="GK455" s="19"/>
      <c r="GL455" s="19"/>
      <c r="GM455" s="19"/>
      <c r="GN455" s="19"/>
      <c r="GO455" s="19"/>
      <c r="GP455" s="19"/>
      <c r="GQ455" s="19"/>
      <c r="GR455" s="19"/>
      <c r="GS455" s="19"/>
      <c r="GT455" s="19"/>
      <c r="GU455" s="19"/>
      <c r="GV455" s="19"/>
      <c r="GW455" s="19"/>
      <c r="GX455" s="19"/>
      <c r="GY455" s="19"/>
      <c r="GZ455" s="19"/>
      <c r="HA455" s="19"/>
      <c r="HB455" s="19"/>
    </row>
    <row r="456" spans="1:210" x14ac:dyDescent="0.25">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c r="BE456" s="19"/>
      <c r="BF456" s="19"/>
      <c r="BG456" s="19"/>
      <c r="BH456" s="19"/>
      <c r="BI456" s="19"/>
      <c r="BJ456" s="19"/>
      <c r="BK456" s="19"/>
      <c r="BL456" s="19"/>
      <c r="BM456" s="19"/>
      <c r="BN456" s="19"/>
      <c r="BO456" s="19"/>
      <c r="BP456" s="19"/>
      <c r="BQ456" s="19"/>
      <c r="BR456" s="19"/>
      <c r="BS456" s="19"/>
      <c r="BT456" s="19"/>
      <c r="BU456" s="19"/>
      <c r="BV456" s="19"/>
      <c r="BW456" s="19"/>
      <c r="BX456" s="19"/>
      <c r="BY456" s="19"/>
      <c r="BZ456" s="19"/>
      <c r="CA456" s="19"/>
      <c r="CB456" s="19"/>
      <c r="CC456" s="19"/>
      <c r="CD456" s="19"/>
      <c r="CE456" s="19"/>
      <c r="CF456" s="19"/>
      <c r="CG456" s="19"/>
      <c r="CH456" s="19"/>
      <c r="CI456" s="19"/>
      <c r="CJ456" s="19"/>
      <c r="CK456" s="19"/>
      <c r="CL456" s="19"/>
      <c r="CM456" s="19"/>
      <c r="CN456" s="19"/>
      <c r="CO456" s="19"/>
      <c r="CP456" s="19"/>
      <c r="CQ456" s="19"/>
      <c r="CR456" s="19"/>
      <c r="CS456" s="19"/>
      <c r="CT456" s="19"/>
      <c r="CU456" s="19"/>
      <c r="CV456" s="19"/>
      <c r="CW456" s="19"/>
      <c r="CX456" s="19"/>
      <c r="CY456" s="19"/>
      <c r="CZ456" s="19"/>
      <c r="DA456" s="19"/>
      <c r="DB456" s="19"/>
      <c r="DC456" s="19"/>
      <c r="DD456" s="19"/>
      <c r="DE456" s="19"/>
      <c r="DF456" s="19"/>
      <c r="DG456" s="19"/>
      <c r="DH456" s="19"/>
      <c r="DI456" s="19"/>
      <c r="DJ456" s="19"/>
      <c r="DK456" s="19"/>
      <c r="DL456" s="19"/>
      <c r="DM456" s="19"/>
      <c r="DN456" s="19"/>
      <c r="DO456" s="19"/>
      <c r="DP456" s="19"/>
      <c r="DQ456" s="19"/>
      <c r="DR456" s="19"/>
      <c r="DS456" s="19"/>
      <c r="DT456" s="19"/>
      <c r="DU456" s="19"/>
      <c r="DV456" s="19"/>
      <c r="DW456" s="19"/>
      <c r="DX456" s="19"/>
      <c r="DY456" s="19"/>
      <c r="DZ456" s="19"/>
      <c r="EA456" s="19"/>
      <c r="EB456" s="19"/>
      <c r="EC456" s="19"/>
      <c r="ED456" s="19"/>
      <c r="EE456" s="19"/>
      <c r="EF456" s="19"/>
      <c r="EG456" s="19"/>
      <c r="EH456" s="19"/>
      <c r="EI456" s="19"/>
      <c r="EJ456" s="19"/>
      <c r="EK456" s="19"/>
      <c r="EL456" s="19"/>
      <c r="EM456" s="19"/>
      <c r="EN456" s="19"/>
      <c r="EO456" s="19"/>
      <c r="EP456" s="19"/>
      <c r="EQ456" s="19"/>
      <c r="ER456" s="19"/>
      <c r="ES456" s="19"/>
      <c r="ET456" s="19"/>
      <c r="EU456" s="19"/>
      <c r="EV456" s="19"/>
      <c r="EW456" s="19"/>
      <c r="EX456" s="19"/>
      <c r="EY456" s="19"/>
      <c r="EZ456" s="19"/>
      <c r="FA456" s="19"/>
      <c r="FB456" s="19"/>
      <c r="FC456" s="19"/>
      <c r="FD456" s="19"/>
      <c r="FE456" s="19"/>
      <c r="FF456" s="19"/>
      <c r="FG456" s="19"/>
      <c r="FH456" s="19"/>
      <c r="FI456" s="19"/>
      <c r="FJ456" s="19"/>
      <c r="FK456" s="19"/>
      <c r="FL456" s="19"/>
      <c r="FM456" s="19"/>
      <c r="FN456" s="19"/>
      <c r="FO456" s="19"/>
      <c r="FP456" s="19"/>
      <c r="FQ456" s="19"/>
      <c r="FR456" s="19"/>
      <c r="FS456" s="19"/>
      <c r="FT456" s="19"/>
      <c r="FU456" s="19"/>
      <c r="FV456" s="19"/>
      <c r="FW456" s="19"/>
      <c r="FX456" s="19"/>
      <c r="FY456" s="19"/>
      <c r="FZ456" s="19"/>
      <c r="GA456" s="19"/>
      <c r="GB456" s="19"/>
      <c r="GC456" s="19"/>
      <c r="GD456" s="19"/>
      <c r="GE456" s="19"/>
      <c r="GF456" s="19"/>
      <c r="GG456" s="19"/>
      <c r="GH456" s="19"/>
      <c r="GI456" s="19"/>
      <c r="GJ456" s="19"/>
      <c r="GK456" s="19"/>
      <c r="GL456" s="19"/>
      <c r="GM456" s="19"/>
      <c r="GN456" s="19"/>
      <c r="GO456" s="19"/>
      <c r="GP456" s="19"/>
      <c r="GQ456" s="19"/>
      <c r="GR456" s="19"/>
      <c r="GS456" s="19"/>
      <c r="GT456" s="19"/>
      <c r="GU456" s="19"/>
      <c r="GV456" s="19"/>
      <c r="GW456" s="19"/>
      <c r="GX456" s="19"/>
      <c r="GY456" s="19"/>
      <c r="GZ456" s="19"/>
      <c r="HA456" s="19"/>
      <c r="HB456" s="19"/>
    </row>
    <row r="457" spans="1:210" x14ac:dyDescent="0.25">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c r="BE457" s="19"/>
      <c r="BF457" s="19"/>
      <c r="BG457" s="19"/>
      <c r="BH457" s="19"/>
      <c r="BI457" s="19"/>
      <c r="BJ457" s="19"/>
      <c r="BK457" s="19"/>
      <c r="BL457" s="19"/>
      <c r="BM457" s="19"/>
      <c r="BN457" s="19"/>
      <c r="BO457" s="19"/>
      <c r="BP457" s="19"/>
      <c r="BQ457" s="19"/>
      <c r="BR457" s="19"/>
      <c r="BS457" s="19"/>
      <c r="BT457" s="19"/>
      <c r="BU457" s="19"/>
      <c r="BV457" s="19"/>
      <c r="BW457" s="19"/>
      <c r="BX457" s="19"/>
      <c r="BY457" s="19"/>
      <c r="BZ457" s="19"/>
      <c r="CA457" s="19"/>
      <c r="CB457" s="19"/>
      <c r="CC457" s="19"/>
      <c r="CD457" s="19"/>
      <c r="CE457" s="19"/>
      <c r="CF457" s="19"/>
      <c r="CG457" s="19"/>
      <c r="CH457" s="19"/>
      <c r="CI457" s="19"/>
      <c r="CJ457" s="19"/>
      <c r="CK457" s="19"/>
      <c r="CL457" s="19"/>
      <c r="CM457" s="19"/>
      <c r="CN457" s="19"/>
      <c r="CO457" s="19"/>
      <c r="CP457" s="19"/>
      <c r="CQ457" s="19"/>
      <c r="CR457" s="19"/>
      <c r="CS457" s="19"/>
      <c r="CT457" s="19"/>
      <c r="CU457" s="19"/>
      <c r="CV457" s="19"/>
      <c r="CW457" s="19"/>
      <c r="CX457" s="19"/>
      <c r="CY457" s="19"/>
      <c r="CZ457" s="19"/>
      <c r="DA457" s="19"/>
      <c r="DB457" s="19"/>
      <c r="DC457" s="19"/>
      <c r="DD457" s="19"/>
      <c r="DE457" s="19"/>
      <c r="DF457" s="19"/>
      <c r="DG457" s="19"/>
      <c r="DH457" s="19"/>
      <c r="DI457" s="19"/>
      <c r="DJ457" s="19"/>
      <c r="DK457" s="19"/>
      <c r="DL457" s="19"/>
      <c r="DM457" s="19"/>
      <c r="DN457" s="19"/>
      <c r="DO457" s="19"/>
      <c r="DP457" s="19"/>
      <c r="DQ457" s="19"/>
      <c r="DR457" s="19"/>
      <c r="DS457" s="19"/>
      <c r="DT457" s="19"/>
      <c r="DU457" s="19"/>
      <c r="DV457" s="19"/>
      <c r="DW457" s="19"/>
      <c r="DX457" s="19"/>
      <c r="DY457" s="19"/>
      <c r="DZ457" s="19"/>
      <c r="EA457" s="19"/>
      <c r="EB457" s="19"/>
      <c r="EC457" s="19"/>
      <c r="ED457" s="19"/>
      <c r="EE457" s="19"/>
      <c r="EF457" s="19"/>
      <c r="EG457" s="19"/>
      <c r="EH457" s="19"/>
      <c r="EI457" s="19"/>
      <c r="EJ457" s="19"/>
      <c r="EK457" s="19"/>
      <c r="EL457" s="19"/>
      <c r="EM457" s="19"/>
      <c r="EN457" s="19"/>
      <c r="EO457" s="19"/>
      <c r="EP457" s="19"/>
      <c r="EQ457" s="19"/>
      <c r="ER457" s="19"/>
      <c r="ES457" s="19"/>
      <c r="ET457" s="19"/>
      <c r="EU457" s="19"/>
      <c r="EV457" s="19"/>
      <c r="EW457" s="19"/>
      <c r="EX457" s="19"/>
      <c r="EY457" s="19"/>
      <c r="EZ457" s="19"/>
      <c r="FA457" s="19"/>
      <c r="FB457" s="19"/>
      <c r="FC457" s="19"/>
      <c r="FD457" s="19"/>
      <c r="FE457" s="19"/>
      <c r="FF457" s="19"/>
      <c r="FG457" s="19"/>
      <c r="FH457" s="19"/>
      <c r="FI457" s="19"/>
      <c r="FJ457" s="19"/>
      <c r="FK457" s="19"/>
      <c r="FL457" s="19"/>
      <c r="FM457" s="19"/>
      <c r="FN457" s="19"/>
      <c r="FO457" s="19"/>
      <c r="FP457" s="19"/>
      <c r="FQ457" s="19"/>
      <c r="FR457" s="19"/>
      <c r="FS457" s="19"/>
      <c r="FT457" s="19"/>
      <c r="FU457" s="19"/>
      <c r="FV457" s="19"/>
      <c r="FW457" s="19"/>
      <c r="FX457" s="19"/>
      <c r="FY457" s="19"/>
      <c r="FZ457" s="19"/>
      <c r="GA457" s="19"/>
      <c r="GB457" s="19"/>
      <c r="GC457" s="19"/>
      <c r="GD457" s="19"/>
      <c r="GE457" s="19"/>
      <c r="GF457" s="19"/>
      <c r="GG457" s="19"/>
      <c r="GH457" s="19"/>
      <c r="GI457" s="19"/>
      <c r="GJ457" s="19"/>
      <c r="GK457" s="19"/>
      <c r="GL457" s="19"/>
      <c r="GM457" s="19"/>
      <c r="GN457" s="19"/>
      <c r="GO457" s="19"/>
      <c r="GP457" s="19"/>
      <c r="GQ457" s="19"/>
      <c r="GR457" s="19"/>
      <c r="GS457" s="19"/>
      <c r="GT457" s="19"/>
      <c r="GU457" s="19"/>
      <c r="GV457" s="19"/>
      <c r="GW457" s="19"/>
      <c r="GX457" s="19"/>
      <c r="GY457" s="19"/>
      <c r="GZ457" s="19"/>
      <c r="HA457" s="19"/>
      <c r="HB457" s="19"/>
    </row>
    <row r="458" spans="1:210" x14ac:dyDescent="0.25">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c r="BE458" s="19"/>
      <c r="BF458" s="19"/>
      <c r="BG458" s="19"/>
      <c r="BH458" s="19"/>
      <c r="BI458" s="19"/>
      <c r="BJ458" s="19"/>
      <c r="BK458" s="19"/>
      <c r="BL458" s="19"/>
      <c r="BM458" s="19"/>
      <c r="BN458" s="19"/>
      <c r="BO458" s="19"/>
      <c r="BP458" s="19"/>
      <c r="BQ458" s="19"/>
      <c r="BR458" s="19"/>
      <c r="BS458" s="19"/>
      <c r="BT458" s="19"/>
      <c r="BU458" s="19"/>
      <c r="BV458" s="19"/>
      <c r="BW458" s="19"/>
      <c r="BX458" s="19"/>
      <c r="BY458" s="19"/>
      <c r="BZ458" s="19"/>
      <c r="CA458" s="19"/>
      <c r="CB458" s="19"/>
      <c r="CC458" s="19"/>
      <c r="CD458" s="19"/>
      <c r="CE458" s="19"/>
      <c r="CF458" s="19"/>
      <c r="CG458" s="19"/>
      <c r="CH458" s="19"/>
      <c r="CI458" s="19"/>
      <c r="CJ458" s="19"/>
      <c r="CK458" s="19"/>
      <c r="CL458" s="19"/>
      <c r="CM458" s="19"/>
      <c r="CN458" s="19"/>
      <c r="CO458" s="19"/>
      <c r="CP458" s="19"/>
      <c r="CQ458" s="19"/>
      <c r="CR458" s="19"/>
      <c r="CS458" s="19"/>
      <c r="CT458" s="19"/>
      <c r="CU458" s="19"/>
      <c r="CV458" s="19"/>
      <c r="CW458" s="19"/>
      <c r="CX458" s="19"/>
      <c r="CY458" s="19"/>
      <c r="CZ458" s="19"/>
      <c r="DA458" s="19"/>
      <c r="DB458" s="19"/>
      <c r="DC458" s="19"/>
      <c r="DD458" s="19"/>
      <c r="DE458" s="19"/>
      <c r="DF458" s="19"/>
      <c r="DG458" s="19"/>
      <c r="DH458" s="19"/>
      <c r="DI458" s="19"/>
      <c r="DJ458" s="19"/>
      <c r="DK458" s="19"/>
      <c r="DL458" s="19"/>
      <c r="DM458" s="19"/>
      <c r="DN458" s="19"/>
      <c r="DO458" s="19"/>
      <c r="DP458" s="19"/>
      <c r="DQ458" s="19"/>
      <c r="DR458" s="19"/>
      <c r="DS458" s="19"/>
      <c r="DT458" s="19"/>
      <c r="DU458" s="19"/>
      <c r="DV458" s="19"/>
      <c r="DW458" s="19"/>
      <c r="DX458" s="19"/>
      <c r="DY458" s="19"/>
      <c r="DZ458" s="19"/>
      <c r="EA458" s="19"/>
      <c r="EB458" s="19"/>
      <c r="EC458" s="19"/>
      <c r="ED458" s="19"/>
      <c r="EE458" s="19"/>
      <c r="EF458" s="19"/>
      <c r="EG458" s="19"/>
      <c r="EH458" s="19"/>
      <c r="EI458" s="19"/>
      <c r="EJ458" s="19"/>
      <c r="EK458" s="19"/>
      <c r="EL458" s="19"/>
      <c r="EM458" s="19"/>
      <c r="EN458" s="19"/>
      <c r="EO458" s="19"/>
      <c r="EP458" s="19"/>
      <c r="EQ458" s="19"/>
      <c r="ER458" s="19"/>
      <c r="ES458" s="19"/>
      <c r="ET458" s="19"/>
      <c r="EU458" s="19"/>
      <c r="EV458" s="19"/>
      <c r="EW458" s="19"/>
      <c r="EX458" s="19"/>
      <c r="EY458" s="19"/>
      <c r="EZ458" s="19"/>
      <c r="FA458" s="19"/>
      <c r="FB458" s="19"/>
      <c r="FC458" s="19"/>
      <c r="FD458" s="19"/>
      <c r="FE458" s="19"/>
      <c r="FF458" s="19"/>
      <c r="FG458" s="19"/>
      <c r="FH458" s="19"/>
      <c r="FI458" s="19"/>
      <c r="FJ458" s="19"/>
      <c r="FK458" s="19"/>
      <c r="FL458" s="19"/>
      <c r="FM458" s="19"/>
      <c r="FN458" s="19"/>
      <c r="FO458" s="19"/>
      <c r="FP458" s="19"/>
      <c r="FQ458" s="19"/>
      <c r="FR458" s="19"/>
      <c r="FS458" s="19"/>
      <c r="FT458" s="19"/>
      <c r="FU458" s="19"/>
      <c r="FV458" s="19"/>
      <c r="FW458" s="19"/>
      <c r="FX458" s="19"/>
      <c r="FY458" s="19"/>
      <c r="FZ458" s="19"/>
      <c r="GA458" s="19"/>
      <c r="GB458" s="19"/>
      <c r="GC458" s="19"/>
      <c r="GD458" s="19"/>
      <c r="GE458" s="19"/>
      <c r="GF458" s="19"/>
      <c r="GG458" s="19"/>
      <c r="GH458" s="19"/>
      <c r="GI458" s="19"/>
      <c r="GJ458" s="19"/>
      <c r="GK458" s="19"/>
      <c r="GL458" s="19"/>
      <c r="GM458" s="19"/>
      <c r="GN458" s="19"/>
      <c r="GO458" s="19"/>
      <c r="GP458" s="19"/>
      <c r="GQ458" s="19"/>
      <c r="GR458" s="19"/>
      <c r="GS458" s="19"/>
      <c r="GT458" s="19"/>
      <c r="GU458" s="19"/>
      <c r="GV458" s="19"/>
      <c r="GW458" s="19"/>
      <c r="GX458" s="19"/>
      <c r="GY458" s="19"/>
      <c r="GZ458" s="19"/>
      <c r="HA458" s="19"/>
      <c r="HB458" s="19"/>
    </row>
    <row r="459" spans="1:210" x14ac:dyDescent="0.25">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c r="BE459" s="19"/>
      <c r="BF459" s="19"/>
      <c r="BG459" s="19"/>
      <c r="BH459" s="19"/>
      <c r="BI459" s="19"/>
      <c r="BJ459" s="19"/>
      <c r="BK459" s="19"/>
      <c r="BL459" s="19"/>
      <c r="BM459" s="19"/>
      <c r="BN459" s="19"/>
      <c r="BO459" s="19"/>
      <c r="BP459" s="19"/>
      <c r="BQ459" s="19"/>
      <c r="BR459" s="19"/>
      <c r="BS459" s="19"/>
      <c r="BT459" s="19"/>
      <c r="BU459" s="19"/>
      <c r="BV459" s="19"/>
      <c r="BW459" s="19"/>
      <c r="BX459" s="19"/>
      <c r="BY459" s="19"/>
      <c r="BZ459" s="19"/>
      <c r="CA459" s="19"/>
      <c r="CB459" s="19"/>
      <c r="CC459" s="19"/>
      <c r="CD459" s="19"/>
      <c r="CE459" s="19"/>
      <c r="CF459" s="19"/>
      <c r="CG459" s="19"/>
      <c r="CH459" s="19"/>
      <c r="CI459" s="19"/>
      <c r="CJ459" s="19"/>
      <c r="CK459" s="19"/>
      <c r="CL459" s="19"/>
      <c r="CM459" s="19"/>
      <c r="CN459" s="19"/>
      <c r="CO459" s="19"/>
      <c r="CP459" s="19"/>
      <c r="CQ459" s="19"/>
      <c r="CR459" s="19"/>
      <c r="CS459" s="19"/>
      <c r="CT459" s="19"/>
      <c r="CU459" s="19"/>
      <c r="CV459" s="19"/>
      <c r="CW459" s="19"/>
      <c r="CX459" s="19"/>
      <c r="CY459" s="19"/>
      <c r="CZ459" s="19"/>
      <c r="DA459" s="19"/>
      <c r="DB459" s="19"/>
      <c r="DC459" s="19"/>
      <c r="DD459" s="19"/>
      <c r="DE459" s="19"/>
      <c r="DF459" s="19"/>
      <c r="DG459" s="19"/>
      <c r="DH459" s="19"/>
      <c r="DI459" s="19"/>
      <c r="DJ459" s="19"/>
      <c r="DK459" s="19"/>
      <c r="DL459" s="19"/>
      <c r="DM459" s="19"/>
      <c r="DN459" s="19"/>
      <c r="DO459" s="19"/>
      <c r="DP459" s="19"/>
      <c r="DQ459" s="19"/>
      <c r="DR459" s="19"/>
      <c r="DS459" s="19"/>
      <c r="DT459" s="19"/>
      <c r="DU459" s="19"/>
      <c r="DV459" s="19"/>
      <c r="DW459" s="19"/>
      <c r="DX459" s="19"/>
      <c r="DY459" s="19"/>
      <c r="DZ459" s="19"/>
      <c r="EA459" s="19"/>
      <c r="EB459" s="19"/>
      <c r="EC459" s="19"/>
      <c r="ED459" s="19"/>
      <c r="EE459" s="19"/>
      <c r="EF459" s="19"/>
      <c r="EG459" s="19"/>
      <c r="EH459" s="19"/>
      <c r="EI459" s="19"/>
      <c r="EJ459" s="19"/>
      <c r="EK459" s="19"/>
      <c r="EL459" s="19"/>
      <c r="EM459" s="19"/>
      <c r="EN459" s="19"/>
      <c r="EO459" s="19"/>
      <c r="EP459" s="19"/>
      <c r="EQ459" s="19"/>
      <c r="ER459" s="19"/>
      <c r="ES459" s="19"/>
      <c r="ET459" s="19"/>
      <c r="EU459" s="19"/>
      <c r="EV459" s="19"/>
      <c r="EW459" s="19"/>
      <c r="EX459" s="19"/>
      <c r="EY459" s="19"/>
      <c r="EZ459" s="19"/>
      <c r="FA459" s="19"/>
      <c r="FB459" s="19"/>
      <c r="FC459" s="19"/>
      <c r="FD459" s="19"/>
      <c r="FE459" s="19"/>
      <c r="FF459" s="19"/>
      <c r="FG459" s="19"/>
      <c r="FH459" s="19"/>
      <c r="FI459" s="19"/>
      <c r="FJ459" s="19"/>
      <c r="FK459" s="19"/>
      <c r="FL459" s="19"/>
      <c r="FM459" s="19"/>
      <c r="FN459" s="19"/>
      <c r="FO459" s="19"/>
      <c r="FP459" s="19"/>
      <c r="FQ459" s="19"/>
      <c r="FR459" s="19"/>
      <c r="FS459" s="19"/>
      <c r="FT459" s="19"/>
      <c r="FU459" s="19"/>
      <c r="FV459" s="19"/>
      <c r="FW459" s="19"/>
      <c r="FX459" s="19"/>
      <c r="FY459" s="19"/>
      <c r="FZ459" s="19"/>
      <c r="GA459" s="19"/>
      <c r="GB459" s="19"/>
      <c r="GC459" s="19"/>
      <c r="GD459" s="19"/>
      <c r="GE459" s="19"/>
      <c r="GF459" s="19"/>
      <c r="GG459" s="19"/>
      <c r="GH459" s="19"/>
      <c r="GI459" s="19"/>
      <c r="GJ459" s="19"/>
      <c r="GK459" s="19"/>
      <c r="GL459" s="19"/>
      <c r="GM459" s="19"/>
      <c r="GN459" s="19"/>
      <c r="GO459" s="19"/>
      <c r="GP459" s="19"/>
      <c r="GQ459" s="19"/>
      <c r="GR459" s="19"/>
      <c r="GS459" s="19"/>
      <c r="GT459" s="19"/>
      <c r="GU459" s="19"/>
      <c r="GV459" s="19"/>
      <c r="GW459" s="19"/>
      <c r="GX459" s="19"/>
      <c r="GY459" s="19"/>
      <c r="GZ459" s="19"/>
      <c r="HA459" s="19"/>
      <c r="HB459" s="19"/>
    </row>
    <row r="460" spans="1:210" x14ac:dyDescent="0.25">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c r="BE460" s="19"/>
      <c r="BF460" s="19"/>
      <c r="BG460" s="19"/>
      <c r="BH460" s="19"/>
      <c r="BI460" s="19"/>
      <c r="BJ460" s="19"/>
      <c r="BK460" s="19"/>
      <c r="BL460" s="19"/>
      <c r="BM460" s="19"/>
      <c r="BN460" s="19"/>
      <c r="BO460" s="19"/>
      <c r="BP460" s="19"/>
      <c r="BQ460" s="19"/>
      <c r="BR460" s="19"/>
      <c r="BS460" s="19"/>
      <c r="BT460" s="19"/>
      <c r="BU460" s="19"/>
      <c r="BV460" s="19"/>
      <c r="BW460" s="19"/>
      <c r="BX460" s="19"/>
      <c r="BY460" s="19"/>
      <c r="BZ460" s="19"/>
      <c r="CA460" s="19"/>
      <c r="CB460" s="19"/>
      <c r="CC460" s="19"/>
      <c r="CD460" s="19"/>
      <c r="CE460" s="19"/>
      <c r="CF460" s="19"/>
      <c r="CG460" s="19"/>
      <c r="CH460" s="19"/>
      <c r="CI460" s="19"/>
      <c r="CJ460" s="19"/>
      <c r="CK460" s="19"/>
      <c r="CL460" s="19"/>
      <c r="CM460" s="19"/>
      <c r="CN460" s="19"/>
      <c r="CO460" s="19"/>
      <c r="CP460" s="19"/>
      <c r="CQ460" s="19"/>
      <c r="CR460" s="19"/>
      <c r="CS460" s="19"/>
      <c r="CT460" s="19"/>
      <c r="CU460" s="19"/>
      <c r="CV460" s="19"/>
      <c r="CW460" s="19"/>
      <c r="CX460" s="19"/>
      <c r="CY460" s="19"/>
      <c r="CZ460" s="19"/>
      <c r="DA460" s="19"/>
      <c r="DB460" s="19"/>
      <c r="DC460" s="19"/>
      <c r="DD460" s="19"/>
      <c r="DE460" s="19"/>
      <c r="DF460" s="19"/>
      <c r="DG460" s="19"/>
      <c r="DH460" s="19"/>
      <c r="DI460" s="19"/>
      <c r="DJ460" s="19"/>
      <c r="DK460" s="19"/>
      <c r="DL460" s="19"/>
      <c r="DM460" s="19"/>
      <c r="DN460" s="19"/>
      <c r="DO460" s="19"/>
      <c r="DP460" s="19"/>
      <c r="DQ460" s="19"/>
      <c r="DR460" s="19"/>
      <c r="DS460" s="19"/>
      <c r="DT460" s="19"/>
      <c r="DU460" s="19"/>
      <c r="DV460" s="19"/>
      <c r="DW460" s="19"/>
      <c r="DX460" s="19"/>
      <c r="DY460" s="19"/>
      <c r="DZ460" s="19"/>
      <c r="EA460" s="19"/>
      <c r="EB460" s="19"/>
      <c r="EC460" s="19"/>
      <c r="ED460" s="19"/>
      <c r="EE460" s="19"/>
      <c r="EF460" s="19"/>
      <c r="EG460" s="19"/>
      <c r="EH460" s="19"/>
      <c r="EI460" s="19"/>
      <c r="EJ460" s="19"/>
      <c r="EK460" s="19"/>
      <c r="EL460" s="19"/>
      <c r="EM460" s="19"/>
      <c r="EN460" s="19"/>
      <c r="EO460" s="19"/>
      <c r="EP460" s="19"/>
      <c r="EQ460" s="19"/>
      <c r="ER460" s="19"/>
      <c r="ES460" s="19"/>
      <c r="ET460" s="19"/>
      <c r="EU460" s="19"/>
      <c r="EV460" s="19"/>
      <c r="EW460" s="19"/>
      <c r="EX460" s="19"/>
      <c r="EY460" s="19"/>
      <c r="EZ460" s="19"/>
      <c r="FA460" s="19"/>
      <c r="FB460" s="19"/>
      <c r="FC460" s="19"/>
      <c r="FD460" s="19"/>
      <c r="FE460" s="19"/>
      <c r="FF460" s="19"/>
      <c r="FG460" s="19"/>
      <c r="FH460" s="19"/>
      <c r="FI460" s="19"/>
      <c r="FJ460" s="19"/>
      <c r="FK460" s="19"/>
      <c r="FL460" s="19"/>
      <c r="FM460" s="19"/>
      <c r="FN460" s="19"/>
      <c r="FO460" s="19"/>
      <c r="FP460" s="19"/>
      <c r="FQ460" s="19"/>
      <c r="FR460" s="19"/>
      <c r="FS460" s="19"/>
      <c r="FT460" s="19"/>
      <c r="FU460" s="19"/>
      <c r="FV460" s="19"/>
      <c r="FW460" s="19"/>
      <c r="FX460" s="19"/>
      <c r="FY460" s="19"/>
      <c r="FZ460" s="19"/>
      <c r="GA460" s="19"/>
      <c r="GB460" s="19"/>
      <c r="GC460" s="19"/>
      <c r="GD460" s="19"/>
      <c r="GE460" s="19"/>
      <c r="GF460" s="19"/>
      <c r="GG460" s="19"/>
      <c r="GH460" s="19"/>
      <c r="GI460" s="19"/>
      <c r="GJ460" s="19"/>
      <c r="GK460" s="19"/>
      <c r="GL460" s="19"/>
      <c r="GM460" s="19"/>
      <c r="GN460" s="19"/>
      <c r="GO460" s="19"/>
      <c r="GP460" s="19"/>
      <c r="GQ460" s="19"/>
      <c r="GR460" s="19"/>
      <c r="GS460" s="19"/>
      <c r="GT460" s="19"/>
      <c r="GU460" s="19"/>
      <c r="GV460" s="19"/>
      <c r="GW460" s="19"/>
      <c r="GX460" s="19"/>
      <c r="GY460" s="19"/>
      <c r="GZ460" s="19"/>
      <c r="HA460" s="19"/>
      <c r="HB460" s="19"/>
    </row>
    <row r="461" spans="1:210" x14ac:dyDescent="0.25">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c r="BE461" s="19"/>
      <c r="BF461" s="19"/>
      <c r="BG461" s="19"/>
      <c r="BH461" s="19"/>
      <c r="BI461" s="19"/>
      <c r="BJ461" s="19"/>
      <c r="BK461" s="19"/>
      <c r="BL461" s="19"/>
      <c r="BM461" s="19"/>
      <c r="BN461" s="19"/>
      <c r="BO461" s="19"/>
      <c r="BP461" s="19"/>
      <c r="BQ461" s="19"/>
      <c r="BR461" s="19"/>
      <c r="BS461" s="19"/>
      <c r="BT461" s="19"/>
      <c r="BU461" s="19"/>
      <c r="BV461" s="19"/>
      <c r="BW461" s="19"/>
      <c r="BX461" s="19"/>
      <c r="BY461" s="19"/>
      <c r="BZ461" s="19"/>
      <c r="CA461" s="19"/>
      <c r="CB461" s="19"/>
      <c r="CC461" s="19"/>
      <c r="CD461" s="19"/>
      <c r="CE461" s="19"/>
      <c r="CF461" s="19"/>
      <c r="CG461" s="19"/>
      <c r="CH461" s="19"/>
      <c r="CI461" s="19"/>
      <c r="CJ461" s="19"/>
      <c r="CK461" s="19"/>
      <c r="CL461" s="19"/>
      <c r="CM461" s="19"/>
      <c r="CN461" s="19"/>
      <c r="CO461" s="19"/>
      <c r="CP461" s="19"/>
      <c r="CQ461" s="19"/>
      <c r="CR461" s="19"/>
      <c r="CS461" s="19"/>
      <c r="CT461" s="19"/>
      <c r="CU461" s="19"/>
      <c r="CV461" s="19"/>
      <c r="CW461" s="19"/>
      <c r="CX461" s="19"/>
      <c r="CY461" s="19"/>
      <c r="CZ461" s="19"/>
      <c r="DA461" s="19"/>
      <c r="DB461" s="19"/>
      <c r="DC461" s="19"/>
      <c r="DD461" s="19"/>
      <c r="DE461" s="19"/>
      <c r="DF461" s="19"/>
      <c r="DG461" s="19"/>
      <c r="DH461" s="19"/>
      <c r="DI461" s="19"/>
      <c r="DJ461" s="19"/>
      <c r="DK461" s="19"/>
      <c r="DL461" s="19"/>
      <c r="DM461" s="19"/>
      <c r="DN461" s="19"/>
      <c r="DO461" s="19"/>
      <c r="DP461" s="19"/>
      <c r="DQ461" s="19"/>
      <c r="DR461" s="19"/>
      <c r="DS461" s="19"/>
      <c r="DT461" s="19"/>
      <c r="DU461" s="19"/>
      <c r="DV461" s="19"/>
      <c r="DW461" s="19"/>
      <c r="DX461" s="19"/>
      <c r="DY461" s="19"/>
      <c r="DZ461" s="19"/>
      <c r="EA461" s="19"/>
      <c r="EB461" s="19"/>
      <c r="EC461" s="19"/>
      <c r="ED461" s="19"/>
      <c r="EE461" s="19"/>
      <c r="EF461" s="19"/>
      <c r="EG461" s="19"/>
      <c r="EH461" s="19"/>
      <c r="EI461" s="19"/>
      <c r="EJ461" s="19"/>
      <c r="EK461" s="19"/>
      <c r="EL461" s="19"/>
      <c r="EM461" s="19"/>
      <c r="EN461" s="19"/>
      <c r="EO461" s="19"/>
      <c r="EP461" s="19"/>
      <c r="EQ461" s="19"/>
      <c r="ER461" s="19"/>
      <c r="ES461" s="19"/>
      <c r="ET461" s="19"/>
      <c r="EU461" s="19"/>
      <c r="EV461" s="19"/>
      <c r="EW461" s="19"/>
      <c r="EX461" s="19"/>
      <c r="EY461" s="19"/>
      <c r="EZ461" s="19"/>
      <c r="FA461" s="19"/>
      <c r="FB461" s="19"/>
      <c r="FC461" s="19"/>
      <c r="FD461" s="19"/>
      <c r="FE461" s="19"/>
      <c r="FF461" s="19"/>
      <c r="FG461" s="19"/>
      <c r="FH461" s="19"/>
      <c r="FI461" s="19"/>
      <c r="FJ461" s="19"/>
      <c r="FK461" s="19"/>
      <c r="FL461" s="19"/>
      <c r="FM461" s="19"/>
      <c r="FN461" s="19"/>
      <c r="FO461" s="19"/>
      <c r="FP461" s="19"/>
      <c r="FQ461" s="19"/>
      <c r="FR461" s="19"/>
      <c r="FS461" s="19"/>
      <c r="FT461" s="19"/>
      <c r="FU461" s="19"/>
      <c r="FV461" s="19"/>
      <c r="FW461" s="19"/>
      <c r="FX461" s="19"/>
      <c r="FY461" s="19"/>
      <c r="FZ461" s="19"/>
      <c r="GA461" s="19"/>
      <c r="GB461" s="19"/>
      <c r="GC461" s="19"/>
      <c r="GD461" s="19"/>
      <c r="GE461" s="19"/>
      <c r="GF461" s="19"/>
      <c r="GG461" s="19"/>
      <c r="GH461" s="19"/>
      <c r="GI461" s="19"/>
      <c r="GJ461" s="19"/>
      <c r="GK461" s="19"/>
      <c r="GL461" s="19"/>
      <c r="GM461" s="19"/>
      <c r="GN461" s="19"/>
      <c r="GO461" s="19"/>
      <c r="GP461" s="19"/>
      <c r="GQ461" s="19"/>
      <c r="GR461" s="19"/>
      <c r="GS461" s="19"/>
      <c r="GT461" s="19"/>
      <c r="GU461" s="19"/>
      <c r="GV461" s="19"/>
      <c r="GW461" s="19"/>
      <c r="GX461" s="19"/>
      <c r="GY461" s="19"/>
      <c r="GZ461" s="19"/>
      <c r="HA461" s="19"/>
      <c r="HB461" s="19"/>
    </row>
    <row r="462" spans="1:210" x14ac:dyDescent="0.25">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c r="BE462" s="19"/>
      <c r="BF462" s="19"/>
      <c r="BG462" s="19"/>
      <c r="BH462" s="19"/>
      <c r="BI462" s="19"/>
      <c r="BJ462" s="19"/>
      <c r="BK462" s="19"/>
      <c r="BL462" s="19"/>
      <c r="BM462" s="19"/>
      <c r="BN462" s="19"/>
      <c r="BO462" s="19"/>
      <c r="BP462" s="19"/>
      <c r="BQ462" s="19"/>
      <c r="BR462" s="19"/>
      <c r="BS462" s="19"/>
      <c r="BT462" s="19"/>
      <c r="BU462" s="19"/>
      <c r="BV462" s="19"/>
      <c r="BW462" s="19"/>
      <c r="BX462" s="19"/>
      <c r="BY462" s="19"/>
      <c r="BZ462" s="19"/>
      <c r="CA462" s="19"/>
      <c r="CB462" s="19"/>
      <c r="CC462" s="19"/>
      <c r="CD462" s="19"/>
      <c r="CE462" s="19"/>
      <c r="CF462" s="19"/>
      <c r="CG462" s="19"/>
      <c r="CH462" s="19"/>
      <c r="CI462" s="19"/>
      <c r="CJ462" s="19"/>
      <c r="CK462" s="19"/>
      <c r="CL462" s="19"/>
      <c r="CM462" s="19"/>
      <c r="CN462" s="19"/>
      <c r="CO462" s="19"/>
      <c r="CP462" s="19"/>
      <c r="CQ462" s="19"/>
      <c r="CR462" s="19"/>
      <c r="CS462" s="19"/>
      <c r="CT462" s="19"/>
      <c r="CU462" s="19"/>
      <c r="CV462" s="19"/>
      <c r="CW462" s="19"/>
      <c r="CX462" s="19"/>
      <c r="CY462" s="19"/>
      <c r="CZ462" s="19"/>
      <c r="DA462" s="19"/>
      <c r="DB462" s="19"/>
      <c r="DC462" s="19"/>
      <c r="DD462" s="19"/>
      <c r="DE462" s="19"/>
      <c r="DF462" s="19"/>
      <c r="DG462" s="19"/>
      <c r="DH462" s="19"/>
      <c r="DI462" s="19"/>
      <c r="DJ462" s="19"/>
      <c r="DK462" s="19"/>
      <c r="DL462" s="19"/>
      <c r="DM462" s="19"/>
      <c r="DN462" s="19"/>
      <c r="DO462" s="19"/>
      <c r="DP462" s="19"/>
      <c r="DQ462" s="19"/>
      <c r="DR462" s="19"/>
      <c r="DS462" s="19"/>
      <c r="DT462" s="19"/>
      <c r="DU462" s="19"/>
      <c r="DV462" s="19"/>
      <c r="DW462" s="19"/>
      <c r="DX462" s="19"/>
      <c r="DY462" s="19"/>
      <c r="DZ462" s="19"/>
      <c r="EA462" s="19"/>
      <c r="EB462" s="19"/>
      <c r="EC462" s="19"/>
      <c r="ED462" s="19"/>
      <c r="EE462" s="19"/>
      <c r="EF462" s="19"/>
      <c r="EG462" s="19"/>
      <c r="EH462" s="19"/>
      <c r="EI462" s="19"/>
      <c r="EJ462" s="19"/>
      <c r="EK462" s="19"/>
      <c r="EL462" s="19"/>
      <c r="EM462" s="19"/>
      <c r="EN462" s="19"/>
      <c r="EO462" s="19"/>
      <c r="EP462" s="19"/>
      <c r="EQ462" s="19"/>
      <c r="ER462" s="19"/>
      <c r="ES462" s="19"/>
      <c r="ET462" s="19"/>
      <c r="EU462" s="19"/>
      <c r="EV462" s="19"/>
      <c r="EW462" s="19"/>
      <c r="EX462" s="19"/>
      <c r="EY462" s="19"/>
      <c r="EZ462" s="19"/>
      <c r="FA462" s="19"/>
      <c r="FB462" s="19"/>
      <c r="FC462" s="19"/>
      <c r="FD462" s="19"/>
      <c r="FE462" s="19"/>
      <c r="FF462" s="19"/>
      <c r="FG462" s="19"/>
      <c r="FH462" s="19"/>
      <c r="FI462" s="19"/>
      <c r="FJ462" s="19"/>
      <c r="FK462" s="19"/>
      <c r="FL462" s="19"/>
      <c r="FM462" s="19"/>
      <c r="FN462" s="19"/>
      <c r="FO462" s="19"/>
      <c r="FP462" s="19"/>
      <c r="FQ462" s="19"/>
      <c r="FR462" s="19"/>
      <c r="FS462" s="19"/>
      <c r="FT462" s="19"/>
      <c r="FU462" s="19"/>
      <c r="FV462" s="19"/>
      <c r="FW462" s="19"/>
      <c r="FX462" s="19"/>
      <c r="FY462" s="19"/>
      <c r="FZ462" s="19"/>
      <c r="GA462" s="19"/>
      <c r="GB462" s="19"/>
      <c r="GC462" s="19"/>
      <c r="GD462" s="19"/>
      <c r="GE462" s="19"/>
      <c r="GF462" s="19"/>
      <c r="GG462" s="19"/>
      <c r="GH462" s="19"/>
      <c r="GI462" s="19"/>
      <c r="GJ462" s="19"/>
      <c r="GK462" s="19"/>
      <c r="GL462" s="19"/>
      <c r="GM462" s="19"/>
      <c r="GN462" s="19"/>
      <c r="GO462" s="19"/>
      <c r="GP462" s="19"/>
      <c r="GQ462" s="19"/>
      <c r="GR462" s="19"/>
      <c r="GS462" s="19"/>
      <c r="GT462" s="19"/>
      <c r="GU462" s="19"/>
      <c r="GV462" s="19"/>
      <c r="GW462" s="19"/>
      <c r="GX462" s="19"/>
      <c r="GY462" s="19"/>
      <c r="GZ462" s="19"/>
      <c r="HA462" s="19"/>
      <c r="HB462" s="19"/>
    </row>
    <row r="463" spans="1:210" x14ac:dyDescent="0.25">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c r="BE463" s="19"/>
      <c r="BF463" s="19"/>
      <c r="BG463" s="19"/>
      <c r="BH463" s="19"/>
      <c r="BI463" s="19"/>
      <c r="BJ463" s="19"/>
      <c r="BK463" s="19"/>
      <c r="BL463" s="19"/>
      <c r="BM463" s="19"/>
      <c r="BN463" s="19"/>
      <c r="BO463" s="19"/>
      <c r="BP463" s="19"/>
      <c r="BQ463" s="19"/>
      <c r="BR463" s="19"/>
      <c r="BS463" s="19"/>
      <c r="BT463" s="19"/>
      <c r="BU463" s="19"/>
      <c r="BV463" s="19"/>
      <c r="BW463" s="19"/>
      <c r="BX463" s="19"/>
      <c r="BY463" s="19"/>
      <c r="BZ463" s="19"/>
      <c r="CA463" s="19"/>
      <c r="CB463" s="19"/>
      <c r="CC463" s="19"/>
      <c r="CD463" s="19"/>
      <c r="CE463" s="19"/>
      <c r="CF463" s="19"/>
      <c r="CG463" s="19"/>
      <c r="CH463" s="19"/>
      <c r="CI463" s="19"/>
      <c r="CJ463" s="19"/>
      <c r="CK463" s="19"/>
      <c r="CL463" s="19"/>
      <c r="CM463" s="19"/>
      <c r="CN463" s="19"/>
      <c r="CO463" s="19"/>
      <c r="CP463" s="19"/>
      <c r="CQ463" s="19"/>
      <c r="CR463" s="19"/>
      <c r="CS463" s="19"/>
      <c r="CT463" s="19"/>
      <c r="CU463" s="19"/>
      <c r="CV463" s="19"/>
      <c r="CW463" s="19"/>
      <c r="CX463" s="19"/>
      <c r="CY463" s="19"/>
      <c r="CZ463" s="19"/>
      <c r="DA463" s="19"/>
      <c r="DB463" s="19"/>
      <c r="DC463" s="19"/>
      <c r="DD463" s="19"/>
      <c r="DE463" s="19"/>
      <c r="DF463" s="19"/>
      <c r="DG463" s="19"/>
      <c r="DH463" s="19"/>
      <c r="DI463" s="19"/>
      <c r="DJ463" s="19"/>
      <c r="DK463" s="19"/>
      <c r="DL463" s="19"/>
      <c r="DM463" s="19"/>
      <c r="DN463" s="19"/>
      <c r="DO463" s="19"/>
      <c r="DP463" s="19"/>
      <c r="DQ463" s="19"/>
      <c r="DR463" s="19"/>
      <c r="DS463" s="19"/>
      <c r="DT463" s="19"/>
      <c r="DU463" s="19"/>
      <c r="DV463" s="19"/>
      <c r="DW463" s="19"/>
      <c r="DX463" s="19"/>
      <c r="DY463" s="19"/>
      <c r="DZ463" s="19"/>
      <c r="EA463" s="19"/>
      <c r="EB463" s="19"/>
      <c r="EC463" s="19"/>
      <c r="ED463" s="19"/>
      <c r="EE463" s="19"/>
      <c r="EF463" s="19"/>
      <c r="EG463" s="19"/>
      <c r="EH463" s="19"/>
      <c r="EI463" s="19"/>
      <c r="EJ463" s="19"/>
      <c r="EK463" s="19"/>
      <c r="EL463" s="19"/>
      <c r="EM463" s="19"/>
      <c r="EN463" s="19"/>
      <c r="EO463" s="19"/>
      <c r="EP463" s="19"/>
      <c r="EQ463" s="19"/>
      <c r="ER463" s="19"/>
      <c r="ES463" s="19"/>
      <c r="ET463" s="19"/>
      <c r="EU463" s="19"/>
      <c r="EV463" s="19"/>
      <c r="EW463" s="19"/>
      <c r="EX463" s="19"/>
      <c r="EY463" s="19"/>
      <c r="EZ463" s="19"/>
      <c r="FA463" s="19"/>
      <c r="FB463" s="19"/>
      <c r="FC463" s="19"/>
      <c r="FD463" s="19"/>
      <c r="FE463" s="19"/>
      <c r="FF463" s="19"/>
      <c r="FG463" s="19"/>
      <c r="FH463" s="19"/>
      <c r="FI463" s="19"/>
      <c r="FJ463" s="19"/>
      <c r="FK463" s="19"/>
      <c r="FL463" s="19"/>
      <c r="FM463" s="19"/>
      <c r="FN463" s="19"/>
      <c r="FO463" s="19"/>
      <c r="FP463" s="19"/>
      <c r="FQ463" s="19"/>
      <c r="FR463" s="19"/>
      <c r="FS463" s="19"/>
      <c r="FT463" s="19"/>
      <c r="FU463" s="19"/>
      <c r="FV463" s="19"/>
      <c r="FW463" s="19"/>
      <c r="FX463" s="19"/>
      <c r="FY463" s="19"/>
      <c r="FZ463" s="19"/>
      <c r="GA463" s="19"/>
      <c r="GB463" s="19"/>
      <c r="GC463" s="19"/>
      <c r="GD463" s="19"/>
      <c r="GE463" s="19"/>
      <c r="GF463" s="19"/>
      <c r="GG463" s="19"/>
      <c r="GH463" s="19"/>
      <c r="GI463" s="19"/>
      <c r="GJ463" s="19"/>
      <c r="GK463" s="19"/>
      <c r="GL463" s="19"/>
      <c r="GM463" s="19"/>
      <c r="GN463" s="19"/>
      <c r="GO463" s="19"/>
      <c r="GP463" s="19"/>
      <c r="GQ463" s="19"/>
      <c r="GR463" s="19"/>
      <c r="GS463" s="19"/>
      <c r="GT463" s="19"/>
      <c r="GU463" s="19"/>
      <c r="GV463" s="19"/>
      <c r="GW463" s="19"/>
      <c r="GX463" s="19"/>
      <c r="GY463" s="19"/>
      <c r="GZ463" s="19"/>
      <c r="HA463" s="19"/>
      <c r="HB463" s="19"/>
    </row>
    <row r="464" spans="1:210" x14ac:dyDescent="0.25">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c r="BE464" s="19"/>
      <c r="BF464" s="19"/>
      <c r="BG464" s="19"/>
      <c r="BH464" s="19"/>
      <c r="BI464" s="19"/>
      <c r="BJ464" s="19"/>
      <c r="BK464" s="19"/>
      <c r="BL464" s="19"/>
      <c r="BM464" s="19"/>
      <c r="BN464" s="19"/>
      <c r="BO464" s="19"/>
      <c r="BP464" s="19"/>
      <c r="BQ464" s="19"/>
      <c r="BR464" s="19"/>
      <c r="BS464" s="19"/>
      <c r="BT464" s="19"/>
      <c r="BU464" s="19"/>
      <c r="BV464" s="19"/>
      <c r="BW464" s="19"/>
      <c r="BX464" s="19"/>
      <c r="BY464" s="19"/>
      <c r="BZ464" s="19"/>
      <c r="CA464" s="19"/>
      <c r="CB464" s="19"/>
      <c r="CC464" s="19"/>
      <c r="CD464" s="19"/>
      <c r="CE464" s="19"/>
      <c r="CF464" s="19"/>
      <c r="CG464" s="19"/>
      <c r="CH464" s="19"/>
      <c r="CI464" s="19"/>
      <c r="CJ464" s="19"/>
      <c r="CK464" s="19"/>
      <c r="CL464" s="19"/>
      <c r="CM464" s="19"/>
      <c r="CN464" s="19"/>
      <c r="CO464" s="19"/>
      <c r="CP464" s="19"/>
      <c r="CQ464" s="19"/>
      <c r="CR464" s="19"/>
      <c r="CS464" s="19"/>
      <c r="CT464" s="19"/>
      <c r="CU464" s="19"/>
      <c r="CV464" s="19"/>
      <c r="CW464" s="19"/>
      <c r="CX464" s="19"/>
      <c r="CY464" s="19"/>
      <c r="CZ464" s="19"/>
      <c r="DA464" s="19"/>
      <c r="DB464" s="19"/>
      <c r="DC464" s="19"/>
      <c r="DD464" s="19"/>
      <c r="DE464" s="19"/>
      <c r="DF464" s="19"/>
      <c r="DG464" s="19"/>
      <c r="DH464" s="19"/>
      <c r="DI464" s="19"/>
      <c r="DJ464" s="19"/>
      <c r="DK464" s="19"/>
      <c r="DL464" s="19"/>
      <c r="DM464" s="19"/>
      <c r="DN464" s="19"/>
      <c r="DO464" s="19"/>
      <c r="DP464" s="19"/>
      <c r="DQ464" s="19"/>
      <c r="DR464" s="19"/>
      <c r="DS464" s="19"/>
      <c r="DT464" s="19"/>
      <c r="DU464" s="19"/>
      <c r="DV464" s="19"/>
      <c r="DW464" s="19"/>
      <c r="DX464" s="19"/>
      <c r="DY464" s="19"/>
      <c r="DZ464" s="19"/>
      <c r="EA464" s="19"/>
      <c r="EB464" s="19"/>
      <c r="EC464" s="19"/>
      <c r="ED464" s="19"/>
      <c r="EE464" s="19"/>
      <c r="EF464" s="19"/>
      <c r="EG464" s="19"/>
      <c r="EH464" s="19"/>
      <c r="EI464" s="19"/>
      <c r="EJ464" s="19"/>
      <c r="EK464" s="19"/>
      <c r="EL464" s="19"/>
      <c r="EM464" s="19"/>
      <c r="EN464" s="19"/>
      <c r="EO464" s="19"/>
      <c r="EP464" s="19"/>
      <c r="EQ464" s="19"/>
      <c r="ER464" s="19"/>
      <c r="ES464" s="19"/>
      <c r="ET464" s="19"/>
      <c r="EU464" s="19"/>
      <c r="EV464" s="19"/>
      <c r="EW464" s="19"/>
      <c r="EX464" s="19"/>
      <c r="EY464" s="19"/>
      <c r="EZ464" s="19"/>
      <c r="FA464" s="19"/>
      <c r="FB464" s="19"/>
      <c r="FC464" s="19"/>
      <c r="FD464" s="19"/>
      <c r="FE464" s="19"/>
      <c r="FF464" s="19"/>
      <c r="FG464" s="19"/>
      <c r="FH464" s="19"/>
      <c r="FI464" s="19"/>
      <c r="FJ464" s="19"/>
      <c r="FK464" s="19"/>
      <c r="FL464" s="19"/>
      <c r="FM464" s="19"/>
      <c r="FN464" s="19"/>
      <c r="FO464" s="19"/>
      <c r="FP464" s="19"/>
      <c r="FQ464" s="19"/>
      <c r="FR464" s="19"/>
      <c r="FS464" s="19"/>
      <c r="FT464" s="19"/>
      <c r="FU464" s="19"/>
      <c r="FV464" s="19"/>
      <c r="FW464" s="19"/>
      <c r="FX464" s="19"/>
      <c r="FY464" s="19"/>
      <c r="FZ464" s="19"/>
      <c r="GA464" s="19"/>
      <c r="GB464" s="19"/>
      <c r="GC464" s="19"/>
      <c r="GD464" s="19"/>
      <c r="GE464" s="19"/>
      <c r="GF464" s="19"/>
      <c r="GG464" s="19"/>
      <c r="GH464" s="19"/>
      <c r="GI464" s="19"/>
      <c r="GJ464" s="19"/>
      <c r="GK464" s="19"/>
      <c r="GL464" s="19"/>
      <c r="GM464" s="19"/>
      <c r="GN464" s="19"/>
      <c r="GO464" s="19"/>
      <c r="GP464" s="19"/>
      <c r="GQ464" s="19"/>
      <c r="GR464" s="19"/>
      <c r="GS464" s="19"/>
      <c r="GT464" s="19"/>
      <c r="GU464" s="19"/>
      <c r="GV464" s="19"/>
      <c r="GW464" s="19"/>
      <c r="GX464" s="19"/>
      <c r="GY464" s="19"/>
      <c r="GZ464" s="19"/>
      <c r="HA464" s="19"/>
      <c r="HB464" s="19"/>
    </row>
    <row r="465" spans="1:210" x14ac:dyDescent="0.25">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c r="BE465" s="19"/>
      <c r="BF465" s="19"/>
      <c r="BG465" s="19"/>
      <c r="BH465" s="19"/>
      <c r="BI465" s="19"/>
      <c r="BJ465" s="19"/>
      <c r="BK465" s="19"/>
      <c r="BL465" s="19"/>
      <c r="BM465" s="19"/>
      <c r="BN465" s="19"/>
      <c r="BO465" s="19"/>
      <c r="BP465" s="19"/>
      <c r="BQ465" s="19"/>
      <c r="BR465" s="19"/>
      <c r="BS465" s="19"/>
      <c r="BT465" s="19"/>
      <c r="BU465" s="19"/>
      <c r="BV465" s="19"/>
      <c r="BW465" s="19"/>
      <c r="BX465" s="19"/>
      <c r="BY465" s="19"/>
      <c r="BZ465" s="19"/>
      <c r="CA465" s="19"/>
      <c r="CB465" s="19"/>
      <c r="CC465" s="19"/>
      <c r="CD465" s="19"/>
      <c r="CE465" s="19"/>
      <c r="CF465" s="19"/>
      <c r="CG465" s="19"/>
      <c r="CH465" s="19"/>
      <c r="CI465" s="19"/>
      <c r="CJ465" s="19"/>
      <c r="CK465" s="19"/>
      <c r="CL465" s="19"/>
      <c r="CM465" s="19"/>
      <c r="CN465" s="19"/>
      <c r="CO465" s="19"/>
      <c r="CP465" s="19"/>
      <c r="CQ465" s="19"/>
      <c r="CR465" s="19"/>
      <c r="CS465" s="19"/>
      <c r="CT465" s="19"/>
      <c r="CU465" s="19"/>
      <c r="CV465" s="19"/>
      <c r="CW465" s="19"/>
      <c r="CX465" s="19"/>
      <c r="CY465" s="19"/>
      <c r="CZ465" s="19"/>
      <c r="DA465" s="19"/>
      <c r="DB465" s="19"/>
      <c r="DC465" s="19"/>
      <c r="DD465" s="19"/>
      <c r="DE465" s="19"/>
      <c r="DF465" s="19"/>
      <c r="DG465" s="19"/>
      <c r="DH465" s="19"/>
      <c r="DI465" s="19"/>
      <c r="DJ465" s="19"/>
      <c r="DK465" s="19"/>
      <c r="DL465" s="19"/>
      <c r="DM465" s="19"/>
      <c r="DN465" s="19"/>
      <c r="DO465" s="19"/>
      <c r="DP465" s="19"/>
      <c r="DQ465" s="19"/>
      <c r="DR465" s="19"/>
      <c r="DS465" s="19"/>
      <c r="DT465" s="19"/>
      <c r="DU465" s="19"/>
      <c r="DV465" s="19"/>
      <c r="DW465" s="19"/>
      <c r="DX465" s="19"/>
      <c r="DY465" s="19"/>
      <c r="DZ465" s="19"/>
      <c r="EA465" s="19"/>
      <c r="EB465" s="19"/>
      <c r="EC465" s="19"/>
      <c r="ED465" s="19"/>
      <c r="EE465" s="19"/>
      <c r="EF465" s="19"/>
      <c r="EG465" s="19"/>
      <c r="EH465" s="19"/>
      <c r="EI465" s="19"/>
      <c r="EJ465" s="19"/>
      <c r="EK465" s="19"/>
      <c r="EL465" s="19"/>
      <c r="EM465" s="19"/>
      <c r="EN465" s="19"/>
      <c r="EO465" s="19"/>
      <c r="EP465" s="19"/>
      <c r="EQ465" s="19"/>
      <c r="ER465" s="19"/>
      <c r="ES465" s="19"/>
      <c r="ET465" s="19"/>
      <c r="EU465" s="19"/>
      <c r="EV465" s="19"/>
      <c r="EW465" s="19"/>
      <c r="EX465" s="19"/>
      <c r="EY465" s="19"/>
      <c r="EZ465" s="19"/>
      <c r="FA465" s="19"/>
      <c r="FB465" s="19"/>
      <c r="FC465" s="19"/>
      <c r="FD465" s="19"/>
      <c r="FE465" s="19"/>
      <c r="FF465" s="19"/>
      <c r="FG465" s="19"/>
      <c r="FH465" s="19"/>
      <c r="FI465" s="19"/>
      <c r="FJ465" s="19"/>
      <c r="FK465" s="19"/>
      <c r="FL465" s="19"/>
      <c r="FM465" s="19"/>
      <c r="FN465" s="19"/>
      <c r="FO465" s="19"/>
      <c r="FP465" s="19"/>
      <c r="FQ465" s="19"/>
      <c r="FR465" s="19"/>
      <c r="FS465" s="19"/>
      <c r="FT465" s="19"/>
      <c r="FU465" s="19"/>
      <c r="FV465" s="19"/>
      <c r="FW465" s="19"/>
      <c r="FX465" s="19"/>
      <c r="FY465" s="19"/>
      <c r="FZ465" s="19"/>
      <c r="GA465" s="19"/>
      <c r="GB465" s="19"/>
      <c r="GC465" s="19"/>
      <c r="GD465" s="19"/>
      <c r="GE465" s="19"/>
      <c r="GF465" s="19"/>
      <c r="GG465" s="19"/>
      <c r="GH465" s="19"/>
      <c r="GI465" s="19"/>
      <c r="GJ465" s="19"/>
      <c r="GK465" s="19"/>
      <c r="GL465" s="19"/>
      <c r="GM465" s="19"/>
      <c r="GN465" s="19"/>
      <c r="GO465" s="19"/>
      <c r="GP465" s="19"/>
      <c r="GQ465" s="19"/>
      <c r="GR465" s="19"/>
      <c r="GS465" s="19"/>
      <c r="GT465" s="19"/>
      <c r="GU465" s="19"/>
      <c r="GV465" s="19"/>
      <c r="GW465" s="19"/>
      <c r="GX465" s="19"/>
      <c r="GY465" s="19"/>
      <c r="GZ465" s="19"/>
      <c r="HA465" s="19"/>
      <c r="HB465" s="19"/>
    </row>
    <row r="466" spans="1:210" x14ac:dyDescent="0.25">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c r="BE466" s="19"/>
      <c r="BF466" s="19"/>
      <c r="BG466" s="19"/>
      <c r="BH466" s="19"/>
      <c r="BI466" s="19"/>
      <c r="BJ466" s="19"/>
      <c r="BK466" s="19"/>
      <c r="BL466" s="19"/>
      <c r="BM466" s="19"/>
      <c r="BN466" s="19"/>
      <c r="BO466" s="19"/>
      <c r="BP466" s="19"/>
      <c r="BQ466" s="19"/>
      <c r="BR466" s="19"/>
      <c r="BS466" s="19"/>
      <c r="BT466" s="19"/>
      <c r="BU466" s="19"/>
      <c r="BV466" s="19"/>
      <c r="BW466" s="19"/>
      <c r="BX466" s="19"/>
      <c r="BY466" s="19"/>
      <c r="BZ466" s="19"/>
      <c r="CA466" s="19"/>
      <c r="CB466" s="19"/>
      <c r="CC466" s="19"/>
      <c r="CD466" s="19"/>
      <c r="CE466" s="19"/>
      <c r="CF466" s="19"/>
      <c r="CG466" s="19"/>
      <c r="CH466" s="19"/>
      <c r="CI466" s="19"/>
      <c r="CJ466" s="19"/>
      <c r="CK466" s="19"/>
      <c r="CL466" s="19"/>
      <c r="CM466" s="19"/>
      <c r="CN466" s="19"/>
      <c r="CO466" s="19"/>
      <c r="CP466" s="19"/>
      <c r="CQ466" s="19"/>
      <c r="CR466" s="19"/>
      <c r="CS466" s="19"/>
      <c r="CT466" s="19"/>
      <c r="CU466" s="19"/>
      <c r="CV466" s="19"/>
      <c r="CW466" s="19"/>
      <c r="CX466" s="19"/>
      <c r="CY466" s="19"/>
      <c r="CZ466" s="19"/>
      <c r="DA466" s="19"/>
      <c r="DB466" s="19"/>
      <c r="DC466" s="19"/>
      <c r="DD466" s="19"/>
      <c r="DE466" s="19"/>
      <c r="DF466" s="19"/>
      <c r="DG466" s="19"/>
      <c r="DH466" s="19"/>
      <c r="DI466" s="19"/>
      <c r="DJ466" s="19"/>
      <c r="DK466" s="19"/>
      <c r="DL466" s="19"/>
      <c r="DM466" s="19"/>
      <c r="DN466" s="19"/>
      <c r="DO466" s="19"/>
      <c r="DP466" s="19"/>
      <c r="DQ466" s="19"/>
      <c r="DR466" s="19"/>
      <c r="DS466" s="19"/>
      <c r="DT466" s="19"/>
      <c r="DU466" s="19"/>
      <c r="DV466" s="19"/>
      <c r="DW466" s="19"/>
      <c r="DX466" s="19"/>
      <c r="DY466" s="19"/>
      <c r="DZ466" s="19"/>
      <c r="EA466" s="19"/>
      <c r="EB466" s="19"/>
      <c r="EC466" s="19"/>
      <c r="ED466" s="19"/>
      <c r="EE466" s="19"/>
      <c r="EF466" s="19"/>
      <c r="EG466" s="19"/>
      <c r="EH466" s="19"/>
      <c r="EI466" s="19"/>
      <c r="EJ466" s="19"/>
      <c r="EK466" s="19"/>
      <c r="EL466" s="19"/>
      <c r="EM466" s="19"/>
      <c r="EN466" s="19"/>
      <c r="EO466" s="19"/>
      <c r="EP466" s="19"/>
      <c r="EQ466" s="19"/>
      <c r="ER466" s="19"/>
      <c r="ES466" s="19"/>
      <c r="ET466" s="19"/>
      <c r="EU466" s="19"/>
      <c r="EV466" s="19"/>
      <c r="EW466" s="19"/>
      <c r="EX466" s="19"/>
      <c r="EY466" s="19"/>
      <c r="EZ466" s="19"/>
      <c r="FA466" s="19"/>
      <c r="FB466" s="19"/>
      <c r="FC466" s="19"/>
      <c r="FD466" s="19"/>
      <c r="FE466" s="19"/>
      <c r="FF466" s="19"/>
      <c r="FG466" s="19"/>
      <c r="FH466" s="19"/>
      <c r="FI466" s="19"/>
      <c r="FJ466" s="19"/>
      <c r="FK466" s="19"/>
      <c r="FL466" s="19"/>
      <c r="FM466" s="19"/>
      <c r="FN466" s="19"/>
      <c r="FO466" s="19"/>
      <c r="FP466" s="19"/>
      <c r="FQ466" s="19"/>
      <c r="FR466" s="19"/>
      <c r="FS466" s="19"/>
      <c r="FT466" s="19"/>
      <c r="FU466" s="19"/>
      <c r="FV466" s="19"/>
      <c r="FW466" s="19"/>
      <c r="FX466" s="19"/>
      <c r="FY466" s="19"/>
      <c r="FZ466" s="19"/>
      <c r="GA466" s="19"/>
      <c r="GB466" s="19"/>
      <c r="GC466" s="19"/>
      <c r="GD466" s="19"/>
      <c r="GE466" s="19"/>
      <c r="GF466" s="19"/>
      <c r="GG466" s="19"/>
      <c r="GH466" s="19"/>
      <c r="GI466" s="19"/>
      <c r="GJ466" s="19"/>
      <c r="GK466" s="19"/>
      <c r="GL466" s="19"/>
      <c r="GM466" s="19"/>
      <c r="GN466" s="19"/>
      <c r="GO466" s="19"/>
      <c r="GP466" s="19"/>
      <c r="GQ466" s="19"/>
      <c r="GR466" s="19"/>
      <c r="GS466" s="19"/>
      <c r="GT466" s="19"/>
      <c r="GU466" s="19"/>
      <c r="GV466" s="19"/>
      <c r="GW466" s="19"/>
      <c r="GX466" s="19"/>
      <c r="GY466" s="19"/>
      <c r="GZ466" s="19"/>
      <c r="HA466" s="19"/>
      <c r="HB466" s="19"/>
    </row>
    <row r="467" spans="1:210" x14ac:dyDescent="0.25">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c r="BE467" s="19"/>
      <c r="BF467" s="19"/>
      <c r="BG467" s="19"/>
      <c r="BH467" s="19"/>
      <c r="BI467" s="19"/>
      <c r="BJ467" s="19"/>
      <c r="BK467" s="19"/>
      <c r="BL467" s="19"/>
      <c r="BM467" s="19"/>
      <c r="BN467" s="19"/>
      <c r="BO467" s="19"/>
      <c r="BP467" s="19"/>
      <c r="BQ467" s="19"/>
      <c r="BR467" s="19"/>
      <c r="BS467" s="19"/>
      <c r="BT467" s="19"/>
      <c r="BU467" s="19"/>
      <c r="BV467" s="19"/>
      <c r="BW467" s="19"/>
      <c r="BX467" s="19"/>
      <c r="BY467" s="19"/>
      <c r="BZ467" s="19"/>
      <c r="CA467" s="19"/>
      <c r="CB467" s="19"/>
      <c r="CC467" s="19"/>
      <c r="CD467" s="19"/>
      <c r="CE467" s="19"/>
      <c r="CF467" s="19"/>
      <c r="CG467" s="19"/>
      <c r="CH467" s="19"/>
      <c r="CI467" s="19"/>
      <c r="CJ467" s="19"/>
      <c r="CK467" s="19"/>
      <c r="CL467" s="19"/>
      <c r="CM467" s="19"/>
      <c r="CN467" s="19"/>
      <c r="CO467" s="19"/>
      <c r="CP467" s="19"/>
      <c r="CQ467" s="19"/>
      <c r="CR467" s="19"/>
      <c r="CS467" s="19"/>
      <c r="CT467" s="19"/>
      <c r="CU467" s="19"/>
      <c r="CV467" s="19"/>
      <c r="CW467" s="19"/>
      <c r="CX467" s="19"/>
      <c r="CY467" s="19"/>
      <c r="CZ467" s="19"/>
      <c r="DA467" s="19"/>
      <c r="DB467" s="19"/>
      <c r="DC467" s="19"/>
      <c r="DD467" s="19"/>
      <c r="DE467" s="19"/>
      <c r="DF467" s="19"/>
      <c r="DG467" s="19"/>
      <c r="DH467" s="19"/>
      <c r="DI467" s="19"/>
      <c r="DJ467" s="19"/>
      <c r="DK467" s="19"/>
      <c r="DL467" s="19"/>
      <c r="DM467" s="19"/>
      <c r="DN467" s="19"/>
      <c r="DO467" s="19"/>
      <c r="DP467" s="19"/>
      <c r="DQ467" s="19"/>
      <c r="DR467" s="19"/>
      <c r="DS467" s="19"/>
      <c r="DT467" s="19"/>
      <c r="DU467" s="19"/>
      <c r="DV467" s="19"/>
      <c r="DW467" s="19"/>
      <c r="DX467" s="19"/>
      <c r="DY467" s="19"/>
      <c r="DZ467" s="19"/>
      <c r="EA467" s="19"/>
      <c r="EB467" s="19"/>
      <c r="EC467" s="19"/>
      <c r="ED467" s="19"/>
      <c r="EE467" s="19"/>
      <c r="EF467" s="19"/>
      <c r="EG467" s="19"/>
      <c r="EH467" s="19"/>
      <c r="EI467" s="19"/>
      <c r="EJ467" s="19"/>
      <c r="EK467" s="19"/>
      <c r="EL467" s="19"/>
      <c r="EM467" s="19"/>
      <c r="EN467" s="19"/>
      <c r="EO467" s="19"/>
      <c r="EP467" s="19"/>
      <c r="EQ467" s="19"/>
      <c r="ER467" s="19"/>
      <c r="ES467" s="19"/>
      <c r="ET467" s="19"/>
      <c r="EU467" s="19"/>
      <c r="EV467" s="19"/>
      <c r="EW467" s="19"/>
      <c r="EX467" s="19"/>
      <c r="EY467" s="19"/>
      <c r="EZ467" s="19"/>
      <c r="FA467" s="19"/>
      <c r="FB467" s="19"/>
      <c r="FC467" s="19"/>
      <c r="FD467" s="19"/>
      <c r="FE467" s="19"/>
      <c r="FF467" s="19"/>
      <c r="FG467" s="19"/>
      <c r="FH467" s="19"/>
      <c r="FI467" s="19"/>
      <c r="FJ467" s="19"/>
      <c r="FK467" s="19"/>
      <c r="FL467" s="19"/>
      <c r="FM467" s="19"/>
      <c r="FN467" s="19"/>
      <c r="FO467" s="19"/>
      <c r="FP467" s="19"/>
      <c r="FQ467" s="19"/>
      <c r="FR467" s="19"/>
      <c r="FS467" s="19"/>
      <c r="FT467" s="19"/>
      <c r="FU467" s="19"/>
      <c r="FV467" s="19"/>
      <c r="FW467" s="19"/>
      <c r="FX467" s="19"/>
      <c r="FY467" s="19"/>
      <c r="FZ467" s="19"/>
      <c r="GA467" s="19"/>
      <c r="GB467" s="19"/>
      <c r="GC467" s="19"/>
      <c r="GD467" s="19"/>
      <c r="GE467" s="19"/>
      <c r="GF467" s="19"/>
      <c r="GG467" s="19"/>
      <c r="GH467" s="19"/>
      <c r="GI467" s="19"/>
      <c r="GJ467" s="19"/>
      <c r="GK467" s="19"/>
      <c r="GL467" s="19"/>
      <c r="GM467" s="19"/>
      <c r="GN467" s="19"/>
      <c r="GO467" s="19"/>
      <c r="GP467" s="19"/>
      <c r="GQ467" s="19"/>
      <c r="GR467" s="19"/>
      <c r="GS467" s="19"/>
      <c r="GT467" s="19"/>
      <c r="GU467" s="19"/>
      <c r="GV467" s="19"/>
      <c r="GW467" s="19"/>
      <c r="GX467" s="19"/>
      <c r="GY467" s="19"/>
      <c r="GZ467" s="19"/>
      <c r="HA467" s="19"/>
      <c r="HB467" s="19"/>
    </row>
    <row r="468" spans="1:210" x14ac:dyDescent="0.25">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c r="BE468" s="19"/>
      <c r="BF468" s="19"/>
      <c r="BG468" s="19"/>
      <c r="BH468" s="19"/>
      <c r="BI468" s="19"/>
      <c r="BJ468" s="19"/>
      <c r="BK468" s="19"/>
      <c r="BL468" s="19"/>
      <c r="BM468" s="19"/>
      <c r="BN468" s="19"/>
      <c r="BO468" s="19"/>
      <c r="BP468" s="19"/>
      <c r="BQ468" s="19"/>
      <c r="BR468" s="19"/>
      <c r="BS468" s="19"/>
      <c r="BT468" s="19"/>
      <c r="BU468" s="19"/>
      <c r="BV468" s="19"/>
      <c r="BW468" s="19"/>
      <c r="BX468" s="19"/>
      <c r="BY468" s="19"/>
      <c r="BZ468" s="19"/>
      <c r="CA468" s="19"/>
      <c r="CB468" s="19"/>
      <c r="CC468" s="19"/>
      <c r="CD468" s="19"/>
      <c r="CE468" s="19"/>
      <c r="CF468" s="19"/>
      <c r="CG468" s="19"/>
      <c r="CH468" s="19"/>
      <c r="CI468" s="19"/>
      <c r="CJ468" s="19"/>
      <c r="CK468" s="19"/>
      <c r="CL468" s="19"/>
      <c r="CM468" s="19"/>
      <c r="CN468" s="19"/>
      <c r="CO468" s="19"/>
      <c r="CP468" s="19"/>
      <c r="CQ468" s="19"/>
      <c r="CR468" s="19"/>
      <c r="CS468" s="19"/>
      <c r="CT468" s="19"/>
      <c r="CU468" s="19"/>
      <c r="CV468" s="19"/>
      <c r="CW468" s="19"/>
      <c r="CX468" s="19"/>
      <c r="CY468" s="19"/>
      <c r="CZ468" s="19"/>
      <c r="DA468" s="19"/>
      <c r="DB468" s="19"/>
      <c r="DC468" s="19"/>
      <c r="DD468" s="19"/>
      <c r="DE468" s="19"/>
      <c r="DF468" s="19"/>
      <c r="DG468" s="19"/>
      <c r="DH468" s="19"/>
      <c r="DI468" s="19"/>
      <c r="DJ468" s="19"/>
      <c r="DK468" s="19"/>
      <c r="DL468" s="19"/>
      <c r="DM468" s="19"/>
      <c r="DN468" s="19"/>
      <c r="DO468" s="19"/>
      <c r="DP468" s="19"/>
      <c r="DQ468" s="19"/>
      <c r="DR468" s="19"/>
      <c r="DS468" s="19"/>
      <c r="DT468" s="19"/>
      <c r="DU468" s="19"/>
      <c r="DV468" s="19"/>
      <c r="DW468" s="19"/>
      <c r="DX468" s="19"/>
      <c r="DY468" s="19"/>
      <c r="DZ468" s="19"/>
      <c r="EA468" s="19"/>
      <c r="EB468" s="19"/>
      <c r="EC468" s="19"/>
      <c r="ED468" s="19"/>
      <c r="EE468" s="19"/>
      <c r="EF468" s="19"/>
      <c r="EG468" s="19"/>
      <c r="EH468" s="19"/>
      <c r="EI468" s="19"/>
      <c r="EJ468" s="19"/>
      <c r="EK468" s="19"/>
      <c r="EL468" s="19"/>
      <c r="EM468" s="19"/>
      <c r="EN468" s="19"/>
      <c r="EO468" s="19"/>
      <c r="EP468" s="19"/>
      <c r="EQ468" s="19"/>
      <c r="ER468" s="19"/>
      <c r="ES468" s="19"/>
      <c r="ET468" s="19"/>
      <c r="EU468" s="19"/>
      <c r="EV468" s="19"/>
      <c r="EW468" s="19"/>
      <c r="EX468" s="19"/>
      <c r="EY468" s="19"/>
      <c r="EZ468" s="19"/>
      <c r="FA468" s="19"/>
      <c r="FB468" s="19"/>
      <c r="FC468" s="19"/>
      <c r="FD468" s="19"/>
      <c r="FE468" s="19"/>
      <c r="FF468" s="19"/>
      <c r="FG468" s="19"/>
      <c r="FH468" s="19"/>
      <c r="FI468" s="19"/>
      <c r="FJ468" s="19"/>
      <c r="FK468" s="19"/>
      <c r="FL468" s="19"/>
      <c r="FM468" s="19"/>
      <c r="FN468" s="19"/>
      <c r="FO468" s="19"/>
      <c r="FP468" s="19"/>
      <c r="FQ468" s="19"/>
      <c r="FR468" s="19"/>
      <c r="FS468" s="19"/>
      <c r="FT468" s="19"/>
      <c r="FU468" s="19"/>
      <c r="FV468" s="19"/>
      <c r="FW468" s="19"/>
      <c r="FX468" s="19"/>
      <c r="FY468" s="19"/>
      <c r="FZ468" s="19"/>
      <c r="GA468" s="19"/>
      <c r="GB468" s="19"/>
      <c r="GC468" s="19"/>
      <c r="GD468" s="19"/>
      <c r="GE468" s="19"/>
      <c r="GF468" s="19"/>
      <c r="GG468" s="19"/>
      <c r="GH468" s="19"/>
      <c r="GI468" s="19"/>
      <c r="GJ468" s="19"/>
      <c r="GK468" s="19"/>
      <c r="GL468" s="19"/>
      <c r="GM468" s="19"/>
      <c r="GN468" s="19"/>
      <c r="GO468" s="19"/>
      <c r="GP468" s="19"/>
      <c r="GQ468" s="19"/>
      <c r="GR468" s="19"/>
      <c r="GS468" s="19"/>
      <c r="GT468" s="19"/>
      <c r="GU468" s="19"/>
      <c r="GV468" s="19"/>
      <c r="GW468" s="19"/>
      <c r="GX468" s="19"/>
      <c r="GY468" s="19"/>
      <c r="GZ468" s="19"/>
      <c r="HA468" s="19"/>
      <c r="HB468" s="19"/>
    </row>
    <row r="469" spans="1:210" x14ac:dyDescent="0.25">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c r="BE469" s="19"/>
      <c r="BF469" s="19"/>
      <c r="BG469" s="19"/>
      <c r="BH469" s="19"/>
      <c r="BI469" s="19"/>
      <c r="BJ469" s="19"/>
      <c r="BK469" s="19"/>
      <c r="BL469" s="19"/>
      <c r="BM469" s="19"/>
      <c r="BN469" s="19"/>
      <c r="BO469" s="19"/>
      <c r="BP469" s="19"/>
      <c r="BQ469" s="19"/>
      <c r="BR469" s="19"/>
      <c r="BS469" s="19"/>
      <c r="BT469" s="19"/>
      <c r="BU469" s="19"/>
      <c r="BV469" s="19"/>
      <c r="BW469" s="19"/>
      <c r="BX469" s="19"/>
      <c r="BY469" s="19"/>
      <c r="BZ469" s="19"/>
      <c r="CA469" s="19"/>
      <c r="CB469" s="19"/>
      <c r="CC469" s="19"/>
      <c r="CD469" s="19"/>
      <c r="CE469" s="19"/>
      <c r="CF469" s="19"/>
      <c r="CG469" s="19"/>
      <c r="CH469" s="19"/>
      <c r="CI469" s="19"/>
      <c r="CJ469" s="19"/>
      <c r="CK469" s="19"/>
      <c r="CL469" s="19"/>
      <c r="CM469" s="19"/>
      <c r="CN469" s="19"/>
      <c r="CO469" s="19"/>
      <c r="CP469" s="19"/>
      <c r="CQ469" s="19"/>
      <c r="CR469" s="19"/>
      <c r="CS469" s="19"/>
      <c r="CT469" s="19"/>
      <c r="CU469" s="19"/>
      <c r="CV469" s="19"/>
      <c r="CW469" s="19"/>
      <c r="CX469" s="19"/>
      <c r="CY469" s="19"/>
      <c r="CZ469" s="19"/>
      <c r="DA469" s="19"/>
      <c r="DB469" s="19"/>
      <c r="DC469" s="19"/>
      <c r="DD469" s="19"/>
      <c r="DE469" s="19"/>
      <c r="DF469" s="19"/>
      <c r="DG469" s="19"/>
      <c r="DH469" s="19"/>
      <c r="DI469" s="19"/>
      <c r="DJ469" s="19"/>
      <c r="DK469" s="19"/>
      <c r="DL469" s="19"/>
      <c r="DM469" s="19"/>
      <c r="DN469" s="19"/>
      <c r="DO469" s="19"/>
      <c r="DP469" s="19"/>
      <c r="DQ469" s="19"/>
      <c r="DR469" s="19"/>
      <c r="DS469" s="19"/>
      <c r="DT469" s="19"/>
      <c r="DU469" s="19"/>
      <c r="DV469" s="19"/>
      <c r="DW469" s="19"/>
      <c r="DX469" s="19"/>
      <c r="DY469" s="19"/>
      <c r="DZ469" s="19"/>
      <c r="EA469" s="19"/>
      <c r="EB469" s="19"/>
      <c r="EC469" s="19"/>
      <c r="ED469" s="19"/>
      <c r="EE469" s="19"/>
      <c r="EF469" s="19"/>
      <c r="EG469" s="19"/>
      <c r="EH469" s="19"/>
      <c r="EI469" s="19"/>
      <c r="EJ469" s="19"/>
      <c r="EK469" s="19"/>
      <c r="EL469" s="19"/>
      <c r="EM469" s="19"/>
      <c r="EN469" s="19"/>
      <c r="EO469" s="19"/>
      <c r="EP469" s="19"/>
      <c r="EQ469" s="19"/>
      <c r="ER469" s="19"/>
      <c r="ES469" s="19"/>
      <c r="ET469" s="19"/>
      <c r="EU469" s="19"/>
      <c r="EV469" s="19"/>
      <c r="EW469" s="19"/>
      <c r="EX469" s="19"/>
      <c r="EY469" s="19"/>
      <c r="EZ469" s="19"/>
      <c r="FA469" s="19"/>
      <c r="FB469" s="19"/>
      <c r="FC469" s="19"/>
      <c r="FD469" s="19"/>
      <c r="FE469" s="19"/>
      <c r="FF469" s="19"/>
      <c r="FG469" s="19"/>
      <c r="FH469" s="19"/>
      <c r="FI469" s="19"/>
      <c r="FJ469" s="19"/>
      <c r="FK469" s="19"/>
      <c r="FL469" s="19"/>
      <c r="FM469" s="19"/>
      <c r="FN469" s="19"/>
      <c r="FO469" s="19"/>
      <c r="FP469" s="19"/>
      <c r="FQ469" s="19"/>
      <c r="FR469" s="19"/>
      <c r="FS469" s="19"/>
      <c r="FT469" s="19"/>
      <c r="FU469" s="19"/>
      <c r="FV469" s="19"/>
      <c r="FW469" s="19"/>
      <c r="FX469" s="19"/>
      <c r="FY469" s="19"/>
      <c r="FZ469" s="19"/>
      <c r="GA469" s="19"/>
      <c r="GB469" s="19"/>
      <c r="GC469" s="19"/>
      <c r="GD469" s="19"/>
      <c r="GE469" s="19"/>
      <c r="GF469" s="19"/>
      <c r="GG469" s="19"/>
      <c r="GH469" s="19"/>
      <c r="GI469" s="19"/>
      <c r="GJ469" s="19"/>
      <c r="GK469" s="19"/>
      <c r="GL469" s="19"/>
      <c r="GM469" s="19"/>
      <c r="GN469" s="19"/>
      <c r="GO469" s="19"/>
      <c r="GP469" s="19"/>
      <c r="GQ469" s="19"/>
      <c r="GR469" s="19"/>
      <c r="GS469" s="19"/>
      <c r="GT469" s="19"/>
      <c r="GU469" s="19"/>
      <c r="GV469" s="19"/>
      <c r="GW469" s="19"/>
      <c r="GX469" s="19"/>
      <c r="GY469" s="19"/>
      <c r="GZ469" s="19"/>
      <c r="HA469" s="19"/>
      <c r="HB469" s="19"/>
    </row>
    <row r="470" spans="1:210" x14ac:dyDescent="0.25">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c r="BE470" s="19"/>
      <c r="BF470" s="19"/>
      <c r="BG470" s="19"/>
      <c r="BH470" s="19"/>
      <c r="BI470" s="19"/>
      <c r="BJ470" s="19"/>
      <c r="BK470" s="19"/>
      <c r="BL470" s="19"/>
      <c r="BM470" s="19"/>
      <c r="BN470" s="19"/>
      <c r="BO470" s="19"/>
      <c r="BP470" s="19"/>
      <c r="BQ470" s="19"/>
      <c r="BR470" s="19"/>
      <c r="BS470" s="19"/>
      <c r="BT470" s="19"/>
      <c r="BU470" s="19"/>
      <c r="BV470" s="19"/>
      <c r="BW470" s="19"/>
      <c r="BX470" s="19"/>
      <c r="BY470" s="19"/>
      <c r="BZ470" s="19"/>
      <c r="CA470" s="19"/>
      <c r="CB470" s="19"/>
      <c r="CC470" s="19"/>
      <c r="CD470" s="19"/>
      <c r="CE470" s="19"/>
      <c r="CF470" s="19"/>
      <c r="CG470" s="19"/>
      <c r="CH470" s="19"/>
      <c r="CI470" s="19"/>
      <c r="CJ470" s="19"/>
      <c r="CK470" s="19"/>
      <c r="CL470" s="19"/>
      <c r="CM470" s="19"/>
      <c r="CN470" s="19"/>
      <c r="CO470" s="19"/>
      <c r="CP470" s="19"/>
      <c r="CQ470" s="19"/>
      <c r="CR470" s="19"/>
      <c r="CS470" s="19"/>
      <c r="CT470" s="19"/>
      <c r="CU470" s="19"/>
      <c r="CV470" s="19"/>
      <c r="CW470" s="19"/>
      <c r="CX470" s="19"/>
      <c r="CY470" s="19"/>
      <c r="CZ470" s="19"/>
      <c r="DA470" s="19"/>
      <c r="DB470" s="19"/>
      <c r="DC470" s="19"/>
      <c r="DD470" s="19"/>
      <c r="DE470" s="19"/>
      <c r="DF470" s="19"/>
      <c r="DG470" s="19"/>
      <c r="DH470" s="19"/>
      <c r="DI470" s="19"/>
      <c r="DJ470" s="19"/>
      <c r="DK470" s="19"/>
      <c r="DL470" s="19"/>
      <c r="DM470" s="19"/>
      <c r="DN470" s="19"/>
      <c r="DO470" s="19"/>
      <c r="DP470" s="19"/>
      <c r="DQ470" s="19"/>
      <c r="DR470" s="19"/>
      <c r="DS470" s="19"/>
      <c r="DT470" s="19"/>
      <c r="DU470" s="19"/>
      <c r="DV470" s="19"/>
      <c r="DW470" s="19"/>
      <c r="DX470" s="19"/>
      <c r="DY470" s="19"/>
      <c r="DZ470" s="19"/>
      <c r="EA470" s="19"/>
      <c r="EB470" s="19"/>
      <c r="EC470" s="19"/>
      <c r="ED470" s="19"/>
      <c r="EE470" s="19"/>
      <c r="EF470" s="19"/>
      <c r="EG470" s="19"/>
      <c r="EH470" s="19"/>
      <c r="EI470" s="19"/>
      <c r="EJ470" s="19"/>
      <c r="EK470" s="19"/>
      <c r="EL470" s="19"/>
      <c r="EM470" s="19"/>
      <c r="EN470" s="19"/>
      <c r="EO470" s="19"/>
      <c r="EP470" s="19"/>
      <c r="EQ470" s="19"/>
      <c r="ER470" s="19"/>
      <c r="ES470" s="19"/>
      <c r="ET470" s="19"/>
      <c r="EU470" s="19"/>
      <c r="EV470" s="19"/>
      <c r="EW470" s="19"/>
      <c r="EX470" s="19"/>
      <c r="EY470" s="19"/>
      <c r="EZ470" s="19"/>
      <c r="FA470" s="19"/>
      <c r="FB470" s="19"/>
      <c r="FC470" s="19"/>
      <c r="FD470" s="19"/>
      <c r="FE470" s="19"/>
      <c r="FF470" s="19"/>
      <c r="FG470" s="19"/>
      <c r="FH470" s="19"/>
      <c r="FI470" s="19"/>
      <c r="FJ470" s="19"/>
      <c r="FK470" s="19"/>
      <c r="FL470" s="19"/>
      <c r="FM470" s="19"/>
      <c r="FN470" s="19"/>
      <c r="FO470" s="19"/>
      <c r="FP470" s="19"/>
      <c r="FQ470" s="19"/>
      <c r="FR470" s="19"/>
      <c r="FS470" s="19"/>
      <c r="FT470" s="19"/>
      <c r="FU470" s="19"/>
      <c r="FV470" s="19"/>
      <c r="FW470" s="19"/>
      <c r="FX470" s="19"/>
      <c r="FY470" s="19"/>
      <c r="FZ470" s="19"/>
      <c r="GA470" s="19"/>
      <c r="GB470" s="19"/>
      <c r="GC470" s="19"/>
      <c r="GD470" s="19"/>
      <c r="GE470" s="19"/>
      <c r="GF470" s="19"/>
      <c r="GG470" s="19"/>
      <c r="GH470" s="19"/>
      <c r="GI470" s="19"/>
      <c r="GJ470" s="19"/>
      <c r="GK470" s="19"/>
      <c r="GL470" s="19"/>
      <c r="GM470" s="19"/>
      <c r="GN470" s="19"/>
      <c r="GO470" s="19"/>
      <c r="GP470" s="19"/>
      <c r="GQ470" s="19"/>
      <c r="GR470" s="19"/>
      <c r="GS470" s="19"/>
      <c r="GT470" s="19"/>
      <c r="GU470" s="19"/>
      <c r="GV470" s="19"/>
      <c r="GW470" s="19"/>
      <c r="GX470" s="19"/>
      <c r="GY470" s="19"/>
      <c r="GZ470" s="19"/>
      <c r="HA470" s="19"/>
      <c r="HB470" s="19"/>
    </row>
    <row r="471" spans="1:210" x14ac:dyDescent="0.25">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c r="BE471" s="19"/>
      <c r="BF471" s="19"/>
      <c r="BG471" s="19"/>
      <c r="BH471" s="19"/>
      <c r="BI471" s="19"/>
      <c r="BJ471" s="19"/>
      <c r="BK471" s="19"/>
      <c r="BL471" s="19"/>
      <c r="BM471" s="19"/>
      <c r="BN471" s="19"/>
      <c r="BO471" s="19"/>
      <c r="BP471" s="19"/>
      <c r="BQ471" s="19"/>
      <c r="BR471" s="19"/>
      <c r="BS471" s="19"/>
      <c r="BT471" s="19"/>
      <c r="BU471" s="19"/>
      <c r="BV471" s="19"/>
      <c r="BW471" s="19"/>
      <c r="BX471" s="19"/>
      <c r="BY471" s="19"/>
      <c r="BZ471" s="19"/>
      <c r="CA471" s="19"/>
      <c r="CB471" s="19"/>
      <c r="CC471" s="19"/>
      <c r="CD471" s="19"/>
      <c r="CE471" s="19"/>
      <c r="CF471" s="19"/>
      <c r="CG471" s="19"/>
      <c r="CH471" s="19"/>
      <c r="CI471" s="19"/>
      <c r="CJ471" s="19"/>
      <c r="CK471" s="19"/>
      <c r="CL471" s="19"/>
      <c r="CM471" s="19"/>
      <c r="CN471" s="19"/>
      <c r="CO471" s="19"/>
      <c r="CP471" s="19"/>
      <c r="CQ471" s="19"/>
      <c r="CR471" s="19"/>
      <c r="CS471" s="19"/>
      <c r="CT471" s="19"/>
      <c r="CU471" s="19"/>
      <c r="CV471" s="19"/>
      <c r="CW471" s="19"/>
      <c r="CX471" s="19"/>
      <c r="CY471" s="19"/>
      <c r="CZ471" s="19"/>
      <c r="DA471" s="19"/>
      <c r="DB471" s="19"/>
      <c r="DC471" s="19"/>
      <c r="DD471" s="19"/>
      <c r="DE471" s="19"/>
      <c r="DF471" s="19"/>
      <c r="DG471" s="19"/>
      <c r="DH471" s="19"/>
      <c r="DI471" s="19"/>
      <c r="DJ471" s="19"/>
      <c r="DK471" s="19"/>
      <c r="DL471" s="19"/>
      <c r="DM471" s="19"/>
      <c r="DN471" s="19"/>
      <c r="DO471" s="19"/>
      <c r="DP471" s="19"/>
      <c r="DQ471" s="19"/>
      <c r="DR471" s="19"/>
      <c r="DS471" s="19"/>
      <c r="DT471" s="19"/>
      <c r="DU471" s="19"/>
      <c r="DV471" s="19"/>
      <c r="DW471" s="19"/>
      <c r="DX471" s="19"/>
      <c r="DY471" s="19"/>
      <c r="DZ471" s="19"/>
      <c r="EA471" s="19"/>
      <c r="EB471" s="19"/>
      <c r="EC471" s="19"/>
      <c r="ED471" s="19"/>
      <c r="EE471" s="19"/>
      <c r="EF471" s="19"/>
      <c r="EG471" s="19"/>
      <c r="EH471" s="19"/>
      <c r="EI471" s="19"/>
      <c r="EJ471" s="19"/>
      <c r="EK471" s="19"/>
      <c r="EL471" s="19"/>
      <c r="EM471" s="19"/>
      <c r="EN471" s="19"/>
      <c r="EO471" s="19"/>
      <c r="EP471" s="19"/>
      <c r="EQ471" s="19"/>
      <c r="ER471" s="19"/>
      <c r="ES471" s="19"/>
      <c r="ET471" s="19"/>
      <c r="EU471" s="19"/>
      <c r="EV471" s="19"/>
      <c r="EW471" s="19"/>
      <c r="EX471" s="19"/>
      <c r="EY471" s="19"/>
      <c r="EZ471" s="19"/>
      <c r="FA471" s="19"/>
      <c r="FB471" s="19"/>
      <c r="FC471" s="19"/>
      <c r="FD471" s="19"/>
      <c r="FE471" s="19"/>
      <c r="FF471" s="19"/>
      <c r="FG471" s="19"/>
      <c r="FH471" s="19"/>
      <c r="FI471" s="19"/>
      <c r="FJ471" s="19"/>
      <c r="FK471" s="19"/>
      <c r="FL471" s="19"/>
      <c r="FM471" s="19"/>
      <c r="FN471" s="19"/>
      <c r="FO471" s="19"/>
      <c r="FP471" s="19"/>
      <c r="FQ471" s="19"/>
      <c r="FR471" s="19"/>
      <c r="FS471" s="19"/>
      <c r="FT471" s="19"/>
      <c r="FU471" s="19"/>
      <c r="FV471" s="19"/>
      <c r="FW471" s="19"/>
      <c r="FX471" s="19"/>
      <c r="FY471" s="19"/>
      <c r="FZ471" s="19"/>
      <c r="GA471" s="19"/>
      <c r="GB471" s="19"/>
      <c r="GC471" s="19"/>
      <c r="GD471" s="19"/>
      <c r="GE471" s="19"/>
      <c r="GF471" s="19"/>
      <c r="GG471" s="19"/>
      <c r="GH471" s="19"/>
      <c r="GI471" s="19"/>
      <c r="GJ471" s="19"/>
      <c r="GK471" s="19"/>
      <c r="GL471" s="19"/>
      <c r="GM471" s="19"/>
      <c r="GN471" s="19"/>
      <c r="GO471" s="19"/>
      <c r="GP471" s="19"/>
      <c r="GQ471" s="19"/>
      <c r="GR471" s="19"/>
      <c r="GS471" s="19"/>
      <c r="GT471" s="19"/>
      <c r="GU471" s="19"/>
      <c r="GV471" s="19"/>
      <c r="GW471" s="19"/>
      <c r="GX471" s="19"/>
      <c r="GY471" s="19"/>
      <c r="GZ471" s="19"/>
      <c r="HA471" s="19"/>
      <c r="HB471" s="19"/>
    </row>
    <row r="472" spans="1:210" x14ac:dyDescent="0.25">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c r="BE472" s="19"/>
      <c r="BF472" s="19"/>
      <c r="BG472" s="19"/>
      <c r="BH472" s="19"/>
      <c r="BI472" s="19"/>
      <c r="BJ472" s="19"/>
      <c r="BK472" s="19"/>
      <c r="BL472" s="19"/>
      <c r="BM472" s="19"/>
      <c r="BN472" s="19"/>
      <c r="BO472" s="19"/>
      <c r="BP472" s="19"/>
      <c r="BQ472" s="19"/>
      <c r="BR472" s="19"/>
      <c r="BS472" s="19"/>
      <c r="BT472" s="19"/>
      <c r="BU472" s="19"/>
      <c r="BV472" s="19"/>
      <c r="BW472" s="19"/>
      <c r="BX472" s="19"/>
      <c r="BY472" s="19"/>
      <c r="BZ472" s="19"/>
      <c r="CA472" s="19"/>
      <c r="CB472" s="19"/>
      <c r="CC472" s="19"/>
      <c r="CD472" s="19"/>
      <c r="CE472" s="19"/>
      <c r="CF472" s="19"/>
      <c r="CG472" s="19"/>
      <c r="CH472" s="19"/>
      <c r="CI472" s="19"/>
      <c r="CJ472" s="19"/>
      <c r="CK472" s="19"/>
      <c r="CL472" s="19"/>
      <c r="CM472" s="19"/>
      <c r="CN472" s="19"/>
      <c r="CO472" s="19"/>
      <c r="CP472" s="19"/>
      <c r="CQ472" s="19"/>
      <c r="CR472" s="19"/>
      <c r="CS472" s="19"/>
      <c r="CT472" s="19"/>
      <c r="CU472" s="19"/>
      <c r="CV472" s="19"/>
      <c r="CW472" s="19"/>
      <c r="CX472" s="19"/>
      <c r="CY472" s="19"/>
      <c r="CZ472" s="19"/>
      <c r="DA472" s="19"/>
      <c r="DB472" s="19"/>
      <c r="DC472" s="19"/>
      <c r="DD472" s="19"/>
      <c r="DE472" s="19"/>
      <c r="DF472" s="19"/>
      <c r="DG472" s="19"/>
      <c r="DH472" s="19"/>
      <c r="DI472" s="19"/>
      <c r="DJ472" s="19"/>
      <c r="DK472" s="19"/>
      <c r="DL472" s="19"/>
      <c r="DM472" s="19"/>
      <c r="DN472" s="19"/>
      <c r="DO472" s="19"/>
      <c r="DP472" s="19"/>
      <c r="DQ472" s="19"/>
      <c r="DR472" s="19"/>
      <c r="DS472" s="19"/>
      <c r="DT472" s="19"/>
      <c r="DU472" s="19"/>
      <c r="DV472" s="19"/>
      <c r="DW472" s="19"/>
      <c r="DX472" s="19"/>
      <c r="DY472" s="19"/>
      <c r="DZ472" s="19"/>
      <c r="EA472" s="19"/>
      <c r="EB472" s="19"/>
      <c r="EC472" s="19"/>
      <c r="ED472" s="19"/>
      <c r="EE472" s="19"/>
      <c r="EF472" s="19"/>
      <c r="EG472" s="19"/>
      <c r="EH472" s="19"/>
      <c r="EI472" s="19"/>
      <c r="EJ472" s="19"/>
      <c r="EK472" s="19"/>
      <c r="EL472" s="19"/>
      <c r="EM472" s="19"/>
      <c r="EN472" s="19"/>
      <c r="EO472" s="19"/>
      <c r="EP472" s="19"/>
      <c r="EQ472" s="19"/>
      <c r="ER472" s="19"/>
      <c r="ES472" s="19"/>
      <c r="ET472" s="19"/>
      <c r="EU472" s="19"/>
      <c r="EV472" s="19"/>
      <c r="EW472" s="19"/>
      <c r="EX472" s="19"/>
      <c r="EY472" s="19"/>
      <c r="EZ472" s="19"/>
      <c r="FA472" s="19"/>
      <c r="FB472" s="19"/>
      <c r="FC472" s="19"/>
      <c r="FD472" s="19"/>
      <c r="FE472" s="19"/>
      <c r="FF472" s="19"/>
      <c r="FG472" s="19"/>
      <c r="FH472" s="19"/>
      <c r="FI472" s="19"/>
      <c r="FJ472" s="19"/>
      <c r="FK472" s="19"/>
      <c r="FL472" s="19"/>
      <c r="FM472" s="19"/>
      <c r="FN472" s="19"/>
      <c r="FO472" s="19"/>
      <c r="FP472" s="19"/>
      <c r="FQ472" s="19"/>
      <c r="FR472" s="19"/>
      <c r="FS472" s="19"/>
      <c r="FT472" s="19"/>
      <c r="FU472" s="19"/>
      <c r="FV472" s="19"/>
      <c r="FW472" s="19"/>
      <c r="FX472" s="19"/>
      <c r="FY472" s="19"/>
      <c r="FZ472" s="19"/>
      <c r="GA472" s="19"/>
      <c r="GB472" s="19"/>
      <c r="GC472" s="19"/>
      <c r="GD472" s="19"/>
      <c r="GE472" s="19"/>
      <c r="GF472" s="19"/>
      <c r="GG472" s="19"/>
      <c r="GH472" s="19"/>
      <c r="GI472" s="19"/>
      <c r="GJ472" s="19"/>
      <c r="GK472" s="19"/>
      <c r="GL472" s="19"/>
      <c r="GM472" s="19"/>
      <c r="GN472" s="19"/>
      <c r="GO472" s="19"/>
      <c r="GP472" s="19"/>
      <c r="GQ472" s="19"/>
      <c r="GR472" s="19"/>
      <c r="GS472" s="19"/>
      <c r="GT472" s="19"/>
      <c r="GU472" s="19"/>
      <c r="GV472" s="19"/>
      <c r="GW472" s="19"/>
      <c r="GX472" s="19"/>
      <c r="GY472" s="19"/>
      <c r="GZ472" s="19"/>
      <c r="HA472" s="19"/>
      <c r="HB472" s="19"/>
    </row>
    <row r="473" spans="1:210" x14ac:dyDescent="0.25">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c r="BE473" s="19"/>
      <c r="BF473" s="19"/>
      <c r="BG473" s="19"/>
      <c r="BH473" s="19"/>
      <c r="BI473" s="19"/>
      <c r="BJ473" s="19"/>
      <c r="BK473" s="19"/>
      <c r="BL473" s="19"/>
      <c r="BM473" s="19"/>
      <c r="BN473" s="19"/>
      <c r="BO473" s="19"/>
      <c r="BP473" s="19"/>
      <c r="BQ473" s="19"/>
      <c r="BR473" s="19"/>
      <c r="BS473" s="19"/>
      <c r="BT473" s="19"/>
      <c r="BU473" s="19"/>
      <c r="BV473" s="19"/>
      <c r="BW473" s="19"/>
      <c r="BX473" s="19"/>
      <c r="BY473" s="19"/>
      <c r="BZ473" s="19"/>
      <c r="CA473" s="19"/>
      <c r="CB473" s="19"/>
      <c r="CC473" s="19"/>
      <c r="CD473" s="19"/>
      <c r="CE473" s="19"/>
      <c r="CF473" s="19"/>
      <c r="CG473" s="19"/>
      <c r="CH473" s="19"/>
      <c r="CI473" s="19"/>
      <c r="CJ473" s="19"/>
      <c r="CK473" s="19"/>
      <c r="CL473" s="19"/>
      <c r="CM473" s="19"/>
      <c r="CN473" s="19"/>
      <c r="CO473" s="19"/>
      <c r="CP473" s="19"/>
      <c r="CQ473" s="19"/>
      <c r="CR473" s="19"/>
      <c r="CS473" s="19"/>
      <c r="CT473" s="19"/>
      <c r="CU473" s="19"/>
      <c r="CV473" s="19"/>
      <c r="CW473" s="19"/>
      <c r="CX473" s="19"/>
      <c r="CY473" s="19"/>
      <c r="CZ473" s="19"/>
      <c r="DA473" s="19"/>
      <c r="DB473" s="19"/>
      <c r="DC473" s="19"/>
      <c r="DD473" s="19"/>
      <c r="DE473" s="19"/>
      <c r="DF473" s="19"/>
      <c r="DG473" s="19"/>
      <c r="DH473" s="19"/>
      <c r="DI473" s="19"/>
      <c r="DJ473" s="19"/>
      <c r="DK473" s="19"/>
      <c r="DL473" s="19"/>
      <c r="DM473" s="19"/>
      <c r="DN473" s="19"/>
      <c r="DO473" s="19"/>
      <c r="DP473" s="19"/>
      <c r="DQ473" s="19"/>
      <c r="DR473" s="19"/>
      <c r="DS473" s="19"/>
      <c r="DT473" s="19"/>
      <c r="DU473" s="19"/>
      <c r="DV473" s="19"/>
      <c r="DW473" s="19"/>
      <c r="DX473" s="19"/>
      <c r="DY473" s="19"/>
      <c r="DZ473" s="19"/>
      <c r="EA473" s="19"/>
      <c r="EB473" s="19"/>
      <c r="EC473" s="19"/>
      <c r="ED473" s="19"/>
      <c r="EE473" s="19"/>
      <c r="EF473" s="19"/>
      <c r="EG473" s="19"/>
      <c r="EH473" s="19"/>
      <c r="EI473" s="19"/>
      <c r="EJ473" s="19"/>
      <c r="EK473" s="19"/>
      <c r="EL473" s="19"/>
      <c r="EM473" s="19"/>
      <c r="EN473" s="19"/>
      <c r="EO473" s="19"/>
      <c r="EP473" s="19"/>
      <c r="EQ473" s="19"/>
      <c r="ER473" s="19"/>
      <c r="ES473" s="19"/>
      <c r="ET473" s="19"/>
      <c r="EU473" s="19"/>
      <c r="EV473" s="19"/>
      <c r="EW473" s="19"/>
      <c r="EX473" s="19"/>
      <c r="EY473" s="19"/>
      <c r="EZ473" s="19"/>
      <c r="FA473" s="19"/>
      <c r="FB473" s="19"/>
      <c r="FC473" s="19"/>
      <c r="FD473" s="19"/>
      <c r="FE473" s="19"/>
      <c r="FF473" s="19"/>
      <c r="FG473" s="19"/>
      <c r="FH473" s="19"/>
      <c r="FI473" s="19"/>
      <c r="FJ473" s="19"/>
      <c r="FK473" s="19"/>
      <c r="FL473" s="19"/>
      <c r="FM473" s="19"/>
      <c r="FN473" s="19"/>
      <c r="FO473" s="19"/>
      <c r="FP473" s="19"/>
      <c r="FQ473" s="19"/>
      <c r="FR473" s="19"/>
      <c r="FS473" s="19"/>
      <c r="FT473" s="19"/>
      <c r="FU473" s="19"/>
      <c r="FV473" s="19"/>
      <c r="FW473" s="19"/>
      <c r="FX473" s="19"/>
      <c r="FY473" s="19"/>
      <c r="FZ473" s="19"/>
      <c r="GA473" s="19"/>
      <c r="GB473" s="19"/>
      <c r="GC473" s="19"/>
      <c r="GD473" s="19"/>
      <c r="GE473" s="19"/>
      <c r="GF473" s="19"/>
      <c r="GG473" s="19"/>
      <c r="GH473" s="19"/>
      <c r="GI473" s="19"/>
      <c r="GJ473" s="19"/>
      <c r="GK473" s="19"/>
      <c r="GL473" s="19"/>
      <c r="GM473" s="19"/>
      <c r="GN473" s="19"/>
      <c r="GO473" s="19"/>
      <c r="GP473" s="19"/>
      <c r="GQ473" s="19"/>
      <c r="GR473" s="19"/>
      <c r="GS473" s="19"/>
      <c r="GT473" s="19"/>
      <c r="GU473" s="19"/>
      <c r="GV473" s="19"/>
      <c r="GW473" s="19"/>
      <c r="GX473" s="19"/>
      <c r="GY473" s="19"/>
      <c r="GZ473" s="19"/>
      <c r="HA473" s="19"/>
      <c r="HB473" s="19"/>
    </row>
    <row r="474" spans="1:210" x14ac:dyDescent="0.25">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c r="BE474" s="19"/>
      <c r="BF474" s="19"/>
      <c r="BG474" s="19"/>
      <c r="BH474" s="19"/>
      <c r="BI474" s="19"/>
      <c r="BJ474" s="19"/>
      <c r="BK474" s="19"/>
      <c r="BL474" s="19"/>
      <c r="BM474" s="19"/>
      <c r="BN474" s="19"/>
      <c r="BO474" s="19"/>
      <c r="BP474" s="19"/>
      <c r="BQ474" s="19"/>
      <c r="BR474" s="19"/>
      <c r="BS474" s="19"/>
      <c r="BT474" s="19"/>
      <c r="BU474" s="19"/>
      <c r="BV474" s="19"/>
      <c r="BW474" s="19"/>
      <c r="BX474" s="19"/>
      <c r="BY474" s="19"/>
      <c r="BZ474" s="19"/>
      <c r="CA474" s="19"/>
      <c r="CB474" s="19"/>
      <c r="CC474" s="19"/>
      <c r="CD474" s="19"/>
      <c r="CE474" s="19"/>
      <c r="CF474" s="19"/>
      <c r="CG474" s="19"/>
      <c r="CH474" s="19"/>
      <c r="CI474" s="19"/>
      <c r="CJ474" s="19"/>
      <c r="CK474" s="19"/>
      <c r="CL474" s="19"/>
      <c r="CM474" s="19"/>
      <c r="CN474" s="19"/>
      <c r="CO474" s="19"/>
      <c r="CP474" s="19"/>
      <c r="CQ474" s="19"/>
      <c r="CR474" s="19"/>
      <c r="CS474" s="19"/>
      <c r="CT474" s="19"/>
      <c r="CU474" s="19"/>
      <c r="CV474" s="19"/>
      <c r="CW474" s="19"/>
      <c r="CX474" s="19"/>
      <c r="CY474" s="19"/>
      <c r="CZ474" s="19"/>
      <c r="DA474" s="19"/>
      <c r="DB474" s="19"/>
      <c r="DC474" s="19"/>
      <c r="DD474" s="19"/>
      <c r="DE474" s="19"/>
      <c r="DF474" s="19"/>
      <c r="DG474" s="19"/>
      <c r="DH474" s="19"/>
      <c r="DI474" s="19"/>
      <c r="DJ474" s="19"/>
      <c r="DK474" s="19"/>
      <c r="DL474" s="19"/>
      <c r="DM474" s="19"/>
      <c r="DN474" s="19"/>
      <c r="DO474" s="19"/>
      <c r="DP474" s="19"/>
      <c r="DQ474" s="19"/>
      <c r="DR474" s="19"/>
      <c r="DS474" s="19"/>
      <c r="DT474" s="19"/>
      <c r="DU474" s="19"/>
      <c r="DV474" s="19"/>
      <c r="DW474" s="19"/>
      <c r="DX474" s="19"/>
      <c r="DY474" s="19"/>
      <c r="DZ474" s="19"/>
      <c r="EA474" s="19"/>
      <c r="EB474" s="19"/>
      <c r="EC474" s="19"/>
      <c r="ED474" s="19"/>
      <c r="EE474" s="19"/>
      <c r="EF474" s="19"/>
      <c r="EG474" s="19"/>
      <c r="EH474" s="19"/>
      <c r="EI474" s="19"/>
      <c r="EJ474" s="19"/>
      <c r="EK474" s="19"/>
      <c r="EL474" s="19"/>
      <c r="EM474" s="19"/>
      <c r="EN474" s="19"/>
      <c r="EO474" s="19"/>
      <c r="EP474" s="19"/>
      <c r="EQ474" s="19"/>
      <c r="ER474" s="19"/>
      <c r="ES474" s="19"/>
      <c r="ET474" s="19"/>
      <c r="EU474" s="19"/>
      <c r="EV474" s="19"/>
      <c r="EW474" s="19"/>
      <c r="EX474" s="19"/>
      <c r="EY474" s="19"/>
      <c r="EZ474" s="19"/>
      <c r="FA474" s="19"/>
      <c r="FB474" s="19"/>
      <c r="FC474" s="19"/>
      <c r="FD474" s="19"/>
      <c r="FE474" s="19"/>
      <c r="FF474" s="19"/>
      <c r="FG474" s="19"/>
      <c r="FH474" s="19"/>
      <c r="FI474" s="19"/>
      <c r="FJ474" s="19"/>
      <c r="FK474" s="19"/>
      <c r="FL474" s="19"/>
      <c r="FM474" s="19"/>
      <c r="FN474" s="19"/>
      <c r="FO474" s="19"/>
      <c r="FP474" s="19"/>
      <c r="FQ474" s="19"/>
      <c r="FR474" s="19"/>
      <c r="FS474" s="19"/>
      <c r="FT474" s="19"/>
      <c r="FU474" s="19"/>
      <c r="FV474" s="19"/>
      <c r="FW474" s="19"/>
      <c r="FX474" s="19"/>
      <c r="FY474" s="19"/>
      <c r="FZ474" s="19"/>
      <c r="GA474" s="19"/>
      <c r="GB474" s="19"/>
      <c r="GC474" s="19"/>
      <c r="GD474" s="19"/>
      <c r="GE474" s="19"/>
      <c r="GF474" s="19"/>
      <c r="GG474" s="19"/>
      <c r="GH474" s="19"/>
      <c r="GI474" s="19"/>
      <c r="GJ474" s="19"/>
      <c r="GK474" s="19"/>
      <c r="GL474" s="19"/>
      <c r="GM474" s="19"/>
      <c r="GN474" s="19"/>
      <c r="GO474" s="19"/>
      <c r="GP474" s="19"/>
      <c r="GQ474" s="19"/>
      <c r="GR474" s="19"/>
      <c r="GS474" s="19"/>
      <c r="GT474" s="19"/>
      <c r="GU474" s="19"/>
      <c r="GV474" s="19"/>
      <c r="GW474" s="19"/>
      <c r="GX474" s="19"/>
      <c r="GY474" s="19"/>
      <c r="GZ474" s="19"/>
      <c r="HA474" s="19"/>
      <c r="HB474" s="19"/>
    </row>
    <row r="475" spans="1:210" x14ac:dyDescent="0.25">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c r="BE475" s="19"/>
      <c r="BF475" s="19"/>
      <c r="BG475" s="19"/>
      <c r="BH475" s="19"/>
      <c r="BI475" s="19"/>
      <c r="BJ475" s="19"/>
      <c r="BK475" s="19"/>
      <c r="BL475" s="19"/>
      <c r="BM475" s="19"/>
      <c r="BN475" s="19"/>
      <c r="BO475" s="19"/>
      <c r="BP475" s="19"/>
      <c r="BQ475" s="19"/>
      <c r="BR475" s="19"/>
      <c r="BS475" s="19"/>
      <c r="BT475" s="19"/>
      <c r="BU475" s="19"/>
      <c r="BV475" s="19"/>
      <c r="BW475" s="19"/>
      <c r="BX475" s="19"/>
      <c r="BY475" s="19"/>
      <c r="BZ475" s="19"/>
      <c r="CA475" s="19"/>
      <c r="CB475" s="19"/>
      <c r="CC475" s="19"/>
      <c r="CD475" s="19"/>
      <c r="CE475" s="19"/>
      <c r="CF475" s="19"/>
      <c r="CG475" s="19"/>
      <c r="CH475" s="19"/>
      <c r="CI475" s="19"/>
      <c r="CJ475" s="19"/>
      <c r="CK475" s="19"/>
      <c r="CL475" s="19"/>
      <c r="CM475" s="19"/>
      <c r="CN475" s="19"/>
      <c r="CO475" s="19"/>
      <c r="CP475" s="19"/>
      <c r="CQ475" s="19"/>
      <c r="CR475" s="19"/>
      <c r="CS475" s="19"/>
      <c r="CT475" s="19"/>
      <c r="CU475" s="19"/>
      <c r="CV475" s="19"/>
      <c r="CW475" s="19"/>
      <c r="CX475" s="19"/>
      <c r="CY475" s="19"/>
      <c r="CZ475" s="19"/>
      <c r="DA475" s="19"/>
      <c r="DB475" s="19"/>
      <c r="DC475" s="19"/>
      <c r="DD475" s="19"/>
      <c r="DE475" s="19"/>
      <c r="DF475" s="19"/>
      <c r="DG475" s="19"/>
      <c r="DH475" s="19"/>
      <c r="DI475" s="19"/>
      <c r="DJ475" s="19"/>
      <c r="DK475" s="19"/>
      <c r="DL475" s="19"/>
      <c r="DM475" s="19"/>
      <c r="DN475" s="19"/>
      <c r="DO475" s="19"/>
      <c r="DP475" s="19"/>
      <c r="DQ475" s="19"/>
      <c r="DR475" s="19"/>
      <c r="DS475" s="19"/>
      <c r="DT475" s="19"/>
      <c r="DU475" s="19"/>
      <c r="DV475" s="19"/>
      <c r="DW475" s="19"/>
      <c r="DX475" s="19"/>
      <c r="DY475" s="19"/>
      <c r="DZ475" s="19"/>
      <c r="EA475" s="19"/>
      <c r="EB475" s="19"/>
      <c r="EC475" s="19"/>
      <c r="ED475" s="19"/>
      <c r="EE475" s="19"/>
      <c r="EF475" s="19"/>
      <c r="EG475" s="19"/>
      <c r="EH475" s="19"/>
      <c r="EI475" s="19"/>
      <c r="EJ475" s="19"/>
      <c r="EK475" s="19"/>
      <c r="EL475" s="19"/>
      <c r="EM475" s="19"/>
      <c r="EN475" s="19"/>
      <c r="EO475" s="19"/>
      <c r="EP475" s="19"/>
      <c r="EQ475" s="19"/>
      <c r="ER475" s="19"/>
      <c r="ES475" s="19"/>
      <c r="ET475" s="19"/>
      <c r="EU475" s="19"/>
      <c r="EV475" s="19"/>
      <c r="EW475" s="19"/>
      <c r="EX475" s="19"/>
      <c r="EY475" s="19"/>
      <c r="EZ475" s="19"/>
      <c r="FA475" s="19"/>
      <c r="FB475" s="19"/>
      <c r="FC475" s="19"/>
      <c r="FD475" s="19"/>
      <c r="FE475" s="19"/>
      <c r="FF475" s="19"/>
      <c r="FG475" s="19"/>
      <c r="FH475" s="19"/>
      <c r="FI475" s="19"/>
      <c r="FJ475" s="19"/>
      <c r="FK475" s="19"/>
      <c r="FL475" s="19"/>
      <c r="FM475" s="19"/>
      <c r="FN475" s="19"/>
      <c r="FO475" s="19"/>
      <c r="FP475" s="19"/>
      <c r="FQ475" s="19"/>
      <c r="FR475" s="19"/>
      <c r="FS475" s="19"/>
      <c r="FT475" s="19"/>
      <c r="FU475" s="19"/>
      <c r="FV475" s="19"/>
      <c r="FW475" s="19"/>
      <c r="FX475" s="19"/>
      <c r="FY475" s="19"/>
      <c r="FZ475" s="19"/>
      <c r="GA475" s="19"/>
      <c r="GB475" s="19"/>
      <c r="GC475" s="19"/>
      <c r="GD475" s="19"/>
      <c r="GE475" s="19"/>
      <c r="GF475" s="19"/>
      <c r="GG475" s="19"/>
      <c r="GH475" s="19"/>
      <c r="GI475" s="19"/>
      <c r="GJ475" s="19"/>
      <c r="GK475" s="19"/>
      <c r="GL475" s="19"/>
      <c r="GM475" s="19"/>
      <c r="GN475" s="19"/>
      <c r="GO475" s="19"/>
      <c r="GP475" s="19"/>
      <c r="GQ475" s="19"/>
      <c r="GR475" s="19"/>
      <c r="GS475" s="19"/>
      <c r="GT475" s="19"/>
      <c r="GU475" s="19"/>
      <c r="GV475" s="19"/>
      <c r="GW475" s="19"/>
      <c r="GX475" s="19"/>
      <c r="GY475" s="19"/>
      <c r="GZ475" s="19"/>
      <c r="HA475" s="19"/>
      <c r="HB475" s="19"/>
    </row>
    <row r="476" spans="1:210" x14ac:dyDescent="0.25">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c r="BE476" s="19"/>
      <c r="BF476" s="19"/>
      <c r="BG476" s="19"/>
      <c r="BH476" s="19"/>
      <c r="BI476" s="19"/>
      <c r="BJ476" s="19"/>
      <c r="BK476" s="19"/>
      <c r="BL476" s="19"/>
      <c r="BM476" s="19"/>
      <c r="BN476" s="19"/>
      <c r="BO476" s="19"/>
      <c r="BP476" s="19"/>
      <c r="BQ476" s="19"/>
      <c r="BR476" s="19"/>
      <c r="BS476" s="19"/>
      <c r="BT476" s="19"/>
      <c r="BU476" s="19"/>
      <c r="BV476" s="19"/>
      <c r="BW476" s="19"/>
      <c r="BX476" s="19"/>
      <c r="BY476" s="19"/>
      <c r="BZ476" s="19"/>
      <c r="CA476" s="19"/>
      <c r="CB476" s="19"/>
      <c r="CC476" s="19"/>
      <c r="CD476" s="19"/>
      <c r="CE476" s="19"/>
      <c r="CF476" s="19"/>
      <c r="CG476" s="19"/>
      <c r="CH476" s="19"/>
      <c r="CI476" s="19"/>
      <c r="CJ476" s="19"/>
      <c r="CK476" s="19"/>
      <c r="CL476" s="19"/>
      <c r="CM476" s="19"/>
      <c r="CN476" s="19"/>
      <c r="CO476" s="19"/>
      <c r="CP476" s="19"/>
      <c r="CQ476" s="19"/>
      <c r="CR476" s="19"/>
      <c r="CS476" s="19"/>
      <c r="CT476" s="19"/>
      <c r="CU476" s="19"/>
      <c r="CV476" s="19"/>
      <c r="CW476" s="19"/>
      <c r="CX476" s="19"/>
      <c r="CY476" s="19"/>
      <c r="CZ476" s="19"/>
      <c r="DA476" s="19"/>
      <c r="DB476" s="19"/>
      <c r="DC476" s="19"/>
      <c r="DD476" s="19"/>
      <c r="DE476" s="19"/>
      <c r="DF476" s="19"/>
      <c r="DG476" s="19"/>
      <c r="DH476" s="19"/>
      <c r="DI476" s="19"/>
      <c r="DJ476" s="19"/>
      <c r="DK476" s="19"/>
      <c r="DL476" s="19"/>
      <c r="DM476" s="19"/>
      <c r="DN476" s="19"/>
      <c r="DO476" s="19"/>
      <c r="DP476" s="19"/>
      <c r="DQ476" s="19"/>
      <c r="DR476" s="19"/>
      <c r="DS476" s="19"/>
      <c r="DT476" s="19"/>
      <c r="DU476" s="19"/>
      <c r="DV476" s="19"/>
      <c r="DW476" s="19"/>
      <c r="DX476" s="19"/>
      <c r="DY476" s="19"/>
      <c r="DZ476" s="19"/>
      <c r="EA476" s="19"/>
      <c r="EB476" s="19"/>
      <c r="EC476" s="19"/>
      <c r="ED476" s="19"/>
      <c r="EE476" s="19"/>
      <c r="EF476" s="19"/>
      <c r="EG476" s="19"/>
      <c r="EH476" s="19"/>
      <c r="EI476" s="19"/>
      <c r="EJ476" s="19"/>
      <c r="EK476" s="19"/>
      <c r="EL476" s="19"/>
      <c r="EM476" s="19"/>
      <c r="EN476" s="19"/>
      <c r="EO476" s="19"/>
      <c r="EP476" s="19"/>
      <c r="EQ476" s="19"/>
      <c r="ER476" s="19"/>
      <c r="ES476" s="19"/>
      <c r="ET476" s="19"/>
      <c r="EU476" s="19"/>
      <c r="EV476" s="19"/>
      <c r="EW476" s="19"/>
      <c r="EX476" s="19"/>
      <c r="EY476" s="19"/>
      <c r="EZ476" s="19"/>
      <c r="FA476" s="19"/>
      <c r="FB476" s="19"/>
      <c r="FC476" s="19"/>
      <c r="FD476" s="19"/>
      <c r="FE476" s="19"/>
      <c r="FF476" s="19"/>
      <c r="FG476" s="19"/>
      <c r="FH476" s="19"/>
      <c r="FI476" s="19"/>
      <c r="FJ476" s="19"/>
      <c r="FK476" s="19"/>
      <c r="FL476" s="19"/>
      <c r="FM476" s="19"/>
      <c r="FN476" s="19"/>
      <c r="FO476" s="19"/>
      <c r="FP476" s="19"/>
      <c r="FQ476" s="19"/>
      <c r="FR476" s="19"/>
      <c r="FS476" s="19"/>
      <c r="FT476" s="19"/>
      <c r="FU476" s="19"/>
      <c r="FV476" s="19"/>
      <c r="FW476" s="19"/>
      <c r="FX476" s="19"/>
      <c r="FY476" s="19"/>
      <c r="FZ476" s="19"/>
      <c r="GA476" s="19"/>
      <c r="GB476" s="19"/>
      <c r="GC476" s="19"/>
      <c r="GD476" s="19"/>
      <c r="GE476" s="19"/>
      <c r="GF476" s="19"/>
      <c r="GG476" s="19"/>
      <c r="GH476" s="19"/>
      <c r="GI476" s="19"/>
      <c r="GJ476" s="19"/>
      <c r="GK476" s="19"/>
      <c r="GL476" s="19"/>
      <c r="GM476" s="19"/>
      <c r="GN476" s="19"/>
      <c r="GO476" s="19"/>
      <c r="GP476" s="19"/>
      <c r="GQ476" s="19"/>
      <c r="GR476" s="19"/>
      <c r="GS476" s="19"/>
      <c r="GT476" s="19"/>
      <c r="GU476" s="19"/>
      <c r="GV476" s="19"/>
      <c r="GW476" s="19"/>
      <c r="GX476" s="19"/>
      <c r="GY476" s="19"/>
      <c r="GZ476" s="19"/>
      <c r="HA476" s="19"/>
      <c r="HB476" s="19"/>
    </row>
    <row r="477" spans="1:210" x14ac:dyDescent="0.25">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c r="BE477" s="19"/>
      <c r="BF477" s="19"/>
      <c r="BG477" s="19"/>
      <c r="BH477" s="19"/>
      <c r="BI477" s="19"/>
      <c r="BJ477" s="19"/>
      <c r="BK477" s="19"/>
      <c r="BL477" s="19"/>
      <c r="BM477" s="19"/>
      <c r="BN477" s="19"/>
      <c r="BO477" s="19"/>
      <c r="BP477" s="19"/>
      <c r="BQ477" s="19"/>
      <c r="BR477" s="19"/>
      <c r="BS477" s="19"/>
      <c r="BT477" s="19"/>
      <c r="BU477" s="19"/>
      <c r="BV477" s="19"/>
      <c r="BW477" s="19"/>
      <c r="BX477" s="19"/>
      <c r="BY477" s="19"/>
      <c r="BZ477" s="19"/>
      <c r="CA477" s="19"/>
      <c r="CB477" s="19"/>
      <c r="CC477" s="19"/>
      <c r="CD477" s="19"/>
      <c r="CE477" s="19"/>
      <c r="CF477" s="19"/>
      <c r="CG477" s="19"/>
      <c r="CH477" s="19"/>
      <c r="CI477" s="19"/>
      <c r="CJ477" s="19"/>
      <c r="CK477" s="19"/>
      <c r="CL477" s="19"/>
      <c r="CM477" s="19"/>
      <c r="CN477" s="19"/>
      <c r="CO477" s="19"/>
      <c r="CP477" s="19"/>
      <c r="CQ477" s="19"/>
      <c r="CR477" s="19"/>
      <c r="CS477" s="19"/>
      <c r="CT477" s="19"/>
      <c r="CU477" s="19"/>
      <c r="CV477" s="19"/>
      <c r="CW477" s="19"/>
      <c r="CX477" s="19"/>
      <c r="CY477" s="19"/>
      <c r="CZ477" s="19"/>
      <c r="DA477" s="19"/>
      <c r="DB477" s="19"/>
      <c r="DC477" s="19"/>
      <c r="DD477" s="19"/>
      <c r="DE477" s="19"/>
      <c r="DF477" s="19"/>
      <c r="DG477" s="19"/>
      <c r="DH477" s="19"/>
      <c r="DI477" s="19"/>
      <c r="DJ477" s="19"/>
      <c r="DK477" s="19"/>
      <c r="DL477" s="19"/>
      <c r="DM477" s="19"/>
      <c r="DN477" s="19"/>
      <c r="DO477" s="19"/>
      <c r="DP477" s="19"/>
      <c r="DQ477" s="19"/>
      <c r="DR477" s="19"/>
      <c r="DS477" s="19"/>
      <c r="DT477" s="19"/>
      <c r="DU477" s="19"/>
      <c r="DV477" s="19"/>
      <c r="DW477" s="19"/>
      <c r="DX477" s="19"/>
      <c r="DY477" s="19"/>
      <c r="DZ477" s="19"/>
      <c r="EA477" s="19"/>
      <c r="EB477" s="19"/>
      <c r="EC477" s="19"/>
      <c r="ED477" s="19"/>
      <c r="EE477" s="19"/>
      <c r="EF477" s="19"/>
      <c r="EG477" s="19"/>
      <c r="EH477" s="19"/>
      <c r="EI477" s="19"/>
      <c r="EJ477" s="19"/>
      <c r="EK477" s="19"/>
      <c r="EL477" s="19"/>
      <c r="EM477" s="19"/>
      <c r="EN477" s="19"/>
      <c r="EO477" s="19"/>
      <c r="EP477" s="19"/>
      <c r="EQ477" s="19"/>
      <c r="ER477" s="19"/>
      <c r="ES477" s="19"/>
      <c r="ET477" s="19"/>
      <c r="EU477" s="19"/>
      <c r="EV477" s="19"/>
      <c r="EW477" s="19"/>
      <c r="EX477" s="19"/>
      <c r="EY477" s="19"/>
      <c r="EZ477" s="19"/>
      <c r="FA477" s="19"/>
      <c r="FB477" s="19"/>
      <c r="FC477" s="19"/>
      <c r="FD477" s="19"/>
      <c r="FE477" s="19"/>
      <c r="FF477" s="19"/>
      <c r="FG477" s="19"/>
      <c r="FH477" s="19"/>
      <c r="FI477" s="19"/>
      <c r="FJ477" s="19"/>
      <c r="FK477" s="19"/>
      <c r="FL477" s="19"/>
      <c r="FM477" s="19"/>
      <c r="FN477" s="19"/>
      <c r="FO477" s="19"/>
      <c r="FP477" s="19"/>
      <c r="FQ477" s="19"/>
      <c r="FR477" s="19"/>
      <c r="FS477" s="19"/>
      <c r="FT477" s="19"/>
      <c r="FU477" s="19"/>
      <c r="FV477" s="19"/>
      <c r="FW477" s="19"/>
      <c r="FX477" s="19"/>
      <c r="FY477" s="19"/>
      <c r="FZ477" s="19"/>
      <c r="GA477" s="19"/>
      <c r="GB477" s="19"/>
      <c r="GC477" s="19"/>
      <c r="GD477" s="19"/>
      <c r="GE477" s="19"/>
      <c r="GF477" s="19"/>
      <c r="GG477" s="19"/>
      <c r="GH477" s="19"/>
      <c r="GI477" s="19"/>
      <c r="GJ477" s="19"/>
      <c r="GK477" s="19"/>
      <c r="GL477" s="19"/>
      <c r="GM477" s="19"/>
      <c r="GN477" s="19"/>
      <c r="GO477" s="19"/>
      <c r="GP477" s="19"/>
      <c r="GQ477" s="19"/>
      <c r="GR477" s="19"/>
      <c r="GS477" s="19"/>
      <c r="GT477" s="19"/>
      <c r="GU477" s="19"/>
      <c r="GV477" s="19"/>
      <c r="GW477" s="19"/>
      <c r="GX477" s="19"/>
      <c r="GY477" s="19"/>
      <c r="GZ477" s="19"/>
      <c r="HA477" s="19"/>
      <c r="HB477" s="19"/>
    </row>
    <row r="478" spans="1:210" x14ac:dyDescent="0.25">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c r="BE478" s="19"/>
      <c r="BF478" s="19"/>
      <c r="BG478" s="19"/>
      <c r="BH478" s="19"/>
      <c r="BI478" s="19"/>
      <c r="BJ478" s="19"/>
      <c r="BK478" s="19"/>
      <c r="BL478" s="19"/>
      <c r="BM478" s="19"/>
      <c r="BN478" s="19"/>
      <c r="BO478" s="19"/>
      <c r="BP478" s="19"/>
      <c r="BQ478" s="19"/>
      <c r="BR478" s="19"/>
      <c r="BS478" s="19"/>
      <c r="BT478" s="19"/>
      <c r="BU478" s="19"/>
      <c r="BV478" s="19"/>
      <c r="BW478" s="19"/>
      <c r="BX478" s="19"/>
      <c r="BY478" s="19"/>
      <c r="BZ478" s="19"/>
      <c r="CA478" s="19"/>
      <c r="CB478" s="19"/>
      <c r="CC478" s="19"/>
      <c r="CD478" s="19"/>
      <c r="CE478" s="19"/>
      <c r="CF478" s="19"/>
      <c r="CG478" s="19"/>
      <c r="CH478" s="19"/>
      <c r="CI478" s="19"/>
      <c r="CJ478" s="19"/>
      <c r="CK478" s="19"/>
      <c r="CL478" s="19"/>
      <c r="CM478" s="19"/>
      <c r="CN478" s="19"/>
      <c r="CO478" s="19"/>
      <c r="CP478" s="19"/>
      <c r="CQ478" s="19"/>
      <c r="CR478" s="19"/>
      <c r="CS478" s="19"/>
      <c r="CT478" s="19"/>
      <c r="CU478" s="19"/>
      <c r="CV478" s="19"/>
      <c r="CW478" s="19"/>
      <c r="CX478" s="19"/>
      <c r="CY478" s="19"/>
      <c r="CZ478" s="19"/>
      <c r="DA478" s="19"/>
      <c r="DB478" s="19"/>
      <c r="DC478" s="19"/>
      <c r="DD478" s="19"/>
      <c r="DE478" s="19"/>
      <c r="DF478" s="19"/>
      <c r="DG478" s="19"/>
      <c r="DH478" s="19"/>
      <c r="DI478" s="19"/>
      <c r="DJ478" s="19"/>
      <c r="DK478" s="19"/>
      <c r="DL478" s="19"/>
      <c r="DM478" s="19"/>
      <c r="DN478" s="19"/>
      <c r="DO478" s="19"/>
      <c r="DP478" s="19"/>
      <c r="DQ478" s="19"/>
      <c r="DR478" s="19"/>
      <c r="DS478" s="19"/>
      <c r="DT478" s="19"/>
      <c r="DU478" s="19"/>
      <c r="DV478" s="19"/>
      <c r="DW478" s="19"/>
      <c r="DX478" s="19"/>
      <c r="DY478" s="19"/>
      <c r="DZ478" s="19"/>
      <c r="EA478" s="19"/>
      <c r="EB478" s="19"/>
      <c r="EC478" s="19"/>
      <c r="ED478" s="19"/>
      <c r="EE478" s="19"/>
      <c r="EF478" s="19"/>
      <c r="EG478" s="19"/>
      <c r="EH478" s="19"/>
      <c r="EI478" s="19"/>
      <c r="EJ478" s="19"/>
      <c r="EK478" s="19"/>
      <c r="EL478" s="19"/>
      <c r="EM478" s="19"/>
      <c r="EN478" s="19"/>
      <c r="EO478" s="19"/>
      <c r="EP478" s="19"/>
      <c r="EQ478" s="19"/>
      <c r="ER478" s="19"/>
      <c r="ES478" s="19"/>
      <c r="ET478" s="19"/>
      <c r="EU478" s="19"/>
      <c r="EV478" s="19"/>
      <c r="EW478" s="19"/>
      <c r="EX478" s="19"/>
      <c r="EY478" s="19"/>
      <c r="EZ478" s="19"/>
      <c r="FA478" s="19"/>
      <c r="FB478" s="19"/>
      <c r="FC478" s="19"/>
      <c r="FD478" s="19"/>
      <c r="FE478" s="19"/>
      <c r="FF478" s="19"/>
      <c r="FG478" s="19"/>
      <c r="FH478" s="19"/>
      <c r="FI478" s="19"/>
      <c r="FJ478" s="19"/>
      <c r="FK478" s="19"/>
      <c r="FL478" s="19"/>
      <c r="FM478" s="19"/>
      <c r="FN478" s="19"/>
      <c r="FO478" s="19"/>
      <c r="FP478" s="19"/>
      <c r="FQ478" s="19"/>
      <c r="FR478" s="19"/>
      <c r="FS478" s="19"/>
      <c r="FT478" s="19"/>
      <c r="FU478" s="19"/>
      <c r="FV478" s="19"/>
      <c r="FW478" s="19"/>
      <c r="FX478" s="19"/>
      <c r="FY478" s="19"/>
      <c r="FZ478" s="19"/>
      <c r="GA478" s="19"/>
      <c r="GB478" s="19"/>
      <c r="GC478" s="19"/>
      <c r="GD478" s="19"/>
      <c r="GE478" s="19"/>
      <c r="GF478" s="19"/>
      <c r="GG478" s="19"/>
      <c r="GH478" s="19"/>
      <c r="GI478" s="19"/>
      <c r="GJ478" s="19"/>
      <c r="GK478" s="19"/>
      <c r="GL478" s="19"/>
      <c r="GM478" s="19"/>
      <c r="GN478" s="19"/>
      <c r="GO478" s="19"/>
      <c r="GP478" s="19"/>
      <c r="GQ478" s="19"/>
      <c r="GR478" s="19"/>
      <c r="GS478" s="19"/>
      <c r="GT478" s="19"/>
      <c r="GU478" s="19"/>
      <c r="GV478" s="19"/>
      <c r="GW478" s="19"/>
      <c r="GX478" s="19"/>
      <c r="GY478" s="19"/>
      <c r="GZ478" s="19"/>
      <c r="HA478" s="19"/>
      <c r="HB478" s="19"/>
    </row>
    <row r="479" spans="1:210" x14ac:dyDescent="0.25">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c r="BE479" s="19"/>
      <c r="BF479" s="19"/>
      <c r="BG479" s="19"/>
      <c r="BH479" s="19"/>
      <c r="BI479" s="19"/>
      <c r="BJ479" s="19"/>
      <c r="BK479" s="19"/>
      <c r="BL479" s="19"/>
      <c r="BM479" s="19"/>
      <c r="BN479" s="19"/>
      <c r="BO479" s="19"/>
      <c r="BP479" s="19"/>
      <c r="BQ479" s="19"/>
      <c r="BR479" s="19"/>
      <c r="BS479" s="19"/>
      <c r="BT479" s="19"/>
      <c r="BU479" s="19"/>
      <c r="BV479" s="19"/>
      <c r="BW479" s="19"/>
      <c r="BX479" s="19"/>
      <c r="BY479" s="19"/>
      <c r="BZ479" s="19"/>
      <c r="CA479" s="19"/>
      <c r="CB479" s="19"/>
      <c r="CC479" s="19"/>
      <c r="CD479" s="19"/>
      <c r="CE479" s="19"/>
      <c r="CF479" s="19"/>
      <c r="CG479" s="19"/>
      <c r="CH479" s="19"/>
      <c r="CI479" s="19"/>
      <c r="CJ479" s="19"/>
      <c r="CK479" s="19"/>
      <c r="CL479" s="19"/>
      <c r="CM479" s="19"/>
      <c r="CN479" s="19"/>
      <c r="CO479" s="19"/>
      <c r="CP479" s="19"/>
      <c r="CQ479" s="19"/>
      <c r="CR479" s="19"/>
      <c r="CS479" s="19"/>
      <c r="CT479" s="19"/>
      <c r="CU479" s="19"/>
      <c r="CV479" s="19"/>
      <c r="CW479" s="19"/>
      <c r="CX479" s="19"/>
      <c r="CY479" s="19"/>
      <c r="CZ479" s="19"/>
      <c r="DA479" s="19"/>
      <c r="DB479" s="19"/>
      <c r="DC479" s="19"/>
      <c r="DD479" s="19"/>
      <c r="DE479" s="19"/>
      <c r="DF479" s="19"/>
      <c r="DG479" s="19"/>
      <c r="DH479" s="19"/>
      <c r="DI479" s="19"/>
      <c r="DJ479" s="19"/>
      <c r="DK479" s="19"/>
      <c r="DL479" s="19"/>
      <c r="DM479" s="19"/>
      <c r="DN479" s="19"/>
      <c r="DO479" s="19"/>
      <c r="DP479" s="19"/>
      <c r="DQ479" s="19"/>
      <c r="DR479" s="19"/>
      <c r="DS479" s="19"/>
      <c r="DT479" s="19"/>
      <c r="DU479" s="19"/>
      <c r="DV479" s="19"/>
      <c r="DW479" s="19"/>
      <c r="DX479" s="19"/>
      <c r="DY479" s="19"/>
      <c r="DZ479" s="19"/>
      <c r="EA479" s="19"/>
      <c r="EB479" s="19"/>
      <c r="EC479" s="19"/>
      <c r="ED479" s="19"/>
      <c r="EE479" s="19"/>
      <c r="EF479" s="19"/>
      <c r="EG479" s="19"/>
      <c r="EH479" s="19"/>
      <c r="EI479" s="19"/>
      <c r="EJ479" s="19"/>
      <c r="EK479" s="19"/>
      <c r="EL479" s="19"/>
      <c r="EM479" s="19"/>
      <c r="EN479" s="19"/>
      <c r="EO479" s="19"/>
      <c r="EP479" s="19"/>
      <c r="EQ479" s="19"/>
      <c r="ER479" s="19"/>
      <c r="ES479" s="19"/>
      <c r="ET479" s="19"/>
      <c r="EU479" s="19"/>
      <c r="EV479" s="19"/>
      <c r="EW479" s="19"/>
      <c r="EX479" s="19"/>
      <c r="EY479" s="19"/>
      <c r="EZ479" s="19"/>
      <c r="FA479" s="19"/>
      <c r="FB479" s="19"/>
      <c r="FC479" s="19"/>
      <c r="FD479" s="19"/>
      <c r="FE479" s="19"/>
      <c r="FF479" s="19"/>
      <c r="FG479" s="19"/>
      <c r="FH479" s="19"/>
      <c r="FI479" s="19"/>
      <c r="FJ479" s="19"/>
      <c r="FK479" s="19"/>
      <c r="FL479" s="19"/>
      <c r="FM479" s="19"/>
      <c r="FN479" s="19"/>
      <c r="FO479" s="19"/>
      <c r="FP479" s="19"/>
      <c r="FQ479" s="19"/>
      <c r="FR479" s="19"/>
      <c r="FS479" s="19"/>
      <c r="FT479" s="19"/>
      <c r="FU479" s="19"/>
      <c r="FV479" s="19"/>
      <c r="FW479" s="19"/>
      <c r="FX479" s="19"/>
      <c r="FY479" s="19"/>
      <c r="FZ479" s="19"/>
      <c r="GA479" s="19"/>
      <c r="GB479" s="19"/>
      <c r="GC479" s="19"/>
      <c r="GD479" s="19"/>
      <c r="GE479" s="19"/>
      <c r="GF479" s="19"/>
      <c r="GG479" s="19"/>
      <c r="GH479" s="19"/>
      <c r="GI479" s="19"/>
      <c r="GJ479" s="19"/>
      <c r="GK479" s="19"/>
      <c r="GL479" s="19"/>
      <c r="GM479" s="19"/>
      <c r="GN479" s="19"/>
      <c r="GO479" s="19"/>
      <c r="GP479" s="19"/>
      <c r="GQ479" s="19"/>
      <c r="GR479" s="19"/>
      <c r="GS479" s="19"/>
      <c r="GT479" s="19"/>
      <c r="GU479" s="19"/>
      <c r="GV479" s="19"/>
      <c r="GW479" s="19"/>
      <c r="GX479" s="19"/>
      <c r="GY479" s="19"/>
      <c r="GZ479" s="19"/>
      <c r="HA479" s="19"/>
      <c r="HB479" s="19"/>
    </row>
    <row r="480" spans="1:210" x14ac:dyDescent="0.25">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c r="BE480" s="19"/>
      <c r="BF480" s="19"/>
      <c r="BG480" s="19"/>
      <c r="BH480" s="19"/>
      <c r="BI480" s="19"/>
      <c r="BJ480" s="19"/>
      <c r="BK480" s="19"/>
      <c r="BL480" s="19"/>
      <c r="BM480" s="19"/>
      <c r="BN480" s="19"/>
      <c r="BO480" s="19"/>
      <c r="BP480" s="19"/>
      <c r="BQ480" s="19"/>
      <c r="BR480" s="19"/>
      <c r="BS480" s="19"/>
      <c r="BT480" s="19"/>
      <c r="BU480" s="19"/>
      <c r="BV480" s="19"/>
      <c r="BW480" s="19"/>
      <c r="BX480" s="19"/>
      <c r="BY480" s="19"/>
      <c r="BZ480" s="19"/>
      <c r="CA480" s="19"/>
      <c r="CB480" s="19"/>
      <c r="CC480" s="19"/>
      <c r="CD480" s="19"/>
      <c r="CE480" s="19"/>
      <c r="CF480" s="19"/>
      <c r="CG480" s="19"/>
      <c r="CH480" s="19"/>
      <c r="CI480" s="19"/>
      <c r="CJ480" s="19"/>
      <c r="CK480" s="19"/>
      <c r="CL480" s="19"/>
      <c r="CM480" s="19"/>
      <c r="CN480" s="19"/>
      <c r="CO480" s="19"/>
      <c r="CP480" s="19"/>
      <c r="CQ480" s="19"/>
      <c r="CR480" s="19"/>
      <c r="CS480" s="19"/>
      <c r="CT480" s="19"/>
      <c r="CU480" s="19"/>
      <c r="CV480" s="19"/>
      <c r="CW480" s="19"/>
      <c r="CX480" s="19"/>
      <c r="CY480" s="19"/>
      <c r="CZ480" s="19"/>
      <c r="DA480" s="19"/>
      <c r="DB480" s="19"/>
      <c r="DC480" s="19"/>
      <c r="DD480" s="19"/>
      <c r="DE480" s="19"/>
      <c r="DF480" s="19"/>
      <c r="DG480" s="19"/>
      <c r="DH480" s="19"/>
      <c r="DI480" s="19"/>
      <c r="DJ480" s="19"/>
      <c r="DK480" s="19"/>
      <c r="DL480" s="19"/>
      <c r="DM480" s="19"/>
      <c r="DN480" s="19"/>
      <c r="DO480" s="19"/>
      <c r="DP480" s="19"/>
      <c r="DQ480" s="19"/>
      <c r="DR480" s="19"/>
      <c r="DS480" s="19"/>
      <c r="DT480" s="19"/>
      <c r="DU480" s="19"/>
      <c r="DV480" s="19"/>
      <c r="DW480" s="19"/>
      <c r="DX480" s="19"/>
      <c r="DY480" s="19"/>
      <c r="DZ480" s="19"/>
      <c r="EA480" s="19"/>
      <c r="EB480" s="19"/>
      <c r="EC480" s="19"/>
      <c r="ED480" s="19"/>
      <c r="EE480" s="19"/>
      <c r="EF480" s="19"/>
      <c r="EG480" s="19"/>
      <c r="EH480" s="19"/>
      <c r="EI480" s="19"/>
      <c r="EJ480" s="19"/>
      <c r="EK480" s="19"/>
      <c r="EL480" s="19"/>
      <c r="EM480" s="19"/>
      <c r="EN480" s="19"/>
      <c r="EO480" s="19"/>
      <c r="EP480" s="19"/>
      <c r="EQ480" s="19"/>
      <c r="ER480" s="19"/>
      <c r="ES480" s="19"/>
      <c r="ET480" s="19"/>
      <c r="EU480" s="19"/>
      <c r="EV480" s="19"/>
      <c r="EW480" s="19"/>
      <c r="EX480" s="19"/>
      <c r="EY480" s="19"/>
      <c r="EZ480" s="19"/>
      <c r="FA480" s="19"/>
      <c r="FB480" s="19"/>
      <c r="FC480" s="19"/>
      <c r="FD480" s="19"/>
      <c r="FE480" s="19"/>
      <c r="FF480" s="19"/>
      <c r="FG480" s="19"/>
      <c r="FH480" s="19"/>
      <c r="FI480" s="19"/>
      <c r="FJ480" s="19"/>
      <c r="FK480" s="19"/>
      <c r="FL480" s="19"/>
      <c r="FM480" s="19"/>
      <c r="FN480" s="19"/>
      <c r="FO480" s="19"/>
      <c r="FP480" s="19"/>
      <c r="FQ480" s="19"/>
      <c r="FR480" s="19"/>
      <c r="FS480" s="19"/>
      <c r="FT480" s="19"/>
      <c r="FU480" s="19"/>
      <c r="FV480" s="19"/>
      <c r="FW480" s="19"/>
      <c r="FX480" s="19"/>
      <c r="FY480" s="19"/>
      <c r="FZ480" s="19"/>
      <c r="GA480" s="19"/>
      <c r="GB480" s="19"/>
      <c r="GC480" s="19"/>
      <c r="GD480" s="19"/>
      <c r="GE480" s="19"/>
      <c r="GF480" s="19"/>
      <c r="GG480" s="19"/>
      <c r="GH480" s="19"/>
      <c r="GI480" s="19"/>
      <c r="GJ480" s="19"/>
      <c r="GK480" s="19"/>
      <c r="GL480" s="19"/>
      <c r="GM480" s="19"/>
      <c r="GN480" s="19"/>
      <c r="GO480" s="19"/>
      <c r="GP480" s="19"/>
      <c r="GQ480" s="19"/>
      <c r="GR480" s="19"/>
      <c r="GS480" s="19"/>
      <c r="GT480" s="19"/>
      <c r="GU480" s="19"/>
      <c r="GV480" s="19"/>
      <c r="GW480" s="19"/>
      <c r="GX480" s="19"/>
      <c r="GY480" s="19"/>
      <c r="GZ480" s="19"/>
      <c r="HA480" s="19"/>
      <c r="HB480" s="19"/>
    </row>
    <row r="481" spans="1:210" x14ac:dyDescent="0.25">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c r="BE481" s="19"/>
      <c r="BF481" s="19"/>
      <c r="BG481" s="19"/>
      <c r="BH481" s="19"/>
      <c r="BI481" s="19"/>
      <c r="BJ481" s="19"/>
      <c r="BK481" s="19"/>
      <c r="BL481" s="19"/>
      <c r="BM481" s="19"/>
      <c r="BN481" s="19"/>
      <c r="BO481" s="19"/>
      <c r="BP481" s="19"/>
      <c r="BQ481" s="19"/>
      <c r="BR481" s="19"/>
      <c r="BS481" s="19"/>
      <c r="BT481" s="19"/>
      <c r="BU481" s="19"/>
      <c r="BV481" s="19"/>
      <c r="BW481" s="19"/>
      <c r="BX481" s="19"/>
      <c r="BY481" s="19"/>
      <c r="BZ481" s="19"/>
      <c r="CA481" s="19"/>
      <c r="CB481" s="19"/>
      <c r="CC481" s="19"/>
      <c r="CD481" s="19"/>
      <c r="CE481" s="19"/>
      <c r="CF481" s="19"/>
      <c r="CG481" s="19"/>
      <c r="CH481" s="19"/>
      <c r="CI481" s="19"/>
      <c r="CJ481" s="19"/>
      <c r="CK481" s="19"/>
      <c r="CL481" s="19"/>
      <c r="CM481" s="19"/>
      <c r="CN481" s="19"/>
      <c r="CO481" s="19"/>
      <c r="CP481" s="19"/>
      <c r="CQ481" s="19"/>
      <c r="CR481" s="19"/>
      <c r="CS481" s="19"/>
      <c r="CT481" s="19"/>
      <c r="CU481" s="19"/>
      <c r="CV481" s="19"/>
      <c r="CW481" s="19"/>
      <c r="CX481" s="19"/>
      <c r="CY481" s="19"/>
      <c r="CZ481" s="19"/>
      <c r="DA481" s="19"/>
      <c r="DB481" s="19"/>
      <c r="DC481" s="19"/>
      <c r="DD481" s="19"/>
      <c r="DE481" s="19"/>
      <c r="DF481" s="19"/>
      <c r="DG481" s="19"/>
      <c r="DH481" s="19"/>
      <c r="DI481" s="19"/>
      <c r="DJ481" s="19"/>
      <c r="DK481" s="19"/>
      <c r="DL481" s="19"/>
      <c r="DM481" s="19"/>
      <c r="DN481" s="19"/>
      <c r="DO481" s="19"/>
      <c r="DP481" s="19"/>
      <c r="DQ481" s="19"/>
      <c r="DR481" s="19"/>
      <c r="DS481" s="19"/>
      <c r="DT481" s="19"/>
      <c r="DU481" s="19"/>
      <c r="DV481" s="19"/>
      <c r="DW481" s="19"/>
      <c r="DX481" s="19"/>
      <c r="DY481" s="19"/>
      <c r="DZ481" s="19"/>
      <c r="EA481" s="19"/>
      <c r="EB481" s="19"/>
      <c r="EC481" s="19"/>
      <c r="ED481" s="19"/>
      <c r="EE481" s="19"/>
      <c r="EF481" s="19"/>
      <c r="EG481" s="19"/>
      <c r="EH481" s="19"/>
      <c r="EI481" s="19"/>
      <c r="EJ481" s="19"/>
      <c r="EK481" s="19"/>
      <c r="EL481" s="19"/>
      <c r="EM481" s="19"/>
      <c r="EN481" s="19"/>
      <c r="EO481" s="19"/>
      <c r="EP481" s="19"/>
      <c r="EQ481" s="19"/>
      <c r="ER481" s="19"/>
      <c r="ES481" s="19"/>
      <c r="ET481" s="19"/>
      <c r="EU481" s="19"/>
      <c r="EV481" s="19"/>
      <c r="EW481" s="19"/>
      <c r="EX481" s="19"/>
      <c r="EY481" s="19"/>
      <c r="EZ481" s="19"/>
      <c r="FA481" s="19"/>
      <c r="FB481" s="19"/>
      <c r="FC481" s="19"/>
      <c r="FD481" s="19"/>
      <c r="FE481" s="19"/>
      <c r="FF481" s="19"/>
      <c r="FG481" s="19"/>
      <c r="FH481" s="19"/>
      <c r="FI481" s="19"/>
      <c r="FJ481" s="19"/>
      <c r="FK481" s="19"/>
      <c r="FL481" s="19"/>
      <c r="FM481" s="19"/>
      <c r="FN481" s="19"/>
      <c r="FO481" s="19"/>
      <c r="FP481" s="19"/>
      <c r="FQ481" s="19"/>
      <c r="FR481" s="19"/>
      <c r="FS481" s="19"/>
      <c r="FT481" s="19"/>
      <c r="FU481" s="19"/>
      <c r="FV481" s="19"/>
      <c r="FW481" s="19"/>
      <c r="FX481" s="19"/>
      <c r="FY481" s="19"/>
      <c r="FZ481" s="19"/>
      <c r="GA481" s="19"/>
      <c r="GB481" s="19"/>
      <c r="GC481" s="19"/>
      <c r="GD481" s="19"/>
      <c r="GE481" s="19"/>
      <c r="GF481" s="19"/>
      <c r="GG481" s="19"/>
      <c r="GH481" s="19"/>
      <c r="GI481" s="19"/>
      <c r="GJ481" s="19"/>
      <c r="GK481" s="19"/>
      <c r="GL481" s="19"/>
      <c r="GM481" s="19"/>
      <c r="GN481" s="19"/>
      <c r="GO481" s="19"/>
      <c r="GP481" s="19"/>
      <c r="GQ481" s="19"/>
      <c r="GR481" s="19"/>
      <c r="GS481" s="19"/>
      <c r="GT481" s="19"/>
      <c r="GU481" s="19"/>
      <c r="GV481" s="19"/>
      <c r="GW481" s="19"/>
      <c r="GX481" s="19"/>
      <c r="GY481" s="19"/>
      <c r="GZ481" s="19"/>
      <c r="HA481" s="19"/>
      <c r="HB481" s="19"/>
    </row>
    <row r="482" spans="1:210" x14ac:dyDescent="0.25">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c r="BE482" s="19"/>
      <c r="BF482" s="19"/>
      <c r="BG482" s="19"/>
      <c r="BH482" s="19"/>
      <c r="BI482" s="19"/>
      <c r="BJ482" s="19"/>
      <c r="BK482" s="19"/>
      <c r="BL482" s="19"/>
      <c r="BM482" s="19"/>
      <c r="BN482" s="19"/>
      <c r="BO482" s="19"/>
      <c r="BP482" s="19"/>
      <c r="BQ482" s="19"/>
      <c r="BR482" s="19"/>
      <c r="BS482" s="19"/>
      <c r="BT482" s="19"/>
      <c r="BU482" s="19"/>
      <c r="BV482" s="19"/>
      <c r="BW482" s="19"/>
      <c r="BX482" s="19"/>
      <c r="BY482" s="19"/>
      <c r="BZ482" s="19"/>
      <c r="CA482" s="19"/>
      <c r="CB482" s="19"/>
      <c r="CC482" s="19"/>
      <c r="CD482" s="19"/>
      <c r="CE482" s="19"/>
      <c r="CF482" s="19"/>
      <c r="CG482" s="19"/>
      <c r="CH482" s="19"/>
      <c r="CI482" s="19"/>
      <c r="CJ482" s="19"/>
      <c r="CK482" s="19"/>
      <c r="CL482" s="19"/>
      <c r="CM482" s="19"/>
      <c r="CN482" s="19"/>
      <c r="CO482" s="19"/>
      <c r="CP482" s="19"/>
      <c r="CQ482" s="19"/>
      <c r="CR482" s="19"/>
      <c r="CS482" s="19"/>
      <c r="CT482" s="19"/>
      <c r="CU482" s="19"/>
      <c r="CV482" s="19"/>
      <c r="CW482" s="19"/>
      <c r="CX482" s="19"/>
      <c r="CY482" s="19"/>
      <c r="CZ482" s="19"/>
      <c r="DA482" s="19"/>
      <c r="DB482" s="19"/>
      <c r="DC482" s="19"/>
      <c r="DD482" s="19"/>
      <c r="DE482" s="19"/>
      <c r="DF482" s="19"/>
      <c r="DG482" s="19"/>
      <c r="DH482" s="19"/>
      <c r="DI482" s="19"/>
      <c r="DJ482" s="19"/>
      <c r="DK482" s="19"/>
      <c r="DL482" s="19"/>
      <c r="DM482" s="19"/>
      <c r="DN482" s="19"/>
      <c r="DO482" s="19"/>
      <c r="DP482" s="19"/>
      <c r="DQ482" s="19"/>
      <c r="DR482" s="19"/>
      <c r="DS482" s="19"/>
      <c r="DT482" s="19"/>
      <c r="DU482" s="19"/>
      <c r="DV482" s="19"/>
      <c r="DW482" s="19"/>
      <c r="DX482" s="19"/>
      <c r="DY482" s="19"/>
      <c r="DZ482" s="19"/>
      <c r="EA482" s="19"/>
      <c r="EB482" s="19"/>
      <c r="EC482" s="19"/>
      <c r="ED482" s="19"/>
      <c r="EE482" s="19"/>
      <c r="EF482" s="19"/>
      <c r="EG482" s="19"/>
      <c r="EH482" s="19"/>
      <c r="EI482" s="19"/>
      <c r="EJ482" s="19"/>
      <c r="EK482" s="19"/>
      <c r="EL482" s="19"/>
      <c r="EM482" s="19"/>
      <c r="EN482" s="19"/>
      <c r="EO482" s="19"/>
      <c r="EP482" s="19"/>
      <c r="EQ482" s="19"/>
      <c r="ER482" s="19"/>
      <c r="ES482" s="19"/>
      <c r="ET482" s="19"/>
      <c r="EU482" s="19"/>
      <c r="EV482" s="19"/>
      <c r="EW482" s="19"/>
      <c r="EX482" s="19"/>
      <c r="EY482" s="19"/>
      <c r="EZ482" s="19"/>
      <c r="FA482" s="19"/>
      <c r="FB482" s="19"/>
      <c r="FC482" s="19"/>
      <c r="FD482" s="19"/>
      <c r="FE482" s="19"/>
      <c r="FF482" s="19"/>
      <c r="FG482" s="19"/>
      <c r="FH482" s="19"/>
      <c r="FI482" s="19"/>
      <c r="FJ482" s="19"/>
      <c r="FK482" s="19"/>
      <c r="FL482" s="19"/>
      <c r="FM482" s="19"/>
      <c r="FN482" s="19"/>
      <c r="FO482" s="19"/>
      <c r="FP482" s="19"/>
      <c r="FQ482" s="19"/>
      <c r="FR482" s="19"/>
      <c r="FS482" s="19"/>
      <c r="FT482" s="19"/>
      <c r="FU482" s="19"/>
      <c r="FV482" s="19"/>
      <c r="FW482" s="19"/>
      <c r="FX482" s="19"/>
      <c r="FY482" s="19"/>
      <c r="FZ482" s="19"/>
      <c r="GA482" s="19"/>
      <c r="GB482" s="19"/>
      <c r="GC482" s="19"/>
      <c r="GD482" s="19"/>
      <c r="GE482" s="19"/>
      <c r="GF482" s="19"/>
      <c r="GG482" s="19"/>
      <c r="GH482" s="19"/>
      <c r="GI482" s="19"/>
      <c r="GJ482" s="19"/>
      <c r="GK482" s="19"/>
      <c r="GL482" s="19"/>
      <c r="GM482" s="19"/>
      <c r="GN482" s="19"/>
      <c r="GO482" s="19"/>
      <c r="GP482" s="19"/>
      <c r="GQ482" s="19"/>
      <c r="GR482" s="19"/>
      <c r="GS482" s="19"/>
      <c r="GT482" s="19"/>
      <c r="GU482" s="19"/>
      <c r="GV482" s="19"/>
      <c r="GW482" s="19"/>
      <c r="GX482" s="19"/>
      <c r="GY482" s="19"/>
      <c r="GZ482" s="19"/>
      <c r="HA482" s="19"/>
      <c r="HB482" s="19"/>
    </row>
    <row r="483" spans="1:210" x14ac:dyDescent="0.25">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c r="BE483" s="19"/>
      <c r="BF483" s="19"/>
      <c r="BG483" s="19"/>
      <c r="BH483" s="19"/>
      <c r="BI483" s="19"/>
      <c r="BJ483" s="19"/>
      <c r="BK483" s="19"/>
      <c r="BL483" s="19"/>
      <c r="BM483" s="19"/>
      <c r="BN483" s="19"/>
      <c r="BO483" s="19"/>
      <c r="BP483" s="19"/>
      <c r="BQ483" s="19"/>
      <c r="BR483" s="19"/>
      <c r="BS483" s="19"/>
      <c r="BT483" s="19"/>
      <c r="BU483" s="19"/>
      <c r="BV483" s="19"/>
      <c r="BW483" s="19"/>
      <c r="BX483" s="19"/>
      <c r="BY483" s="19"/>
      <c r="BZ483" s="19"/>
      <c r="CA483" s="19"/>
      <c r="CB483" s="19"/>
      <c r="CC483" s="19"/>
      <c r="CD483" s="19"/>
      <c r="CE483" s="19"/>
      <c r="CF483" s="19"/>
      <c r="CG483" s="19"/>
      <c r="CH483" s="19"/>
      <c r="CI483" s="19"/>
      <c r="CJ483" s="19"/>
      <c r="CK483" s="19"/>
      <c r="CL483" s="19"/>
      <c r="CM483" s="19"/>
      <c r="CN483" s="19"/>
      <c r="CO483" s="19"/>
      <c r="CP483" s="19"/>
      <c r="CQ483" s="19"/>
      <c r="CR483" s="19"/>
      <c r="CS483" s="19"/>
      <c r="CT483" s="19"/>
      <c r="CU483" s="19"/>
      <c r="CV483" s="19"/>
      <c r="CW483" s="19"/>
      <c r="CX483" s="19"/>
      <c r="CY483" s="19"/>
      <c r="CZ483" s="19"/>
      <c r="DA483" s="19"/>
      <c r="DB483" s="19"/>
      <c r="DC483" s="19"/>
      <c r="DD483" s="19"/>
      <c r="DE483" s="19"/>
      <c r="DF483" s="19"/>
      <c r="DG483" s="19"/>
      <c r="DH483" s="19"/>
      <c r="DI483" s="19"/>
      <c r="DJ483" s="19"/>
      <c r="DK483" s="19"/>
      <c r="DL483" s="19"/>
      <c r="DM483" s="19"/>
      <c r="DN483" s="19"/>
      <c r="DO483" s="19"/>
      <c r="DP483" s="19"/>
      <c r="DQ483" s="19"/>
      <c r="DR483" s="19"/>
      <c r="DS483" s="19"/>
      <c r="DT483" s="19"/>
      <c r="DU483" s="19"/>
      <c r="DV483" s="19"/>
      <c r="DW483" s="19"/>
      <c r="DX483" s="19"/>
      <c r="DY483" s="19"/>
      <c r="DZ483" s="19"/>
      <c r="EA483" s="19"/>
      <c r="EB483" s="19"/>
      <c r="EC483" s="19"/>
      <c r="ED483" s="19"/>
      <c r="EE483" s="19"/>
      <c r="EF483" s="19"/>
      <c r="EG483" s="19"/>
      <c r="EH483" s="19"/>
      <c r="EI483" s="19"/>
      <c r="EJ483" s="19"/>
      <c r="EK483" s="19"/>
      <c r="EL483" s="19"/>
      <c r="EM483" s="19"/>
      <c r="EN483" s="19"/>
      <c r="EO483" s="19"/>
      <c r="EP483" s="19"/>
      <c r="EQ483" s="19"/>
      <c r="ER483" s="19"/>
      <c r="ES483" s="19"/>
      <c r="ET483" s="19"/>
      <c r="EU483" s="19"/>
      <c r="EV483" s="19"/>
      <c r="EW483" s="19"/>
      <c r="EX483" s="19"/>
      <c r="EY483" s="19"/>
      <c r="EZ483" s="19"/>
      <c r="FA483" s="19"/>
      <c r="FB483" s="19"/>
      <c r="FC483" s="19"/>
      <c r="FD483" s="19"/>
      <c r="FE483" s="19"/>
      <c r="FF483" s="19"/>
      <c r="FG483" s="19"/>
      <c r="FH483" s="19"/>
      <c r="FI483" s="19"/>
      <c r="FJ483" s="19"/>
      <c r="FK483" s="19"/>
      <c r="FL483" s="19"/>
      <c r="FM483" s="19"/>
      <c r="FN483" s="19"/>
      <c r="FO483" s="19"/>
      <c r="FP483" s="19"/>
      <c r="FQ483" s="19"/>
      <c r="FR483" s="19"/>
      <c r="FS483" s="19"/>
      <c r="FT483" s="19"/>
      <c r="FU483" s="19"/>
      <c r="FV483" s="19"/>
      <c r="FW483" s="19"/>
      <c r="FX483" s="19"/>
      <c r="FY483" s="19"/>
      <c r="FZ483" s="19"/>
      <c r="GA483" s="19"/>
      <c r="GB483" s="19"/>
      <c r="GC483" s="19"/>
      <c r="GD483" s="19"/>
      <c r="GE483" s="19"/>
      <c r="GF483" s="19"/>
      <c r="GG483" s="19"/>
      <c r="GH483" s="19"/>
      <c r="GI483" s="19"/>
      <c r="GJ483" s="19"/>
      <c r="GK483" s="19"/>
      <c r="GL483" s="19"/>
      <c r="GM483" s="19"/>
      <c r="GN483" s="19"/>
      <c r="GO483" s="19"/>
      <c r="GP483" s="19"/>
      <c r="GQ483" s="19"/>
      <c r="GR483" s="19"/>
      <c r="GS483" s="19"/>
      <c r="GT483" s="19"/>
      <c r="GU483" s="19"/>
      <c r="GV483" s="19"/>
      <c r="GW483" s="19"/>
      <c r="GX483" s="19"/>
      <c r="GY483" s="19"/>
      <c r="GZ483" s="19"/>
      <c r="HA483" s="19"/>
      <c r="HB483" s="19"/>
    </row>
    <row r="484" spans="1:210" x14ac:dyDescent="0.25">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c r="BE484" s="19"/>
      <c r="BF484" s="19"/>
      <c r="BG484" s="19"/>
      <c r="BH484" s="19"/>
      <c r="BI484" s="19"/>
      <c r="BJ484" s="19"/>
      <c r="BK484" s="19"/>
      <c r="BL484" s="19"/>
      <c r="BM484" s="19"/>
      <c r="BN484" s="19"/>
      <c r="BO484" s="19"/>
      <c r="BP484" s="19"/>
      <c r="BQ484" s="19"/>
      <c r="BR484" s="19"/>
      <c r="BS484" s="19"/>
      <c r="BT484" s="19"/>
      <c r="BU484" s="19"/>
      <c r="BV484" s="19"/>
      <c r="BW484" s="19"/>
      <c r="BX484" s="19"/>
      <c r="BY484" s="19"/>
      <c r="BZ484" s="19"/>
      <c r="CA484" s="19"/>
      <c r="CB484" s="19"/>
      <c r="CC484" s="19"/>
      <c r="CD484" s="19"/>
      <c r="CE484" s="19"/>
      <c r="CF484" s="19"/>
      <c r="CG484" s="19"/>
      <c r="CH484" s="19"/>
      <c r="CI484" s="19"/>
      <c r="CJ484" s="19"/>
      <c r="CK484" s="19"/>
      <c r="CL484" s="19"/>
      <c r="CM484" s="19"/>
      <c r="CN484" s="19"/>
      <c r="CO484" s="19"/>
      <c r="CP484" s="19"/>
      <c r="CQ484" s="19"/>
      <c r="CR484" s="19"/>
      <c r="CS484" s="19"/>
      <c r="CT484" s="19"/>
      <c r="CU484" s="19"/>
      <c r="CV484" s="19"/>
      <c r="CW484" s="19"/>
      <c r="CX484" s="19"/>
      <c r="CY484" s="19"/>
      <c r="CZ484" s="19"/>
      <c r="DA484" s="19"/>
      <c r="DB484" s="19"/>
      <c r="DC484" s="19"/>
      <c r="DD484" s="19"/>
      <c r="DE484" s="19"/>
      <c r="DF484" s="19"/>
      <c r="DG484" s="19"/>
      <c r="DH484" s="19"/>
      <c r="DI484" s="19"/>
      <c r="DJ484" s="19"/>
      <c r="DK484" s="19"/>
      <c r="DL484" s="19"/>
      <c r="DM484" s="19"/>
      <c r="DN484" s="19"/>
      <c r="DO484" s="19"/>
      <c r="DP484" s="19"/>
      <c r="DQ484" s="19"/>
      <c r="DR484" s="19"/>
      <c r="DS484" s="19"/>
      <c r="DT484" s="19"/>
      <c r="DU484" s="19"/>
      <c r="DV484" s="19"/>
      <c r="DW484" s="19"/>
      <c r="DX484" s="19"/>
      <c r="DY484" s="19"/>
      <c r="DZ484" s="19"/>
      <c r="EA484" s="19"/>
      <c r="EB484" s="19"/>
      <c r="EC484" s="19"/>
      <c r="ED484" s="19"/>
      <c r="EE484" s="19"/>
      <c r="EF484" s="19"/>
      <c r="EG484" s="19"/>
      <c r="EH484" s="19"/>
      <c r="EI484" s="19"/>
      <c r="EJ484" s="19"/>
      <c r="EK484" s="19"/>
      <c r="EL484" s="19"/>
      <c r="EM484" s="19"/>
      <c r="EN484" s="19"/>
      <c r="EO484" s="19"/>
      <c r="EP484" s="19"/>
      <c r="EQ484" s="19"/>
      <c r="ER484" s="19"/>
      <c r="ES484" s="19"/>
      <c r="ET484" s="19"/>
      <c r="EU484" s="19"/>
      <c r="EV484" s="19"/>
      <c r="EW484" s="19"/>
      <c r="EX484" s="19"/>
      <c r="EY484" s="19"/>
      <c r="EZ484" s="19"/>
      <c r="FA484" s="19"/>
      <c r="FB484" s="19"/>
      <c r="FC484" s="19"/>
      <c r="FD484" s="19"/>
      <c r="FE484" s="19"/>
      <c r="FF484" s="19"/>
      <c r="FG484" s="19"/>
      <c r="FH484" s="19"/>
      <c r="FI484" s="19"/>
      <c r="FJ484" s="19"/>
      <c r="FK484" s="19"/>
      <c r="FL484" s="19"/>
      <c r="FM484" s="19"/>
      <c r="FN484" s="19"/>
      <c r="FO484" s="19"/>
      <c r="FP484" s="19"/>
      <c r="FQ484" s="19"/>
      <c r="FR484" s="19"/>
      <c r="FS484" s="19"/>
      <c r="FT484" s="19"/>
      <c r="FU484" s="19"/>
      <c r="FV484" s="19"/>
      <c r="FW484" s="19"/>
      <c r="FX484" s="19"/>
      <c r="FY484" s="19"/>
      <c r="FZ484" s="19"/>
      <c r="GA484" s="19"/>
      <c r="GB484" s="19"/>
      <c r="GC484" s="19"/>
      <c r="GD484" s="19"/>
      <c r="GE484" s="19"/>
      <c r="GF484" s="19"/>
      <c r="GG484" s="19"/>
      <c r="GH484" s="19"/>
      <c r="GI484" s="19"/>
      <c r="GJ484" s="19"/>
      <c r="GK484" s="19"/>
      <c r="GL484" s="19"/>
      <c r="GM484" s="19"/>
      <c r="GN484" s="19"/>
      <c r="GO484" s="19"/>
      <c r="GP484" s="19"/>
      <c r="GQ484" s="19"/>
      <c r="GR484" s="19"/>
      <c r="GS484" s="19"/>
      <c r="GT484" s="19"/>
      <c r="GU484" s="19"/>
      <c r="GV484" s="19"/>
      <c r="GW484" s="19"/>
      <c r="GX484" s="19"/>
      <c r="GY484" s="19"/>
      <c r="GZ484" s="19"/>
      <c r="HA484" s="19"/>
      <c r="HB484" s="19"/>
    </row>
    <row r="485" spans="1:210" x14ac:dyDescent="0.25">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c r="BE485" s="19"/>
      <c r="BF485" s="19"/>
      <c r="BG485" s="19"/>
      <c r="BH485" s="19"/>
      <c r="BI485" s="19"/>
      <c r="BJ485" s="19"/>
      <c r="BK485" s="19"/>
      <c r="BL485" s="19"/>
      <c r="BM485" s="19"/>
      <c r="BN485" s="19"/>
      <c r="BO485" s="19"/>
      <c r="BP485" s="19"/>
      <c r="BQ485" s="19"/>
      <c r="BR485" s="19"/>
      <c r="BS485" s="19"/>
      <c r="BT485" s="19"/>
      <c r="BU485" s="19"/>
      <c r="BV485" s="19"/>
      <c r="BW485" s="19"/>
      <c r="BX485" s="19"/>
      <c r="BY485" s="19"/>
      <c r="BZ485" s="19"/>
      <c r="CA485" s="19"/>
      <c r="CB485" s="19"/>
      <c r="CC485" s="19"/>
      <c r="CD485" s="19"/>
      <c r="CE485" s="19"/>
      <c r="CF485" s="19"/>
      <c r="CG485" s="19"/>
      <c r="CH485" s="19"/>
      <c r="CI485" s="19"/>
      <c r="CJ485" s="19"/>
      <c r="CK485" s="19"/>
      <c r="CL485" s="19"/>
      <c r="CM485" s="19"/>
      <c r="CN485" s="19"/>
      <c r="CO485" s="19"/>
      <c r="CP485" s="19"/>
      <c r="CQ485" s="19"/>
      <c r="CR485" s="19"/>
      <c r="CS485" s="19"/>
      <c r="CT485" s="19"/>
      <c r="CU485" s="19"/>
      <c r="CV485" s="19"/>
      <c r="CW485" s="19"/>
      <c r="CX485" s="19"/>
      <c r="CY485" s="19"/>
      <c r="CZ485" s="19"/>
      <c r="DA485" s="19"/>
      <c r="DB485" s="19"/>
      <c r="DC485" s="19"/>
      <c r="DD485" s="19"/>
      <c r="DE485" s="19"/>
      <c r="DF485" s="19"/>
      <c r="DG485" s="19"/>
      <c r="DH485" s="19"/>
      <c r="DI485" s="19"/>
      <c r="DJ485" s="19"/>
      <c r="DK485" s="19"/>
      <c r="DL485" s="19"/>
      <c r="DM485" s="19"/>
      <c r="DN485" s="19"/>
      <c r="DO485" s="19"/>
      <c r="DP485" s="19"/>
      <c r="DQ485" s="19"/>
      <c r="DR485" s="19"/>
      <c r="DS485" s="19"/>
      <c r="DT485" s="19"/>
      <c r="DU485" s="19"/>
      <c r="DV485" s="19"/>
      <c r="DW485" s="19"/>
      <c r="DX485" s="19"/>
      <c r="DY485" s="19"/>
      <c r="DZ485" s="19"/>
      <c r="EA485" s="19"/>
      <c r="EB485" s="19"/>
      <c r="EC485" s="19"/>
      <c r="ED485" s="19"/>
      <c r="EE485" s="19"/>
      <c r="EF485" s="19"/>
      <c r="EG485" s="19"/>
      <c r="EH485" s="19"/>
      <c r="EI485" s="19"/>
      <c r="EJ485" s="19"/>
      <c r="EK485" s="19"/>
      <c r="EL485" s="19"/>
      <c r="EM485" s="19"/>
      <c r="EN485" s="19"/>
      <c r="EO485" s="19"/>
      <c r="EP485" s="19"/>
      <c r="EQ485" s="19"/>
      <c r="ER485" s="19"/>
      <c r="ES485" s="19"/>
      <c r="ET485" s="19"/>
      <c r="EU485" s="19"/>
      <c r="EV485" s="19"/>
      <c r="EW485" s="19"/>
      <c r="EX485" s="19"/>
      <c r="EY485" s="19"/>
      <c r="EZ485" s="19"/>
      <c r="FA485" s="19"/>
      <c r="FB485" s="19"/>
      <c r="FC485" s="19"/>
      <c r="FD485" s="19"/>
      <c r="FE485" s="19"/>
      <c r="FF485" s="19"/>
      <c r="FG485" s="19"/>
      <c r="FH485" s="19"/>
      <c r="FI485" s="19"/>
      <c r="FJ485" s="19"/>
      <c r="FK485" s="19"/>
      <c r="FL485" s="19"/>
      <c r="FM485" s="19"/>
      <c r="FN485" s="19"/>
      <c r="FO485" s="19"/>
      <c r="FP485" s="19"/>
      <c r="FQ485" s="19"/>
      <c r="FR485" s="19"/>
      <c r="FS485" s="19"/>
      <c r="FT485" s="19"/>
      <c r="FU485" s="19"/>
      <c r="FV485" s="19"/>
      <c r="FW485" s="19"/>
      <c r="FX485" s="19"/>
      <c r="FY485" s="19"/>
      <c r="FZ485" s="19"/>
      <c r="GA485" s="19"/>
      <c r="GB485" s="19"/>
      <c r="GC485" s="19"/>
      <c r="GD485" s="19"/>
      <c r="GE485" s="19"/>
      <c r="GF485" s="19"/>
      <c r="GG485" s="19"/>
      <c r="GH485" s="19"/>
      <c r="GI485" s="19"/>
      <c r="GJ485" s="19"/>
      <c r="GK485" s="19"/>
      <c r="GL485" s="19"/>
      <c r="GM485" s="19"/>
      <c r="GN485" s="19"/>
      <c r="GO485" s="19"/>
      <c r="GP485" s="19"/>
      <c r="GQ485" s="19"/>
      <c r="GR485" s="19"/>
      <c r="GS485" s="19"/>
      <c r="GT485" s="19"/>
      <c r="GU485" s="19"/>
      <c r="GV485" s="19"/>
      <c r="GW485" s="19"/>
      <c r="GX485" s="19"/>
      <c r="GY485" s="19"/>
      <c r="GZ485" s="19"/>
      <c r="HA485" s="19"/>
      <c r="HB485" s="19"/>
    </row>
    <row r="486" spans="1:210" x14ac:dyDescent="0.25">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c r="BE486" s="19"/>
      <c r="BF486" s="19"/>
      <c r="BG486" s="19"/>
      <c r="BH486" s="19"/>
      <c r="BI486" s="19"/>
      <c r="BJ486" s="19"/>
      <c r="BK486" s="19"/>
      <c r="BL486" s="19"/>
      <c r="BM486" s="19"/>
      <c r="BN486" s="19"/>
      <c r="BO486" s="19"/>
      <c r="BP486" s="19"/>
      <c r="BQ486" s="19"/>
      <c r="BR486" s="19"/>
      <c r="BS486" s="19"/>
      <c r="BT486" s="19"/>
      <c r="BU486" s="19"/>
      <c r="BV486" s="19"/>
      <c r="BW486" s="19"/>
      <c r="BX486" s="19"/>
      <c r="BY486" s="19"/>
      <c r="BZ486" s="19"/>
      <c r="CA486" s="19"/>
      <c r="CB486" s="19"/>
      <c r="CC486" s="19"/>
      <c r="CD486" s="19"/>
      <c r="CE486" s="19"/>
      <c r="CF486" s="19"/>
      <c r="CG486" s="19"/>
      <c r="CH486" s="19"/>
      <c r="CI486" s="19"/>
      <c r="CJ486" s="19"/>
      <c r="CK486" s="19"/>
      <c r="CL486" s="19"/>
      <c r="CM486" s="19"/>
      <c r="CN486" s="19"/>
      <c r="CO486" s="19"/>
      <c r="CP486" s="19"/>
      <c r="CQ486" s="19"/>
      <c r="CR486" s="19"/>
      <c r="CS486" s="19"/>
      <c r="CT486" s="19"/>
      <c r="CU486" s="19"/>
      <c r="CV486" s="19"/>
      <c r="CW486" s="19"/>
      <c r="CX486" s="19"/>
      <c r="CY486" s="19"/>
      <c r="CZ486" s="19"/>
      <c r="DA486" s="19"/>
      <c r="DB486" s="19"/>
      <c r="DC486" s="19"/>
      <c r="DD486" s="19"/>
      <c r="DE486" s="19"/>
      <c r="DF486" s="19"/>
      <c r="DG486" s="19"/>
      <c r="DH486" s="19"/>
      <c r="DI486" s="19"/>
      <c r="DJ486" s="19"/>
      <c r="DK486" s="19"/>
      <c r="DL486" s="19"/>
      <c r="DM486" s="19"/>
      <c r="DN486" s="19"/>
      <c r="DO486" s="19"/>
      <c r="DP486" s="19"/>
      <c r="DQ486" s="19"/>
      <c r="DR486" s="19"/>
      <c r="DS486" s="19"/>
      <c r="DT486" s="19"/>
      <c r="DU486" s="19"/>
      <c r="DV486" s="19"/>
      <c r="DW486" s="19"/>
      <c r="DX486" s="19"/>
      <c r="DY486" s="19"/>
      <c r="DZ486" s="19"/>
      <c r="EA486" s="19"/>
      <c r="EB486" s="19"/>
      <c r="EC486" s="19"/>
      <c r="ED486" s="19"/>
      <c r="EE486" s="19"/>
      <c r="EF486" s="19"/>
      <c r="EG486" s="19"/>
      <c r="EH486" s="19"/>
      <c r="EI486" s="19"/>
      <c r="EJ486" s="19"/>
      <c r="EK486" s="19"/>
      <c r="EL486" s="19"/>
      <c r="EM486" s="19"/>
      <c r="EN486" s="19"/>
      <c r="EO486" s="19"/>
      <c r="EP486" s="19"/>
      <c r="EQ486" s="19"/>
      <c r="ER486" s="19"/>
      <c r="ES486" s="19"/>
      <c r="ET486" s="19"/>
      <c r="EU486" s="19"/>
      <c r="EV486" s="19"/>
      <c r="EW486" s="19"/>
      <c r="EX486" s="19"/>
      <c r="EY486" s="19"/>
      <c r="EZ486" s="19"/>
      <c r="FA486" s="19"/>
      <c r="FB486" s="19"/>
      <c r="FC486" s="19"/>
      <c r="FD486" s="19"/>
      <c r="FE486" s="19"/>
      <c r="FF486" s="19"/>
      <c r="FG486" s="19"/>
      <c r="FH486" s="19"/>
      <c r="FI486" s="19"/>
      <c r="FJ486" s="19"/>
      <c r="FK486" s="19"/>
      <c r="FL486" s="19"/>
      <c r="FM486" s="19"/>
      <c r="FN486" s="19"/>
      <c r="FO486" s="19"/>
      <c r="FP486" s="19"/>
      <c r="FQ486" s="19"/>
      <c r="FR486" s="19"/>
      <c r="FS486" s="19"/>
      <c r="FT486" s="19"/>
      <c r="FU486" s="19"/>
      <c r="FV486" s="19"/>
      <c r="FW486" s="19"/>
      <c r="FX486" s="19"/>
      <c r="FY486" s="19"/>
      <c r="FZ486" s="19"/>
      <c r="GA486" s="19"/>
      <c r="GB486" s="19"/>
      <c r="GC486" s="19"/>
      <c r="GD486" s="19"/>
      <c r="GE486" s="19"/>
      <c r="GF486" s="19"/>
      <c r="GG486" s="19"/>
      <c r="GH486" s="19"/>
      <c r="GI486" s="19"/>
      <c r="GJ486" s="19"/>
      <c r="GK486" s="19"/>
      <c r="GL486" s="19"/>
      <c r="GM486" s="19"/>
      <c r="GN486" s="19"/>
      <c r="GO486" s="19"/>
      <c r="GP486" s="19"/>
      <c r="GQ486" s="19"/>
      <c r="GR486" s="19"/>
      <c r="GS486" s="19"/>
      <c r="GT486" s="19"/>
      <c r="GU486" s="19"/>
      <c r="GV486" s="19"/>
      <c r="GW486" s="19"/>
      <c r="GX486" s="19"/>
      <c r="GY486" s="19"/>
      <c r="GZ486" s="19"/>
      <c r="HA486" s="19"/>
      <c r="HB486" s="19"/>
    </row>
    <row r="487" spans="1:210" x14ac:dyDescent="0.25">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c r="BE487" s="19"/>
      <c r="BF487" s="19"/>
      <c r="BG487" s="19"/>
      <c r="BH487" s="19"/>
      <c r="BI487" s="19"/>
      <c r="BJ487" s="19"/>
      <c r="BK487" s="19"/>
      <c r="BL487" s="19"/>
      <c r="BM487" s="19"/>
      <c r="BN487" s="19"/>
      <c r="BO487" s="19"/>
      <c r="BP487" s="19"/>
      <c r="BQ487" s="19"/>
      <c r="BR487" s="19"/>
      <c r="BS487" s="19"/>
      <c r="BT487" s="19"/>
      <c r="BU487" s="19"/>
      <c r="BV487" s="19"/>
      <c r="BW487" s="19"/>
      <c r="BX487" s="19"/>
      <c r="BY487" s="19"/>
      <c r="BZ487" s="19"/>
      <c r="CA487" s="19"/>
      <c r="CB487" s="19"/>
      <c r="CC487" s="19"/>
      <c r="CD487" s="19"/>
      <c r="CE487" s="19"/>
      <c r="CF487" s="19"/>
      <c r="CG487" s="19"/>
      <c r="CH487" s="19"/>
      <c r="CI487" s="19"/>
      <c r="CJ487" s="19"/>
      <c r="CK487" s="19"/>
      <c r="CL487" s="19"/>
      <c r="CM487" s="19"/>
      <c r="CN487" s="19"/>
      <c r="CO487" s="19"/>
      <c r="CP487" s="19"/>
      <c r="CQ487" s="19"/>
      <c r="CR487" s="19"/>
      <c r="CS487" s="19"/>
      <c r="CT487" s="19"/>
      <c r="CU487" s="19"/>
      <c r="CV487" s="19"/>
      <c r="CW487" s="19"/>
      <c r="CX487" s="19"/>
      <c r="CY487" s="19"/>
      <c r="CZ487" s="19"/>
      <c r="DA487" s="19"/>
      <c r="DB487" s="19"/>
      <c r="DC487" s="19"/>
      <c r="DD487" s="19"/>
      <c r="DE487" s="19"/>
      <c r="DF487" s="19"/>
      <c r="DG487" s="19"/>
      <c r="DH487" s="19"/>
      <c r="DI487" s="19"/>
      <c r="DJ487" s="19"/>
      <c r="DK487" s="19"/>
      <c r="DL487" s="19"/>
      <c r="DM487" s="19"/>
      <c r="DN487" s="19"/>
      <c r="DO487" s="19"/>
      <c r="DP487" s="19"/>
      <c r="DQ487" s="19"/>
      <c r="DR487" s="19"/>
      <c r="DS487" s="19"/>
      <c r="DT487" s="19"/>
      <c r="DU487" s="19"/>
      <c r="DV487" s="19"/>
      <c r="DW487" s="19"/>
      <c r="DX487" s="19"/>
      <c r="DY487" s="19"/>
      <c r="DZ487" s="19"/>
      <c r="EA487" s="19"/>
      <c r="EB487" s="19"/>
      <c r="EC487" s="19"/>
      <c r="ED487" s="19"/>
      <c r="EE487" s="19"/>
      <c r="EF487" s="19"/>
      <c r="EG487" s="19"/>
      <c r="EH487" s="19"/>
      <c r="EI487" s="19"/>
      <c r="EJ487" s="19"/>
      <c r="EK487" s="19"/>
      <c r="EL487" s="19"/>
      <c r="EM487" s="19"/>
      <c r="EN487" s="19"/>
      <c r="EO487" s="19"/>
      <c r="EP487" s="19"/>
      <c r="EQ487" s="19"/>
      <c r="ER487" s="19"/>
      <c r="ES487" s="19"/>
      <c r="ET487" s="19"/>
      <c r="EU487" s="19"/>
      <c r="EV487" s="19"/>
      <c r="EW487" s="19"/>
      <c r="EX487" s="19"/>
      <c r="EY487" s="19"/>
      <c r="EZ487" s="19"/>
      <c r="FA487" s="19"/>
      <c r="FB487" s="19"/>
      <c r="FC487" s="19"/>
      <c r="FD487" s="19"/>
      <c r="FE487" s="19"/>
      <c r="FF487" s="19"/>
      <c r="FG487" s="19"/>
      <c r="FH487" s="19"/>
      <c r="FI487" s="19"/>
      <c r="FJ487" s="19"/>
      <c r="FK487" s="19"/>
      <c r="FL487" s="19"/>
      <c r="FM487" s="19"/>
      <c r="FN487" s="19"/>
      <c r="FO487" s="19"/>
      <c r="FP487" s="19"/>
      <c r="FQ487" s="19"/>
      <c r="FR487" s="19"/>
      <c r="FS487" s="19"/>
      <c r="FT487" s="19"/>
      <c r="FU487" s="19"/>
      <c r="FV487" s="19"/>
      <c r="FW487" s="19"/>
      <c r="FX487" s="19"/>
      <c r="FY487" s="19"/>
      <c r="FZ487" s="19"/>
      <c r="GA487" s="19"/>
      <c r="GB487" s="19"/>
      <c r="GC487" s="19"/>
      <c r="GD487" s="19"/>
      <c r="GE487" s="19"/>
      <c r="GF487" s="19"/>
      <c r="GG487" s="19"/>
      <c r="GH487" s="19"/>
      <c r="GI487" s="19"/>
      <c r="GJ487" s="19"/>
      <c r="GK487" s="19"/>
      <c r="GL487" s="19"/>
      <c r="GM487" s="19"/>
      <c r="GN487" s="19"/>
      <c r="GO487" s="19"/>
      <c r="GP487" s="19"/>
      <c r="GQ487" s="19"/>
      <c r="GR487" s="19"/>
      <c r="GS487" s="19"/>
      <c r="GT487" s="19"/>
      <c r="GU487" s="19"/>
      <c r="GV487" s="19"/>
      <c r="GW487" s="19"/>
      <c r="GX487" s="19"/>
      <c r="GY487" s="19"/>
      <c r="GZ487" s="19"/>
      <c r="HA487" s="19"/>
      <c r="HB487" s="19"/>
    </row>
    <row r="488" spans="1:210" x14ac:dyDescent="0.25">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c r="BE488" s="19"/>
      <c r="BF488" s="19"/>
      <c r="BG488" s="19"/>
      <c r="BH488" s="19"/>
      <c r="BI488" s="19"/>
      <c r="BJ488" s="19"/>
      <c r="BK488" s="19"/>
      <c r="BL488" s="19"/>
      <c r="BM488" s="19"/>
      <c r="BN488" s="19"/>
      <c r="BO488" s="19"/>
      <c r="BP488" s="19"/>
      <c r="BQ488" s="19"/>
      <c r="BR488" s="19"/>
      <c r="BS488" s="19"/>
      <c r="BT488" s="19"/>
      <c r="BU488" s="19"/>
      <c r="BV488" s="19"/>
      <c r="BW488" s="19"/>
      <c r="BX488" s="19"/>
      <c r="BY488" s="19"/>
      <c r="BZ488" s="19"/>
      <c r="CA488" s="19"/>
      <c r="CB488" s="19"/>
      <c r="CC488" s="19"/>
      <c r="CD488" s="19"/>
      <c r="CE488" s="19"/>
      <c r="CF488" s="19"/>
      <c r="CG488" s="19"/>
      <c r="CH488" s="19"/>
      <c r="CI488" s="19"/>
      <c r="CJ488" s="19"/>
      <c r="CK488" s="19"/>
      <c r="CL488" s="19"/>
      <c r="CM488" s="19"/>
      <c r="CN488" s="19"/>
      <c r="CO488" s="19"/>
      <c r="CP488" s="19"/>
      <c r="CQ488" s="19"/>
      <c r="CR488" s="19"/>
      <c r="CS488" s="19"/>
      <c r="CT488" s="19"/>
      <c r="CU488" s="19"/>
      <c r="CV488" s="19"/>
      <c r="CW488" s="19"/>
      <c r="CX488" s="19"/>
      <c r="CY488" s="19"/>
      <c r="CZ488" s="19"/>
      <c r="DA488" s="19"/>
      <c r="DB488" s="19"/>
      <c r="DC488" s="19"/>
      <c r="DD488" s="19"/>
      <c r="DE488" s="19"/>
      <c r="DF488" s="19"/>
      <c r="DG488" s="19"/>
      <c r="DH488" s="19"/>
      <c r="DI488" s="19"/>
      <c r="DJ488" s="19"/>
      <c r="DK488" s="19"/>
      <c r="DL488" s="19"/>
      <c r="DM488" s="19"/>
      <c r="DN488" s="19"/>
      <c r="DO488" s="19"/>
      <c r="DP488" s="19"/>
      <c r="DQ488" s="19"/>
      <c r="DR488" s="19"/>
      <c r="DS488" s="19"/>
      <c r="DT488" s="19"/>
      <c r="DU488" s="19"/>
      <c r="DV488" s="19"/>
      <c r="DW488" s="19"/>
      <c r="DX488" s="19"/>
      <c r="DY488" s="19"/>
      <c r="DZ488" s="19"/>
      <c r="EA488" s="19"/>
      <c r="EB488" s="19"/>
      <c r="EC488" s="19"/>
      <c r="ED488" s="19"/>
      <c r="EE488" s="19"/>
      <c r="EF488" s="19"/>
      <c r="EG488" s="19"/>
      <c r="EH488" s="19"/>
      <c r="EI488" s="19"/>
      <c r="EJ488" s="19"/>
      <c r="EK488" s="19"/>
      <c r="EL488" s="19"/>
      <c r="EM488" s="19"/>
      <c r="EN488" s="19"/>
      <c r="EO488" s="19"/>
      <c r="EP488" s="19"/>
      <c r="EQ488" s="19"/>
      <c r="ER488" s="19"/>
      <c r="ES488" s="19"/>
      <c r="ET488" s="19"/>
      <c r="EU488" s="19"/>
      <c r="EV488" s="19"/>
      <c r="EW488" s="19"/>
      <c r="EX488" s="19"/>
      <c r="EY488" s="19"/>
      <c r="EZ488" s="19"/>
      <c r="FA488" s="19"/>
      <c r="FB488" s="19"/>
      <c r="FC488" s="19"/>
      <c r="FD488" s="19"/>
      <c r="FE488" s="19"/>
      <c r="FF488" s="19"/>
      <c r="FG488" s="19"/>
      <c r="FH488" s="19"/>
      <c r="FI488" s="19"/>
      <c r="FJ488" s="19"/>
      <c r="FK488" s="19"/>
      <c r="FL488" s="19"/>
      <c r="FM488" s="19"/>
      <c r="FN488" s="19"/>
      <c r="FO488" s="19"/>
      <c r="FP488" s="19"/>
      <c r="FQ488" s="19"/>
      <c r="FR488" s="19"/>
      <c r="FS488" s="19"/>
      <c r="FT488" s="19"/>
      <c r="FU488" s="19"/>
      <c r="FV488" s="19"/>
      <c r="FW488" s="19"/>
      <c r="FX488" s="19"/>
      <c r="FY488" s="19"/>
      <c r="FZ488" s="19"/>
      <c r="GA488" s="19"/>
      <c r="GB488" s="19"/>
      <c r="GC488" s="19"/>
      <c r="GD488" s="19"/>
      <c r="GE488" s="19"/>
      <c r="GF488" s="19"/>
      <c r="GG488" s="19"/>
      <c r="GH488" s="19"/>
      <c r="GI488" s="19"/>
      <c r="GJ488" s="19"/>
      <c r="GK488" s="19"/>
      <c r="GL488" s="19"/>
      <c r="GM488" s="19"/>
      <c r="GN488" s="19"/>
      <c r="GO488" s="19"/>
      <c r="GP488" s="19"/>
      <c r="GQ488" s="19"/>
      <c r="GR488" s="19"/>
      <c r="GS488" s="19"/>
      <c r="GT488" s="19"/>
      <c r="GU488" s="19"/>
      <c r="GV488" s="19"/>
      <c r="GW488" s="19"/>
      <c r="GX488" s="19"/>
      <c r="GY488" s="19"/>
      <c r="GZ488" s="19"/>
      <c r="HA488" s="19"/>
      <c r="HB488" s="19"/>
    </row>
    <row r="489" spans="1:210" x14ac:dyDescent="0.25">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c r="BE489" s="19"/>
      <c r="BF489" s="19"/>
      <c r="BG489" s="19"/>
      <c r="BH489" s="19"/>
      <c r="BI489" s="19"/>
      <c r="BJ489" s="19"/>
      <c r="BK489" s="19"/>
      <c r="BL489" s="19"/>
      <c r="BM489" s="19"/>
      <c r="BN489" s="19"/>
      <c r="BO489" s="19"/>
      <c r="BP489" s="19"/>
      <c r="BQ489" s="19"/>
      <c r="BR489" s="19"/>
      <c r="BS489" s="19"/>
      <c r="BT489" s="19"/>
      <c r="BU489" s="19"/>
      <c r="BV489" s="19"/>
      <c r="BW489" s="19"/>
      <c r="BX489" s="19"/>
      <c r="BY489" s="19"/>
      <c r="BZ489" s="19"/>
      <c r="CA489" s="19"/>
      <c r="CB489" s="19"/>
      <c r="CC489" s="19"/>
      <c r="CD489" s="19"/>
      <c r="CE489" s="19"/>
      <c r="CF489" s="19"/>
      <c r="CG489" s="19"/>
      <c r="CH489" s="19"/>
      <c r="CI489" s="19"/>
      <c r="CJ489" s="19"/>
      <c r="CK489" s="19"/>
      <c r="CL489" s="19"/>
      <c r="CM489" s="19"/>
      <c r="CN489" s="19"/>
      <c r="CO489" s="19"/>
      <c r="CP489" s="19"/>
      <c r="CQ489" s="19"/>
      <c r="CR489" s="19"/>
      <c r="CS489" s="19"/>
      <c r="CT489" s="19"/>
      <c r="CU489" s="19"/>
      <c r="CV489" s="19"/>
      <c r="CW489" s="19"/>
      <c r="CX489" s="19"/>
      <c r="CY489" s="19"/>
      <c r="CZ489" s="19"/>
      <c r="DA489" s="19"/>
      <c r="DB489" s="19"/>
      <c r="DC489" s="19"/>
      <c r="DD489" s="19"/>
      <c r="DE489" s="19"/>
      <c r="DF489" s="19"/>
      <c r="DG489" s="19"/>
      <c r="DH489" s="19"/>
      <c r="DI489" s="19"/>
      <c r="DJ489" s="19"/>
      <c r="DK489" s="19"/>
      <c r="DL489" s="19"/>
      <c r="DM489" s="19"/>
      <c r="DN489" s="19"/>
      <c r="DO489" s="19"/>
      <c r="DP489" s="19"/>
      <c r="DQ489" s="19"/>
      <c r="DR489" s="19"/>
      <c r="DS489" s="19"/>
      <c r="DT489" s="19"/>
      <c r="DU489" s="19"/>
      <c r="DV489" s="19"/>
      <c r="DW489" s="19"/>
      <c r="DX489" s="19"/>
      <c r="DY489" s="19"/>
      <c r="DZ489" s="19"/>
      <c r="EA489" s="19"/>
      <c r="EB489" s="19"/>
      <c r="EC489" s="19"/>
      <c r="ED489" s="19"/>
      <c r="EE489" s="19"/>
      <c r="EF489" s="19"/>
      <c r="EG489" s="19"/>
      <c r="EH489" s="19"/>
      <c r="EI489" s="19"/>
      <c r="EJ489" s="19"/>
      <c r="EK489" s="19"/>
      <c r="EL489" s="19"/>
      <c r="EM489" s="19"/>
      <c r="EN489" s="19"/>
      <c r="EO489" s="19"/>
      <c r="EP489" s="19"/>
      <c r="EQ489" s="19"/>
      <c r="ER489" s="19"/>
      <c r="ES489" s="19"/>
      <c r="ET489" s="19"/>
      <c r="EU489" s="19"/>
      <c r="EV489" s="19"/>
      <c r="EW489" s="19"/>
      <c r="EX489" s="19"/>
      <c r="EY489" s="19"/>
      <c r="EZ489" s="19"/>
      <c r="FA489" s="19"/>
      <c r="FB489" s="19"/>
      <c r="FC489" s="19"/>
      <c r="FD489" s="19"/>
      <c r="FE489" s="19"/>
      <c r="FF489" s="19"/>
      <c r="FG489" s="19"/>
      <c r="FH489" s="19"/>
      <c r="FI489" s="19"/>
      <c r="FJ489" s="19"/>
      <c r="FK489" s="19"/>
      <c r="FL489" s="19"/>
      <c r="FM489" s="19"/>
      <c r="FN489" s="19"/>
      <c r="FO489" s="19"/>
      <c r="FP489" s="19"/>
      <c r="FQ489" s="19"/>
      <c r="FR489" s="19"/>
      <c r="FS489" s="19"/>
      <c r="FT489" s="19"/>
      <c r="FU489" s="19"/>
      <c r="FV489" s="19"/>
      <c r="FW489" s="19"/>
      <c r="FX489" s="19"/>
      <c r="FY489" s="19"/>
      <c r="FZ489" s="19"/>
      <c r="GA489" s="19"/>
      <c r="GB489" s="19"/>
      <c r="GC489" s="19"/>
      <c r="GD489" s="19"/>
      <c r="GE489" s="19"/>
      <c r="GF489" s="19"/>
      <c r="GG489" s="19"/>
      <c r="GH489" s="19"/>
      <c r="GI489" s="19"/>
      <c r="GJ489" s="19"/>
      <c r="GK489" s="19"/>
      <c r="GL489" s="19"/>
      <c r="GM489" s="19"/>
      <c r="GN489" s="19"/>
      <c r="GO489" s="19"/>
      <c r="GP489" s="19"/>
      <c r="GQ489" s="19"/>
      <c r="GR489" s="19"/>
      <c r="GS489" s="19"/>
      <c r="GT489" s="19"/>
      <c r="GU489" s="19"/>
      <c r="GV489" s="19"/>
      <c r="GW489" s="19"/>
      <c r="GX489" s="19"/>
      <c r="GY489" s="19"/>
      <c r="GZ489" s="19"/>
      <c r="HA489" s="19"/>
      <c r="HB489" s="19"/>
    </row>
    <row r="490" spans="1:210" x14ac:dyDescent="0.25">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c r="BE490" s="19"/>
      <c r="BF490" s="19"/>
      <c r="BG490" s="19"/>
      <c r="BH490" s="19"/>
      <c r="BI490" s="19"/>
      <c r="BJ490" s="19"/>
      <c r="BK490" s="19"/>
      <c r="BL490" s="19"/>
      <c r="BM490" s="19"/>
      <c r="BN490" s="19"/>
      <c r="BO490" s="19"/>
      <c r="BP490" s="19"/>
      <c r="BQ490" s="19"/>
      <c r="BR490" s="19"/>
      <c r="BS490" s="19"/>
      <c r="BT490" s="19"/>
      <c r="BU490" s="19"/>
      <c r="BV490" s="19"/>
      <c r="BW490" s="19"/>
      <c r="BX490" s="19"/>
      <c r="BY490" s="19"/>
      <c r="BZ490" s="19"/>
      <c r="CA490" s="19"/>
      <c r="CB490" s="19"/>
      <c r="CC490" s="19"/>
      <c r="CD490" s="19"/>
      <c r="CE490" s="19"/>
      <c r="CF490" s="19"/>
      <c r="CG490" s="19"/>
      <c r="CH490" s="19"/>
      <c r="CI490" s="19"/>
      <c r="CJ490" s="19"/>
      <c r="CK490" s="19"/>
      <c r="CL490" s="19"/>
      <c r="CM490" s="19"/>
      <c r="CN490" s="19"/>
      <c r="CO490" s="19"/>
      <c r="CP490" s="19"/>
      <c r="CQ490" s="19"/>
      <c r="CR490" s="19"/>
      <c r="CS490" s="19"/>
      <c r="CT490" s="19"/>
      <c r="CU490" s="19"/>
      <c r="CV490" s="19"/>
      <c r="CW490" s="19"/>
      <c r="CX490" s="19"/>
      <c r="CY490" s="19"/>
      <c r="CZ490" s="19"/>
      <c r="DA490" s="19"/>
      <c r="DB490" s="19"/>
      <c r="DC490" s="19"/>
      <c r="DD490" s="19"/>
      <c r="DE490" s="19"/>
      <c r="DF490" s="19"/>
      <c r="DG490" s="19"/>
      <c r="DH490" s="19"/>
      <c r="DI490" s="19"/>
      <c r="DJ490" s="19"/>
      <c r="DK490" s="19"/>
      <c r="DL490" s="19"/>
      <c r="DM490" s="19"/>
      <c r="DN490" s="19"/>
      <c r="DO490" s="19"/>
      <c r="DP490" s="19"/>
      <c r="DQ490" s="19"/>
      <c r="DR490" s="19"/>
      <c r="DS490" s="19"/>
      <c r="DT490" s="19"/>
      <c r="DU490" s="19"/>
      <c r="DV490" s="19"/>
      <c r="DW490" s="19"/>
      <c r="DX490" s="19"/>
      <c r="DY490" s="19"/>
      <c r="DZ490" s="19"/>
      <c r="EA490" s="19"/>
      <c r="EB490" s="19"/>
      <c r="EC490" s="19"/>
      <c r="ED490" s="19"/>
      <c r="EE490" s="19"/>
      <c r="EF490" s="19"/>
      <c r="EG490" s="19"/>
      <c r="EH490" s="19"/>
      <c r="EI490" s="19"/>
      <c r="EJ490" s="19"/>
      <c r="EK490" s="19"/>
      <c r="EL490" s="19"/>
      <c r="EM490" s="19"/>
      <c r="EN490" s="19"/>
      <c r="EO490" s="19"/>
      <c r="EP490" s="19"/>
      <c r="EQ490" s="19"/>
      <c r="ER490" s="19"/>
      <c r="ES490" s="19"/>
      <c r="ET490" s="19"/>
      <c r="EU490" s="19"/>
      <c r="EV490" s="19"/>
      <c r="EW490" s="19"/>
      <c r="EX490" s="19"/>
      <c r="EY490" s="19"/>
      <c r="EZ490" s="19"/>
      <c r="FA490" s="19"/>
      <c r="FB490" s="19"/>
      <c r="FC490" s="19"/>
      <c r="FD490" s="19"/>
      <c r="FE490" s="19"/>
      <c r="FF490" s="19"/>
      <c r="FG490" s="19"/>
      <c r="FH490" s="19"/>
      <c r="FI490" s="19"/>
      <c r="FJ490" s="19"/>
      <c r="FK490" s="19"/>
      <c r="FL490" s="19"/>
      <c r="FM490" s="19"/>
      <c r="FN490" s="19"/>
      <c r="FO490" s="19"/>
      <c r="FP490" s="19"/>
      <c r="FQ490" s="19"/>
      <c r="FR490" s="19"/>
      <c r="FS490" s="19"/>
      <c r="FT490" s="19"/>
      <c r="FU490" s="19"/>
      <c r="FV490" s="19"/>
      <c r="FW490" s="19"/>
      <c r="FX490" s="19"/>
      <c r="FY490" s="19"/>
      <c r="FZ490" s="19"/>
      <c r="GA490" s="19"/>
      <c r="GB490" s="19"/>
      <c r="GC490" s="19"/>
      <c r="GD490" s="19"/>
      <c r="GE490" s="19"/>
      <c r="GF490" s="19"/>
      <c r="GG490" s="19"/>
      <c r="GH490" s="19"/>
      <c r="GI490" s="19"/>
      <c r="GJ490" s="19"/>
      <c r="GK490" s="19"/>
      <c r="GL490" s="19"/>
      <c r="GM490" s="19"/>
      <c r="GN490" s="19"/>
      <c r="GO490" s="19"/>
      <c r="GP490" s="19"/>
      <c r="GQ490" s="19"/>
      <c r="GR490" s="19"/>
      <c r="GS490" s="19"/>
      <c r="GT490" s="19"/>
      <c r="GU490" s="19"/>
      <c r="GV490" s="19"/>
      <c r="GW490" s="19"/>
      <c r="GX490" s="19"/>
      <c r="GY490" s="19"/>
      <c r="GZ490" s="19"/>
      <c r="HA490" s="19"/>
      <c r="HB490" s="19"/>
    </row>
    <row r="491" spans="1:210" x14ac:dyDescent="0.25">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c r="BE491" s="19"/>
      <c r="BF491" s="19"/>
      <c r="BG491" s="19"/>
      <c r="BH491" s="19"/>
      <c r="BI491" s="19"/>
      <c r="BJ491" s="19"/>
      <c r="BK491" s="19"/>
      <c r="BL491" s="19"/>
      <c r="BM491" s="19"/>
      <c r="BN491" s="19"/>
      <c r="BO491" s="19"/>
      <c r="BP491" s="19"/>
      <c r="BQ491" s="19"/>
      <c r="BR491" s="19"/>
      <c r="BS491" s="19"/>
      <c r="BT491" s="19"/>
      <c r="BU491" s="19"/>
      <c r="BV491" s="19"/>
      <c r="BW491" s="19"/>
      <c r="BX491" s="19"/>
      <c r="BY491" s="19"/>
      <c r="BZ491" s="19"/>
      <c r="CA491" s="19"/>
      <c r="CB491" s="19"/>
      <c r="CC491" s="19"/>
      <c r="CD491" s="19"/>
      <c r="CE491" s="19"/>
      <c r="CF491" s="19"/>
      <c r="CG491" s="19"/>
      <c r="CH491" s="19"/>
      <c r="CI491" s="19"/>
      <c r="CJ491" s="19"/>
      <c r="CK491" s="19"/>
      <c r="CL491" s="19"/>
      <c r="CM491" s="19"/>
      <c r="CN491" s="19"/>
      <c r="CO491" s="19"/>
      <c r="CP491" s="19"/>
      <c r="CQ491" s="19"/>
      <c r="CR491" s="19"/>
      <c r="CS491" s="19"/>
      <c r="CT491" s="19"/>
      <c r="CU491" s="19"/>
      <c r="CV491" s="19"/>
      <c r="CW491" s="19"/>
      <c r="CX491" s="19"/>
      <c r="CY491" s="19"/>
      <c r="CZ491" s="19"/>
      <c r="DA491" s="19"/>
      <c r="DB491" s="19"/>
      <c r="DC491" s="19"/>
      <c r="DD491" s="19"/>
      <c r="DE491" s="19"/>
      <c r="DF491" s="19"/>
      <c r="DG491" s="19"/>
      <c r="DH491" s="19"/>
      <c r="DI491" s="19"/>
      <c r="DJ491" s="19"/>
      <c r="DK491" s="19"/>
      <c r="DL491" s="19"/>
      <c r="DM491" s="19"/>
      <c r="DN491" s="19"/>
      <c r="DO491" s="19"/>
      <c r="DP491" s="19"/>
      <c r="DQ491" s="19"/>
      <c r="DR491" s="19"/>
      <c r="DS491" s="19"/>
      <c r="DT491" s="19"/>
      <c r="DU491" s="19"/>
      <c r="DV491" s="19"/>
      <c r="DW491" s="19"/>
      <c r="DX491" s="19"/>
      <c r="DY491" s="19"/>
      <c r="DZ491" s="19"/>
      <c r="EA491" s="19"/>
      <c r="EB491" s="19"/>
      <c r="EC491" s="19"/>
      <c r="ED491" s="19"/>
      <c r="EE491" s="19"/>
      <c r="EF491" s="19"/>
      <c r="EG491" s="19"/>
      <c r="EH491" s="19"/>
      <c r="EI491" s="19"/>
      <c r="EJ491" s="19"/>
      <c r="EK491" s="19"/>
      <c r="EL491" s="19"/>
      <c r="EM491" s="19"/>
      <c r="EN491" s="19"/>
      <c r="EO491" s="19"/>
      <c r="EP491" s="19"/>
      <c r="EQ491" s="19"/>
      <c r="ER491" s="19"/>
      <c r="ES491" s="19"/>
      <c r="ET491" s="19"/>
      <c r="EU491" s="19"/>
      <c r="EV491" s="19"/>
      <c r="EW491" s="19"/>
      <c r="EX491" s="19"/>
      <c r="EY491" s="19"/>
      <c r="EZ491" s="19"/>
      <c r="FA491" s="19"/>
      <c r="FB491" s="19"/>
      <c r="FC491" s="19"/>
      <c r="FD491" s="19"/>
      <c r="FE491" s="19"/>
      <c r="FF491" s="19"/>
      <c r="FG491" s="19"/>
      <c r="FH491" s="19"/>
      <c r="FI491" s="19"/>
      <c r="FJ491" s="19"/>
      <c r="FK491" s="19"/>
      <c r="FL491" s="19"/>
      <c r="FM491" s="19"/>
      <c r="FN491" s="19"/>
      <c r="FO491" s="19"/>
      <c r="FP491" s="19"/>
      <c r="FQ491" s="19"/>
      <c r="FR491" s="19"/>
      <c r="FS491" s="19"/>
      <c r="FT491" s="19"/>
      <c r="FU491" s="19"/>
      <c r="FV491" s="19"/>
      <c r="FW491" s="19"/>
      <c r="FX491" s="19"/>
      <c r="FY491" s="19"/>
      <c r="FZ491" s="19"/>
      <c r="GA491" s="19"/>
      <c r="GB491" s="19"/>
      <c r="GC491" s="19"/>
      <c r="GD491" s="19"/>
      <c r="GE491" s="19"/>
      <c r="GF491" s="19"/>
      <c r="GG491" s="19"/>
      <c r="GH491" s="19"/>
      <c r="GI491" s="19"/>
      <c r="GJ491" s="19"/>
      <c r="GK491" s="19"/>
      <c r="GL491" s="19"/>
      <c r="GM491" s="19"/>
      <c r="GN491" s="19"/>
      <c r="GO491" s="19"/>
      <c r="GP491" s="19"/>
      <c r="GQ491" s="19"/>
      <c r="GR491" s="19"/>
      <c r="GS491" s="19"/>
      <c r="GT491" s="19"/>
      <c r="GU491" s="19"/>
      <c r="GV491" s="19"/>
      <c r="GW491" s="19"/>
      <c r="GX491" s="19"/>
      <c r="GY491" s="19"/>
      <c r="GZ491" s="19"/>
      <c r="HA491" s="19"/>
      <c r="HB491" s="19"/>
    </row>
    <row r="492" spans="1:210" x14ac:dyDescent="0.25">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c r="BE492" s="19"/>
      <c r="BF492" s="19"/>
      <c r="BG492" s="19"/>
      <c r="BH492" s="19"/>
      <c r="BI492" s="19"/>
      <c r="BJ492" s="19"/>
      <c r="BK492" s="19"/>
      <c r="BL492" s="19"/>
      <c r="BM492" s="19"/>
      <c r="BN492" s="19"/>
      <c r="BO492" s="19"/>
      <c r="BP492" s="19"/>
      <c r="BQ492" s="19"/>
      <c r="BR492" s="19"/>
      <c r="BS492" s="19"/>
      <c r="BT492" s="19"/>
      <c r="BU492" s="19"/>
      <c r="BV492" s="19"/>
      <c r="BW492" s="19"/>
      <c r="BX492" s="19"/>
      <c r="BY492" s="19"/>
      <c r="BZ492" s="19"/>
      <c r="CA492" s="19"/>
      <c r="CB492" s="19"/>
      <c r="CC492" s="19"/>
      <c r="CD492" s="19"/>
      <c r="CE492" s="19"/>
      <c r="CF492" s="19"/>
      <c r="CG492" s="19"/>
      <c r="CH492" s="19"/>
      <c r="CI492" s="19"/>
      <c r="CJ492" s="19"/>
      <c r="CK492" s="19"/>
      <c r="CL492" s="19"/>
      <c r="CM492" s="19"/>
      <c r="CN492" s="19"/>
      <c r="CO492" s="19"/>
      <c r="CP492" s="19"/>
      <c r="CQ492" s="19"/>
      <c r="CR492" s="19"/>
      <c r="CS492" s="19"/>
      <c r="CT492" s="19"/>
      <c r="CU492" s="19"/>
      <c r="CV492" s="19"/>
      <c r="CW492" s="19"/>
      <c r="CX492" s="19"/>
      <c r="CY492" s="19"/>
      <c r="CZ492" s="19"/>
      <c r="DA492" s="19"/>
      <c r="DB492" s="19"/>
      <c r="DC492" s="19"/>
      <c r="DD492" s="19"/>
      <c r="DE492" s="19"/>
      <c r="DF492" s="19"/>
      <c r="DG492" s="19"/>
      <c r="DH492" s="19"/>
      <c r="DI492" s="19"/>
      <c r="DJ492" s="19"/>
      <c r="DK492" s="19"/>
      <c r="DL492" s="19"/>
      <c r="DM492" s="19"/>
      <c r="DN492" s="19"/>
      <c r="DO492" s="19"/>
      <c r="DP492" s="19"/>
      <c r="DQ492" s="19"/>
      <c r="DR492" s="19"/>
      <c r="DS492" s="19"/>
      <c r="DT492" s="19"/>
      <c r="DU492" s="19"/>
      <c r="DV492" s="19"/>
      <c r="DW492" s="19"/>
      <c r="DX492" s="19"/>
      <c r="DY492" s="19"/>
      <c r="DZ492" s="19"/>
      <c r="EA492" s="19"/>
      <c r="EB492" s="19"/>
      <c r="EC492" s="19"/>
      <c r="ED492" s="19"/>
      <c r="EE492" s="19"/>
      <c r="EF492" s="19"/>
      <c r="EG492" s="19"/>
      <c r="EH492" s="19"/>
      <c r="EI492" s="19"/>
      <c r="EJ492" s="19"/>
      <c r="EK492" s="19"/>
      <c r="EL492" s="19"/>
      <c r="EM492" s="19"/>
      <c r="EN492" s="19"/>
      <c r="EO492" s="19"/>
      <c r="EP492" s="19"/>
      <c r="EQ492" s="19"/>
      <c r="ER492" s="19"/>
      <c r="ES492" s="19"/>
      <c r="ET492" s="19"/>
      <c r="EU492" s="19"/>
      <c r="EV492" s="19"/>
      <c r="EW492" s="19"/>
      <c r="EX492" s="19"/>
      <c r="EY492" s="19"/>
      <c r="EZ492" s="19"/>
      <c r="FA492" s="19"/>
      <c r="FB492" s="19"/>
      <c r="FC492" s="19"/>
      <c r="FD492" s="19"/>
      <c r="FE492" s="19"/>
      <c r="FF492" s="19"/>
      <c r="FG492" s="19"/>
      <c r="FH492" s="19"/>
      <c r="FI492" s="19"/>
      <c r="FJ492" s="19"/>
      <c r="FK492" s="19"/>
      <c r="FL492" s="19"/>
      <c r="FM492" s="19"/>
      <c r="FN492" s="19"/>
      <c r="FO492" s="19"/>
      <c r="FP492" s="19"/>
      <c r="FQ492" s="19"/>
      <c r="FR492" s="19"/>
      <c r="FS492" s="19"/>
      <c r="FT492" s="19"/>
      <c r="FU492" s="19"/>
      <c r="FV492" s="19"/>
      <c r="FW492" s="19"/>
      <c r="FX492" s="19"/>
      <c r="FY492" s="19"/>
      <c r="FZ492" s="19"/>
      <c r="GA492" s="19"/>
      <c r="GB492" s="19"/>
      <c r="GC492" s="19"/>
      <c r="GD492" s="19"/>
      <c r="GE492" s="19"/>
      <c r="GF492" s="19"/>
      <c r="GG492" s="19"/>
      <c r="GH492" s="19"/>
      <c r="GI492" s="19"/>
      <c r="GJ492" s="19"/>
      <c r="GK492" s="19"/>
      <c r="GL492" s="19"/>
      <c r="GM492" s="19"/>
      <c r="GN492" s="19"/>
      <c r="GO492" s="19"/>
      <c r="GP492" s="19"/>
      <c r="GQ492" s="19"/>
      <c r="GR492" s="19"/>
      <c r="GS492" s="19"/>
      <c r="GT492" s="19"/>
      <c r="GU492" s="19"/>
      <c r="GV492" s="19"/>
      <c r="GW492" s="19"/>
      <c r="GX492" s="19"/>
      <c r="GY492" s="19"/>
      <c r="GZ492" s="19"/>
      <c r="HA492" s="19"/>
      <c r="HB492" s="19"/>
    </row>
    <row r="493" spans="1:210" x14ac:dyDescent="0.25">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c r="BE493" s="19"/>
      <c r="BF493" s="19"/>
      <c r="BG493" s="19"/>
      <c r="BH493" s="19"/>
      <c r="BI493" s="19"/>
      <c r="BJ493" s="19"/>
      <c r="BK493" s="19"/>
      <c r="BL493" s="19"/>
      <c r="BM493" s="19"/>
      <c r="BN493" s="19"/>
      <c r="BO493" s="19"/>
      <c r="BP493" s="19"/>
      <c r="BQ493" s="19"/>
      <c r="BR493" s="19"/>
      <c r="BS493" s="19"/>
      <c r="BT493" s="19"/>
      <c r="BU493" s="19"/>
      <c r="BV493" s="19"/>
      <c r="BW493" s="19"/>
      <c r="BX493" s="19"/>
      <c r="BY493" s="19"/>
      <c r="BZ493" s="19"/>
      <c r="CA493" s="19"/>
      <c r="CB493" s="19"/>
      <c r="CC493" s="19"/>
      <c r="CD493" s="19"/>
      <c r="CE493" s="19"/>
      <c r="CF493" s="19"/>
      <c r="CG493" s="19"/>
      <c r="CH493" s="19"/>
      <c r="CI493" s="19"/>
      <c r="CJ493" s="19"/>
      <c r="CK493" s="19"/>
      <c r="CL493" s="19"/>
      <c r="CM493" s="19"/>
      <c r="CN493" s="19"/>
      <c r="CO493" s="19"/>
      <c r="CP493" s="19"/>
      <c r="CQ493" s="19"/>
      <c r="CR493" s="19"/>
      <c r="CS493" s="19"/>
      <c r="CT493" s="19"/>
      <c r="CU493" s="19"/>
      <c r="CV493" s="19"/>
      <c r="CW493" s="19"/>
      <c r="CX493" s="19"/>
      <c r="CY493" s="19"/>
      <c r="CZ493" s="19"/>
      <c r="DA493" s="19"/>
      <c r="DB493" s="19"/>
      <c r="DC493" s="19"/>
      <c r="DD493" s="19"/>
      <c r="DE493" s="19"/>
      <c r="DF493" s="19"/>
      <c r="DG493" s="19"/>
      <c r="DH493" s="19"/>
      <c r="DI493" s="19"/>
      <c r="DJ493" s="19"/>
      <c r="DK493" s="19"/>
      <c r="DL493" s="19"/>
      <c r="DM493" s="19"/>
      <c r="DN493" s="19"/>
      <c r="DO493" s="19"/>
      <c r="DP493" s="19"/>
      <c r="DQ493" s="19"/>
      <c r="DR493" s="19"/>
      <c r="DS493" s="19"/>
      <c r="DT493" s="19"/>
      <c r="DU493" s="19"/>
      <c r="DV493" s="19"/>
      <c r="DW493" s="19"/>
      <c r="DX493" s="19"/>
      <c r="DY493" s="19"/>
      <c r="DZ493" s="19"/>
      <c r="EA493" s="19"/>
      <c r="EB493" s="19"/>
      <c r="EC493" s="19"/>
      <c r="ED493" s="19"/>
      <c r="EE493" s="19"/>
      <c r="EF493" s="19"/>
      <c r="EG493" s="19"/>
      <c r="EH493" s="19"/>
      <c r="EI493" s="19"/>
      <c r="EJ493" s="19"/>
      <c r="EK493" s="19"/>
      <c r="EL493" s="19"/>
      <c r="EM493" s="19"/>
      <c r="EN493" s="19"/>
      <c r="EO493" s="19"/>
      <c r="EP493" s="19"/>
      <c r="EQ493" s="19"/>
      <c r="ER493" s="19"/>
      <c r="ES493" s="19"/>
      <c r="ET493" s="19"/>
      <c r="EU493" s="19"/>
      <c r="EV493" s="19"/>
      <c r="EW493" s="19"/>
      <c r="EX493" s="19"/>
      <c r="EY493" s="19"/>
      <c r="EZ493" s="19"/>
      <c r="FA493" s="19"/>
      <c r="FB493" s="19"/>
      <c r="FC493" s="19"/>
      <c r="FD493" s="19"/>
      <c r="FE493" s="19"/>
      <c r="FF493" s="19"/>
      <c r="FG493" s="19"/>
      <c r="FH493" s="19"/>
      <c r="FI493" s="19"/>
      <c r="FJ493" s="19"/>
      <c r="FK493" s="19"/>
      <c r="FL493" s="19"/>
      <c r="FM493" s="19"/>
      <c r="FN493" s="19"/>
      <c r="FO493" s="19"/>
      <c r="FP493" s="19"/>
      <c r="FQ493" s="19"/>
      <c r="FR493" s="19"/>
      <c r="FS493" s="19"/>
      <c r="FT493" s="19"/>
      <c r="FU493" s="19"/>
      <c r="FV493" s="19"/>
      <c r="FW493" s="19"/>
      <c r="FX493" s="19"/>
      <c r="FY493" s="19"/>
      <c r="FZ493" s="19"/>
      <c r="GA493" s="19"/>
      <c r="GB493" s="19"/>
      <c r="GC493" s="19"/>
      <c r="GD493" s="19"/>
      <c r="GE493" s="19"/>
      <c r="GF493" s="19"/>
      <c r="GG493" s="19"/>
      <c r="GH493" s="19"/>
      <c r="GI493" s="19"/>
      <c r="GJ493" s="19"/>
      <c r="GK493" s="19"/>
      <c r="GL493" s="19"/>
      <c r="GM493" s="19"/>
      <c r="GN493" s="19"/>
      <c r="GO493" s="19"/>
      <c r="GP493" s="19"/>
      <c r="GQ493" s="19"/>
      <c r="GR493" s="19"/>
      <c r="GS493" s="19"/>
      <c r="GT493" s="19"/>
      <c r="GU493" s="19"/>
      <c r="GV493" s="19"/>
      <c r="GW493" s="19"/>
      <c r="GX493" s="19"/>
      <c r="GY493" s="19"/>
      <c r="GZ493" s="19"/>
      <c r="HA493" s="19"/>
      <c r="HB493" s="19"/>
    </row>
    <row r="494" spans="1:210" x14ac:dyDescent="0.25">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c r="BE494" s="19"/>
      <c r="BF494" s="19"/>
      <c r="BG494" s="19"/>
      <c r="BH494" s="19"/>
      <c r="BI494" s="19"/>
      <c r="BJ494" s="19"/>
      <c r="BK494" s="19"/>
      <c r="BL494" s="19"/>
      <c r="BM494" s="19"/>
      <c r="BN494" s="19"/>
      <c r="BO494" s="19"/>
      <c r="BP494" s="19"/>
      <c r="BQ494" s="19"/>
      <c r="BR494" s="19"/>
      <c r="BS494" s="19"/>
      <c r="BT494" s="19"/>
      <c r="BU494" s="19"/>
      <c r="BV494" s="19"/>
      <c r="BW494" s="19"/>
      <c r="BX494" s="19"/>
      <c r="BY494" s="19"/>
      <c r="BZ494" s="19"/>
      <c r="CA494" s="19"/>
      <c r="CB494" s="19"/>
      <c r="CC494" s="19"/>
      <c r="CD494" s="19"/>
      <c r="CE494" s="19"/>
      <c r="CF494" s="19"/>
      <c r="CG494" s="19"/>
      <c r="CH494" s="19"/>
      <c r="CI494" s="19"/>
      <c r="CJ494" s="19"/>
      <c r="CK494" s="19"/>
      <c r="CL494" s="19"/>
      <c r="CM494" s="19"/>
      <c r="CN494" s="19"/>
      <c r="CO494" s="19"/>
      <c r="CP494" s="19"/>
      <c r="CQ494" s="19"/>
      <c r="CR494" s="19"/>
      <c r="CS494" s="19"/>
      <c r="CT494" s="19"/>
      <c r="CU494" s="19"/>
      <c r="CV494" s="19"/>
      <c r="CW494" s="19"/>
      <c r="CX494" s="19"/>
      <c r="CY494" s="19"/>
      <c r="CZ494" s="19"/>
      <c r="DA494" s="19"/>
      <c r="DB494" s="19"/>
      <c r="DC494" s="19"/>
      <c r="DD494" s="19"/>
      <c r="DE494" s="19"/>
      <c r="DF494" s="19"/>
      <c r="DG494" s="19"/>
      <c r="DH494" s="19"/>
      <c r="DI494" s="19"/>
      <c r="DJ494" s="19"/>
      <c r="DK494" s="19"/>
      <c r="DL494" s="19"/>
      <c r="DM494" s="19"/>
      <c r="DN494" s="19"/>
      <c r="DO494" s="19"/>
      <c r="DP494" s="19"/>
      <c r="DQ494" s="19"/>
      <c r="DR494" s="19"/>
      <c r="DS494" s="19"/>
      <c r="DT494" s="19"/>
      <c r="DU494" s="19"/>
      <c r="DV494" s="19"/>
      <c r="DW494" s="19"/>
      <c r="DX494" s="19"/>
      <c r="DY494" s="19"/>
      <c r="DZ494" s="19"/>
      <c r="EA494" s="19"/>
      <c r="EB494" s="19"/>
      <c r="EC494" s="19"/>
      <c r="ED494" s="19"/>
      <c r="EE494" s="19"/>
      <c r="EF494" s="19"/>
      <c r="EG494" s="19"/>
      <c r="EH494" s="19"/>
      <c r="EI494" s="19"/>
      <c r="EJ494" s="19"/>
      <c r="EK494" s="19"/>
      <c r="EL494" s="19"/>
      <c r="EM494" s="19"/>
      <c r="EN494" s="19"/>
      <c r="EO494" s="19"/>
      <c r="EP494" s="19"/>
      <c r="EQ494" s="19"/>
      <c r="ER494" s="19"/>
      <c r="ES494" s="19"/>
      <c r="ET494" s="19"/>
      <c r="EU494" s="19"/>
      <c r="EV494" s="19"/>
      <c r="EW494" s="19"/>
      <c r="EX494" s="19"/>
      <c r="EY494" s="19"/>
      <c r="EZ494" s="19"/>
      <c r="FA494" s="19"/>
      <c r="FB494" s="19"/>
      <c r="FC494" s="19"/>
      <c r="FD494" s="19"/>
      <c r="FE494" s="19"/>
      <c r="FF494" s="19"/>
      <c r="FG494" s="19"/>
      <c r="FH494" s="19"/>
      <c r="FI494" s="19"/>
      <c r="FJ494" s="19"/>
      <c r="FK494" s="19"/>
      <c r="FL494" s="19"/>
      <c r="FM494" s="19"/>
      <c r="FN494" s="19"/>
      <c r="FO494" s="19"/>
      <c r="FP494" s="19"/>
      <c r="FQ494" s="19"/>
      <c r="FR494" s="19"/>
      <c r="FS494" s="19"/>
      <c r="FT494" s="19"/>
      <c r="FU494" s="19"/>
      <c r="FV494" s="19"/>
      <c r="FW494" s="19"/>
      <c r="FX494" s="19"/>
      <c r="FY494" s="19"/>
      <c r="FZ494" s="19"/>
      <c r="GA494" s="19"/>
      <c r="GB494" s="19"/>
      <c r="GC494" s="19"/>
      <c r="GD494" s="19"/>
      <c r="GE494" s="19"/>
      <c r="GF494" s="19"/>
      <c r="GG494" s="19"/>
      <c r="GH494" s="19"/>
      <c r="GI494" s="19"/>
      <c r="GJ494" s="19"/>
      <c r="GK494" s="19"/>
      <c r="GL494" s="19"/>
      <c r="GM494" s="19"/>
      <c r="GN494" s="19"/>
      <c r="GO494" s="19"/>
      <c r="GP494" s="19"/>
      <c r="GQ494" s="19"/>
      <c r="GR494" s="19"/>
      <c r="GS494" s="19"/>
      <c r="GT494" s="19"/>
      <c r="GU494" s="19"/>
      <c r="GV494" s="19"/>
      <c r="GW494" s="19"/>
      <c r="GX494" s="19"/>
      <c r="GY494" s="19"/>
      <c r="GZ494" s="19"/>
      <c r="HA494" s="19"/>
      <c r="HB494" s="19"/>
    </row>
    <row r="495" spans="1:210" x14ac:dyDescent="0.25">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c r="BE495" s="19"/>
      <c r="BF495" s="19"/>
      <c r="BG495" s="19"/>
      <c r="BH495" s="19"/>
      <c r="BI495" s="19"/>
      <c r="BJ495" s="19"/>
      <c r="BK495" s="19"/>
      <c r="BL495" s="19"/>
      <c r="BM495" s="19"/>
      <c r="BN495" s="19"/>
      <c r="BO495" s="19"/>
      <c r="BP495" s="19"/>
      <c r="BQ495" s="19"/>
      <c r="BR495" s="19"/>
      <c r="BS495" s="19"/>
      <c r="BT495" s="19"/>
      <c r="BU495" s="19"/>
      <c r="BV495" s="19"/>
      <c r="BW495" s="19"/>
      <c r="BX495" s="19"/>
      <c r="BY495" s="19"/>
      <c r="BZ495" s="19"/>
      <c r="CA495" s="19"/>
      <c r="CB495" s="19"/>
      <c r="CC495" s="19"/>
      <c r="CD495" s="19"/>
      <c r="CE495" s="19"/>
      <c r="CF495" s="19"/>
      <c r="CG495" s="19"/>
      <c r="CH495" s="19"/>
      <c r="CI495" s="19"/>
      <c r="CJ495" s="19"/>
      <c r="CK495" s="19"/>
      <c r="CL495" s="19"/>
      <c r="CM495" s="19"/>
      <c r="CN495" s="19"/>
      <c r="CO495" s="19"/>
      <c r="CP495" s="19"/>
      <c r="CQ495" s="19"/>
      <c r="CR495" s="19"/>
      <c r="CS495" s="19"/>
      <c r="CT495" s="19"/>
      <c r="CU495" s="19"/>
      <c r="CV495" s="19"/>
      <c r="CW495" s="19"/>
      <c r="CX495" s="19"/>
      <c r="CY495" s="19"/>
      <c r="CZ495" s="19"/>
      <c r="DA495" s="19"/>
      <c r="DB495" s="19"/>
      <c r="DC495" s="19"/>
      <c r="DD495" s="19"/>
      <c r="DE495" s="19"/>
      <c r="DF495" s="19"/>
      <c r="DG495" s="19"/>
      <c r="DH495" s="19"/>
      <c r="DI495" s="19"/>
      <c r="DJ495" s="19"/>
      <c r="DK495" s="19"/>
      <c r="DL495" s="19"/>
      <c r="DM495" s="19"/>
      <c r="DN495" s="19"/>
      <c r="DO495" s="19"/>
      <c r="DP495" s="19"/>
      <c r="DQ495" s="19"/>
      <c r="DR495" s="19"/>
      <c r="DS495" s="19"/>
      <c r="DT495" s="19"/>
      <c r="DU495" s="19"/>
      <c r="DV495" s="19"/>
      <c r="DW495" s="19"/>
      <c r="DX495" s="19"/>
      <c r="DY495" s="19"/>
      <c r="DZ495" s="19"/>
      <c r="EA495" s="19"/>
      <c r="EB495" s="19"/>
      <c r="EC495" s="19"/>
      <c r="ED495" s="19"/>
      <c r="EE495" s="19"/>
      <c r="EF495" s="19"/>
      <c r="EG495" s="19"/>
      <c r="EH495" s="19"/>
      <c r="EI495" s="19"/>
      <c r="EJ495" s="19"/>
      <c r="EK495" s="19"/>
      <c r="EL495" s="19"/>
      <c r="EM495" s="19"/>
      <c r="EN495" s="19"/>
      <c r="EO495" s="19"/>
      <c r="EP495" s="19"/>
      <c r="EQ495" s="19"/>
      <c r="ER495" s="19"/>
      <c r="ES495" s="19"/>
      <c r="ET495" s="19"/>
      <c r="EU495" s="19"/>
      <c r="EV495" s="19"/>
      <c r="EW495" s="19"/>
      <c r="EX495" s="19"/>
      <c r="EY495" s="19"/>
      <c r="EZ495" s="19"/>
      <c r="FA495" s="19"/>
      <c r="FB495" s="19"/>
      <c r="FC495" s="19"/>
      <c r="FD495" s="19"/>
      <c r="FE495" s="19"/>
      <c r="FF495" s="19"/>
      <c r="FG495" s="19"/>
      <c r="FH495" s="19"/>
      <c r="FI495" s="19"/>
      <c r="FJ495" s="19"/>
      <c r="FK495" s="19"/>
      <c r="FL495" s="19"/>
      <c r="FM495" s="19"/>
      <c r="FN495" s="19"/>
      <c r="FO495" s="19"/>
      <c r="FP495" s="19"/>
      <c r="FQ495" s="19"/>
      <c r="FR495" s="19"/>
      <c r="FS495" s="19"/>
      <c r="FT495" s="19"/>
      <c r="FU495" s="19"/>
      <c r="FV495" s="19"/>
      <c r="FW495" s="19"/>
      <c r="FX495" s="19"/>
      <c r="FY495" s="19"/>
      <c r="FZ495" s="19"/>
      <c r="GA495" s="19"/>
      <c r="GB495" s="19"/>
      <c r="GC495" s="19"/>
      <c r="GD495" s="19"/>
      <c r="GE495" s="19"/>
      <c r="GF495" s="19"/>
      <c r="GG495" s="19"/>
      <c r="GH495" s="19"/>
      <c r="GI495" s="19"/>
      <c r="GJ495" s="19"/>
      <c r="GK495" s="19"/>
      <c r="GL495" s="19"/>
      <c r="GM495" s="19"/>
      <c r="GN495" s="19"/>
      <c r="GO495" s="19"/>
      <c r="GP495" s="19"/>
      <c r="GQ495" s="19"/>
      <c r="GR495" s="19"/>
      <c r="GS495" s="19"/>
      <c r="GT495" s="19"/>
      <c r="GU495" s="19"/>
      <c r="GV495" s="19"/>
      <c r="GW495" s="19"/>
      <c r="GX495" s="19"/>
      <c r="GY495" s="19"/>
      <c r="GZ495" s="19"/>
      <c r="HA495" s="19"/>
      <c r="HB495" s="19"/>
    </row>
    <row r="496" spans="1:210" x14ac:dyDescent="0.25">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c r="BE496" s="19"/>
      <c r="BF496" s="19"/>
      <c r="BG496" s="19"/>
      <c r="BH496" s="19"/>
      <c r="BI496" s="19"/>
      <c r="BJ496" s="19"/>
      <c r="BK496" s="19"/>
      <c r="BL496" s="19"/>
      <c r="BM496" s="19"/>
      <c r="BN496" s="19"/>
      <c r="BO496" s="19"/>
      <c r="BP496" s="19"/>
      <c r="BQ496" s="19"/>
      <c r="BR496" s="19"/>
      <c r="BS496" s="19"/>
      <c r="BT496" s="19"/>
      <c r="BU496" s="19"/>
      <c r="BV496" s="19"/>
      <c r="BW496" s="19"/>
      <c r="BX496" s="19"/>
      <c r="BY496" s="19"/>
      <c r="BZ496" s="19"/>
      <c r="CA496" s="19"/>
      <c r="CB496" s="19"/>
      <c r="CC496" s="19"/>
      <c r="CD496" s="19"/>
      <c r="CE496" s="19"/>
      <c r="CF496" s="19"/>
      <c r="CG496" s="19"/>
      <c r="CH496" s="19"/>
      <c r="CI496" s="19"/>
      <c r="CJ496" s="19"/>
      <c r="CK496" s="19"/>
      <c r="CL496" s="19"/>
      <c r="CM496" s="19"/>
      <c r="CN496" s="19"/>
      <c r="CO496" s="19"/>
      <c r="CP496" s="19"/>
      <c r="CQ496" s="19"/>
      <c r="CR496" s="19"/>
      <c r="CS496" s="19"/>
      <c r="CT496" s="19"/>
      <c r="CU496" s="19"/>
      <c r="CV496" s="19"/>
      <c r="CW496" s="19"/>
      <c r="CX496" s="19"/>
      <c r="CY496" s="19"/>
      <c r="CZ496" s="19"/>
      <c r="DA496" s="19"/>
      <c r="DB496" s="19"/>
      <c r="DC496" s="19"/>
      <c r="DD496" s="19"/>
      <c r="DE496" s="19"/>
      <c r="DF496" s="19"/>
      <c r="DG496" s="19"/>
      <c r="DH496" s="19"/>
      <c r="DI496" s="19"/>
      <c r="DJ496" s="19"/>
      <c r="DK496" s="19"/>
      <c r="DL496" s="19"/>
      <c r="DM496" s="19"/>
      <c r="DN496" s="19"/>
      <c r="DO496" s="19"/>
      <c r="DP496" s="19"/>
      <c r="DQ496" s="19"/>
      <c r="DR496" s="19"/>
      <c r="DS496" s="19"/>
      <c r="DT496" s="19"/>
      <c r="DU496" s="19"/>
      <c r="DV496" s="19"/>
      <c r="DW496" s="19"/>
      <c r="DX496" s="19"/>
      <c r="DY496" s="19"/>
      <c r="DZ496" s="19"/>
      <c r="EA496" s="19"/>
      <c r="EB496" s="19"/>
      <c r="EC496" s="19"/>
      <c r="ED496" s="19"/>
      <c r="EE496" s="19"/>
      <c r="EF496" s="19"/>
      <c r="EG496" s="19"/>
      <c r="EH496" s="19"/>
      <c r="EI496" s="19"/>
      <c r="EJ496" s="19"/>
      <c r="EK496" s="19"/>
      <c r="EL496" s="19"/>
      <c r="EM496" s="19"/>
      <c r="EN496" s="19"/>
      <c r="EO496" s="19"/>
      <c r="EP496" s="19"/>
      <c r="EQ496" s="19"/>
      <c r="ER496" s="19"/>
      <c r="ES496" s="19"/>
      <c r="ET496" s="19"/>
      <c r="EU496" s="19"/>
      <c r="EV496" s="19"/>
      <c r="EW496" s="19"/>
      <c r="EX496" s="19"/>
      <c r="EY496" s="19"/>
      <c r="EZ496" s="19"/>
      <c r="FA496" s="19"/>
      <c r="FB496" s="19"/>
      <c r="FC496" s="19"/>
      <c r="FD496" s="19"/>
      <c r="FE496" s="19"/>
      <c r="FF496" s="19"/>
      <c r="FG496" s="19"/>
      <c r="FH496" s="19"/>
      <c r="FI496" s="19"/>
      <c r="FJ496" s="19"/>
      <c r="FK496" s="19"/>
      <c r="FL496" s="19"/>
      <c r="FM496" s="19"/>
      <c r="FN496" s="19"/>
      <c r="FO496" s="19"/>
      <c r="FP496" s="19"/>
      <c r="FQ496" s="19"/>
      <c r="FR496" s="19"/>
      <c r="FS496" s="19"/>
      <c r="FT496" s="19"/>
      <c r="FU496" s="19"/>
      <c r="FV496" s="19"/>
      <c r="FW496" s="19"/>
      <c r="FX496" s="19"/>
      <c r="FY496" s="19"/>
      <c r="FZ496" s="19"/>
      <c r="GA496" s="19"/>
      <c r="GB496" s="19"/>
      <c r="GC496" s="19"/>
      <c r="GD496" s="19"/>
      <c r="GE496" s="19"/>
      <c r="GF496" s="19"/>
      <c r="GG496" s="19"/>
      <c r="GH496" s="19"/>
      <c r="GI496" s="19"/>
      <c r="GJ496" s="19"/>
      <c r="GK496" s="19"/>
      <c r="GL496" s="19"/>
      <c r="GM496" s="19"/>
      <c r="GN496" s="19"/>
      <c r="GO496" s="19"/>
      <c r="GP496" s="19"/>
      <c r="GQ496" s="19"/>
      <c r="GR496" s="19"/>
      <c r="GS496" s="19"/>
      <c r="GT496" s="19"/>
      <c r="GU496" s="19"/>
      <c r="GV496" s="19"/>
      <c r="GW496" s="19"/>
      <c r="GX496" s="19"/>
      <c r="GY496" s="19"/>
      <c r="GZ496" s="19"/>
      <c r="HA496" s="19"/>
      <c r="HB496" s="19"/>
    </row>
    <row r="497" spans="1:210" x14ac:dyDescent="0.25">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c r="BE497" s="19"/>
      <c r="BF497" s="19"/>
      <c r="BG497" s="19"/>
      <c r="BH497" s="19"/>
      <c r="BI497" s="19"/>
      <c r="BJ497" s="19"/>
      <c r="BK497" s="19"/>
      <c r="BL497" s="19"/>
      <c r="BM497" s="19"/>
      <c r="BN497" s="19"/>
      <c r="BO497" s="19"/>
      <c r="BP497" s="19"/>
      <c r="BQ497" s="19"/>
      <c r="BR497" s="19"/>
      <c r="BS497" s="19"/>
      <c r="BT497" s="19"/>
      <c r="BU497" s="19"/>
      <c r="BV497" s="19"/>
      <c r="BW497" s="19"/>
      <c r="BX497" s="19"/>
      <c r="BY497" s="19"/>
      <c r="BZ497" s="19"/>
      <c r="CA497" s="19"/>
      <c r="CB497" s="19"/>
      <c r="CC497" s="19"/>
      <c r="CD497" s="19"/>
      <c r="CE497" s="19"/>
      <c r="CF497" s="19"/>
      <c r="CG497" s="19"/>
      <c r="CH497" s="19"/>
      <c r="CI497" s="19"/>
      <c r="CJ497" s="19"/>
      <c r="CK497" s="19"/>
      <c r="CL497" s="19"/>
      <c r="CM497" s="19"/>
      <c r="CN497" s="19"/>
      <c r="CO497" s="19"/>
      <c r="CP497" s="19"/>
      <c r="CQ497" s="19"/>
      <c r="CR497" s="19"/>
      <c r="CS497" s="19"/>
      <c r="CT497" s="19"/>
      <c r="CU497" s="19"/>
      <c r="CV497" s="19"/>
      <c r="CW497" s="19"/>
      <c r="CX497" s="19"/>
      <c r="CY497" s="19"/>
      <c r="CZ497" s="19"/>
      <c r="DA497" s="19"/>
      <c r="DB497" s="19"/>
      <c r="DC497" s="19"/>
      <c r="DD497" s="19"/>
      <c r="DE497" s="19"/>
      <c r="DF497" s="19"/>
      <c r="DG497" s="19"/>
      <c r="DH497" s="19"/>
      <c r="DI497" s="19"/>
      <c r="DJ497" s="19"/>
      <c r="DK497" s="19"/>
      <c r="DL497" s="19"/>
      <c r="DM497" s="19"/>
      <c r="DN497" s="19"/>
      <c r="DO497" s="19"/>
      <c r="DP497" s="19"/>
      <c r="DQ497" s="19"/>
      <c r="DR497" s="19"/>
      <c r="DS497" s="19"/>
      <c r="DT497" s="19"/>
      <c r="DU497" s="19"/>
      <c r="DV497" s="19"/>
      <c r="DW497" s="19"/>
      <c r="DX497" s="19"/>
      <c r="DY497" s="19"/>
      <c r="DZ497" s="19"/>
      <c r="EA497" s="19"/>
      <c r="EB497" s="19"/>
      <c r="EC497" s="19"/>
      <c r="ED497" s="19"/>
      <c r="EE497" s="19"/>
      <c r="EF497" s="19"/>
      <c r="EG497" s="19"/>
      <c r="EH497" s="19"/>
      <c r="EI497" s="19"/>
      <c r="EJ497" s="19"/>
      <c r="EK497" s="19"/>
      <c r="EL497" s="19"/>
      <c r="EM497" s="19"/>
      <c r="EN497" s="19"/>
      <c r="EO497" s="19"/>
      <c r="EP497" s="19"/>
      <c r="EQ497" s="19"/>
      <c r="ER497" s="19"/>
      <c r="ES497" s="19"/>
      <c r="ET497" s="19"/>
      <c r="EU497" s="19"/>
      <c r="EV497" s="19"/>
      <c r="EW497" s="19"/>
      <c r="EX497" s="19"/>
      <c r="EY497" s="19"/>
      <c r="EZ497" s="19"/>
      <c r="FA497" s="19"/>
      <c r="FB497" s="19"/>
      <c r="FC497" s="19"/>
      <c r="FD497" s="19"/>
      <c r="FE497" s="19"/>
      <c r="FF497" s="19"/>
      <c r="FG497" s="19"/>
      <c r="FH497" s="19"/>
      <c r="FI497" s="19"/>
      <c r="FJ497" s="19"/>
      <c r="FK497" s="19"/>
      <c r="FL497" s="19"/>
      <c r="FM497" s="19"/>
      <c r="FN497" s="19"/>
      <c r="FO497" s="19"/>
      <c r="FP497" s="19"/>
      <c r="FQ497" s="19"/>
      <c r="FR497" s="19"/>
      <c r="FS497" s="19"/>
      <c r="FT497" s="19"/>
      <c r="FU497" s="19"/>
      <c r="FV497" s="19"/>
      <c r="FW497" s="19"/>
      <c r="FX497" s="19"/>
      <c r="FY497" s="19"/>
      <c r="FZ497" s="19"/>
      <c r="GA497" s="19"/>
      <c r="GB497" s="19"/>
      <c r="GC497" s="19"/>
      <c r="GD497" s="19"/>
      <c r="GE497" s="19"/>
      <c r="GF497" s="19"/>
      <c r="GG497" s="19"/>
      <c r="GH497" s="19"/>
      <c r="GI497" s="19"/>
      <c r="GJ497" s="19"/>
      <c r="GK497" s="19"/>
      <c r="GL497" s="19"/>
      <c r="GM497" s="19"/>
      <c r="GN497" s="19"/>
      <c r="GO497" s="19"/>
      <c r="GP497" s="19"/>
      <c r="GQ497" s="19"/>
      <c r="GR497" s="19"/>
      <c r="GS497" s="19"/>
      <c r="GT497" s="19"/>
      <c r="GU497" s="19"/>
      <c r="GV497" s="19"/>
      <c r="GW497" s="19"/>
      <c r="GX497" s="19"/>
      <c r="GY497" s="19"/>
      <c r="GZ497" s="19"/>
      <c r="HA497" s="19"/>
      <c r="HB497" s="19"/>
    </row>
    <row r="498" spans="1:210" x14ac:dyDescent="0.25">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c r="BE498" s="19"/>
      <c r="BF498" s="19"/>
      <c r="BG498" s="19"/>
      <c r="BH498" s="19"/>
      <c r="BI498" s="19"/>
      <c r="BJ498" s="19"/>
      <c r="BK498" s="19"/>
      <c r="BL498" s="19"/>
      <c r="BM498" s="19"/>
      <c r="BN498" s="19"/>
      <c r="BO498" s="19"/>
      <c r="BP498" s="19"/>
      <c r="BQ498" s="19"/>
      <c r="BR498" s="19"/>
      <c r="BS498" s="19"/>
      <c r="BT498" s="19"/>
      <c r="BU498" s="19"/>
      <c r="BV498" s="19"/>
      <c r="BW498" s="19"/>
      <c r="BX498" s="19"/>
      <c r="BY498" s="19"/>
      <c r="BZ498" s="19"/>
      <c r="CA498" s="19"/>
      <c r="CB498" s="19"/>
      <c r="CC498" s="19"/>
      <c r="CD498" s="19"/>
      <c r="CE498" s="19"/>
      <c r="CF498" s="19"/>
      <c r="CG498" s="19"/>
      <c r="CH498" s="19"/>
      <c r="CI498" s="19"/>
      <c r="CJ498" s="19"/>
      <c r="CK498" s="19"/>
      <c r="CL498" s="19"/>
      <c r="CM498" s="19"/>
      <c r="CN498" s="19"/>
      <c r="CO498" s="19"/>
      <c r="CP498" s="19"/>
      <c r="CQ498" s="19"/>
      <c r="CR498" s="19"/>
      <c r="CS498" s="19"/>
      <c r="CT498" s="19"/>
      <c r="CU498" s="19"/>
      <c r="CV498" s="19"/>
      <c r="CW498" s="19"/>
      <c r="CX498" s="19"/>
      <c r="CY498" s="19"/>
      <c r="CZ498" s="19"/>
      <c r="DA498" s="19"/>
      <c r="DB498" s="19"/>
      <c r="DC498" s="19"/>
      <c r="DD498" s="19"/>
      <c r="DE498" s="19"/>
      <c r="DF498" s="19"/>
      <c r="DG498" s="19"/>
      <c r="DH498" s="19"/>
      <c r="DI498" s="19"/>
      <c r="DJ498" s="19"/>
      <c r="DK498" s="19"/>
      <c r="DL498" s="19"/>
      <c r="DM498" s="19"/>
      <c r="DN498" s="19"/>
      <c r="DO498" s="19"/>
      <c r="DP498" s="19"/>
      <c r="DQ498" s="19"/>
      <c r="DR498" s="19"/>
      <c r="DS498" s="19"/>
      <c r="DT498" s="19"/>
      <c r="DU498" s="19"/>
      <c r="DV498" s="19"/>
      <c r="DW498" s="19"/>
      <c r="DX498" s="19"/>
      <c r="DY498" s="19"/>
      <c r="DZ498" s="19"/>
      <c r="EA498" s="19"/>
      <c r="EB498" s="19"/>
      <c r="EC498" s="19"/>
      <c r="ED498" s="19"/>
      <c r="EE498" s="19"/>
      <c r="EF498" s="19"/>
      <c r="EG498" s="19"/>
      <c r="EH498" s="19"/>
      <c r="EI498" s="19"/>
      <c r="EJ498" s="19"/>
      <c r="EK498" s="19"/>
      <c r="EL498" s="19"/>
      <c r="EM498" s="19"/>
      <c r="EN498" s="19"/>
      <c r="EO498" s="19"/>
      <c r="EP498" s="19"/>
      <c r="EQ498" s="19"/>
      <c r="ER498" s="19"/>
      <c r="ES498" s="19"/>
      <c r="ET498" s="19"/>
      <c r="EU498" s="19"/>
      <c r="EV498" s="19"/>
      <c r="EW498" s="19"/>
      <c r="EX498" s="19"/>
      <c r="EY498" s="19"/>
      <c r="EZ498" s="19"/>
      <c r="FA498" s="19"/>
      <c r="FB498" s="19"/>
      <c r="FC498" s="19"/>
      <c r="FD498" s="19"/>
      <c r="FE498" s="19"/>
      <c r="FF498" s="19"/>
      <c r="FG498" s="19"/>
      <c r="FH498" s="19"/>
      <c r="FI498" s="19"/>
      <c r="FJ498" s="19"/>
      <c r="FK498" s="19"/>
      <c r="FL498" s="19"/>
      <c r="FM498" s="19"/>
      <c r="FN498" s="19"/>
      <c r="FO498" s="19"/>
      <c r="FP498" s="19"/>
      <c r="FQ498" s="19"/>
      <c r="FR498" s="19"/>
      <c r="FS498" s="19"/>
      <c r="FT498" s="19"/>
      <c r="FU498" s="19"/>
      <c r="FV498" s="19"/>
      <c r="FW498" s="19"/>
      <c r="FX498" s="19"/>
      <c r="FY498" s="19"/>
      <c r="FZ498" s="19"/>
      <c r="GA498" s="19"/>
      <c r="GB498" s="19"/>
      <c r="GC498" s="19"/>
      <c r="GD498" s="19"/>
      <c r="GE498" s="19"/>
      <c r="GF498" s="19"/>
      <c r="GG498" s="19"/>
      <c r="GH498" s="19"/>
      <c r="GI498" s="19"/>
      <c r="GJ498" s="19"/>
      <c r="GK498" s="19"/>
      <c r="GL498" s="19"/>
      <c r="GM498" s="19"/>
      <c r="GN498" s="19"/>
      <c r="GO498" s="19"/>
      <c r="GP498" s="19"/>
      <c r="GQ498" s="19"/>
      <c r="GR498" s="19"/>
      <c r="GS498" s="19"/>
      <c r="GT498" s="19"/>
      <c r="GU498" s="19"/>
      <c r="GV498" s="19"/>
      <c r="GW498" s="19"/>
      <c r="GX498" s="19"/>
      <c r="GY498" s="19"/>
      <c r="GZ498" s="19"/>
      <c r="HA498" s="19"/>
      <c r="HB498" s="19"/>
    </row>
    <row r="499" spans="1:210" x14ac:dyDescent="0.25">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c r="BE499" s="19"/>
      <c r="BF499" s="19"/>
      <c r="BG499" s="19"/>
      <c r="BH499" s="19"/>
      <c r="BI499" s="19"/>
      <c r="BJ499" s="19"/>
      <c r="BK499" s="19"/>
      <c r="BL499" s="19"/>
      <c r="BM499" s="19"/>
      <c r="BN499" s="19"/>
      <c r="BO499" s="19"/>
      <c r="BP499" s="19"/>
      <c r="BQ499" s="19"/>
      <c r="BR499" s="19"/>
      <c r="BS499" s="19"/>
      <c r="BT499" s="19"/>
      <c r="BU499" s="19"/>
      <c r="BV499" s="19"/>
      <c r="BW499" s="19"/>
      <c r="BX499" s="19"/>
      <c r="BY499" s="19"/>
      <c r="BZ499" s="19"/>
      <c r="CA499" s="19"/>
      <c r="CB499" s="19"/>
      <c r="CC499" s="19"/>
      <c r="CD499" s="19"/>
      <c r="CE499" s="19"/>
      <c r="CF499" s="19"/>
      <c r="CG499" s="19"/>
      <c r="CH499" s="19"/>
      <c r="CI499" s="19"/>
      <c r="CJ499" s="19"/>
      <c r="CK499" s="19"/>
      <c r="CL499" s="19"/>
      <c r="CM499" s="19"/>
      <c r="CN499" s="19"/>
      <c r="CO499" s="19"/>
      <c r="CP499" s="19"/>
      <c r="CQ499" s="19"/>
      <c r="CR499" s="19"/>
      <c r="CS499" s="19"/>
      <c r="CT499" s="19"/>
      <c r="CU499" s="19"/>
      <c r="CV499" s="19"/>
      <c r="CW499" s="19"/>
      <c r="CX499" s="19"/>
      <c r="CY499" s="19"/>
      <c r="CZ499" s="19"/>
      <c r="DA499" s="19"/>
      <c r="DB499" s="19"/>
      <c r="DC499" s="19"/>
      <c r="DD499" s="19"/>
      <c r="DE499" s="19"/>
      <c r="DF499" s="19"/>
      <c r="DG499" s="19"/>
      <c r="DH499" s="19"/>
      <c r="DI499" s="19"/>
      <c r="DJ499" s="19"/>
      <c r="DK499" s="19"/>
      <c r="DL499" s="19"/>
      <c r="DM499" s="19"/>
      <c r="DN499" s="19"/>
      <c r="DO499" s="19"/>
      <c r="DP499" s="19"/>
      <c r="DQ499" s="19"/>
      <c r="DR499" s="19"/>
      <c r="DS499" s="19"/>
      <c r="DT499" s="19"/>
      <c r="DU499" s="19"/>
      <c r="DV499" s="19"/>
      <c r="DW499" s="19"/>
      <c r="DX499" s="19"/>
      <c r="DY499" s="19"/>
      <c r="DZ499" s="19"/>
      <c r="EA499" s="19"/>
      <c r="EB499" s="19"/>
      <c r="EC499" s="19"/>
      <c r="ED499" s="19"/>
      <c r="EE499" s="19"/>
      <c r="EF499" s="19"/>
      <c r="EG499" s="19"/>
      <c r="EH499" s="19"/>
      <c r="EI499" s="19"/>
      <c r="EJ499" s="19"/>
      <c r="EK499" s="19"/>
      <c r="EL499" s="19"/>
      <c r="EM499" s="19"/>
      <c r="EN499" s="19"/>
      <c r="EO499" s="19"/>
      <c r="EP499" s="19"/>
      <c r="EQ499" s="19"/>
      <c r="ER499" s="19"/>
      <c r="ES499" s="19"/>
      <c r="ET499" s="19"/>
      <c r="EU499" s="19"/>
      <c r="EV499" s="19"/>
      <c r="EW499" s="19"/>
      <c r="EX499" s="19"/>
      <c r="EY499" s="19"/>
      <c r="EZ499" s="19"/>
      <c r="FA499" s="19"/>
      <c r="FB499" s="19"/>
      <c r="FC499" s="19"/>
      <c r="FD499" s="19"/>
      <c r="FE499" s="19"/>
      <c r="FF499" s="19"/>
      <c r="FG499" s="19"/>
      <c r="FH499" s="19"/>
      <c r="FI499" s="19"/>
      <c r="FJ499" s="19"/>
      <c r="FK499" s="19"/>
      <c r="FL499" s="19"/>
      <c r="FM499" s="19"/>
      <c r="FN499" s="19"/>
      <c r="FO499" s="19"/>
      <c r="FP499" s="19"/>
      <c r="FQ499" s="19"/>
      <c r="FR499" s="19"/>
      <c r="FS499" s="19"/>
      <c r="FT499" s="19"/>
      <c r="FU499" s="19"/>
      <c r="FV499" s="19"/>
      <c r="FW499" s="19"/>
      <c r="FX499" s="19"/>
      <c r="FY499" s="19"/>
      <c r="FZ499" s="19"/>
      <c r="GA499" s="19"/>
      <c r="GB499" s="19"/>
      <c r="GC499" s="19"/>
      <c r="GD499" s="19"/>
      <c r="GE499" s="19"/>
      <c r="GF499" s="19"/>
      <c r="GG499" s="19"/>
      <c r="GH499" s="19"/>
      <c r="GI499" s="19"/>
      <c r="GJ499" s="19"/>
      <c r="GK499" s="19"/>
      <c r="GL499" s="19"/>
      <c r="GM499" s="19"/>
      <c r="GN499" s="19"/>
      <c r="GO499" s="19"/>
      <c r="GP499" s="19"/>
      <c r="GQ499" s="19"/>
      <c r="GR499" s="19"/>
      <c r="GS499" s="19"/>
      <c r="GT499" s="19"/>
      <c r="GU499" s="19"/>
      <c r="GV499" s="19"/>
      <c r="GW499" s="19"/>
      <c r="GX499" s="19"/>
      <c r="GY499" s="19"/>
      <c r="GZ499" s="19"/>
      <c r="HA499" s="19"/>
      <c r="HB499" s="19"/>
    </row>
    <row r="500" spans="1:210" x14ac:dyDescent="0.25">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c r="BE500" s="19"/>
      <c r="BF500" s="19"/>
      <c r="BG500" s="19"/>
      <c r="BH500" s="19"/>
      <c r="BI500" s="19"/>
      <c r="BJ500" s="19"/>
      <c r="BK500" s="19"/>
      <c r="BL500" s="19"/>
      <c r="BM500" s="19"/>
      <c r="BN500" s="19"/>
      <c r="BO500" s="19"/>
      <c r="BP500" s="19"/>
      <c r="BQ500" s="19"/>
      <c r="BR500" s="19"/>
      <c r="BS500" s="19"/>
      <c r="BT500" s="19"/>
      <c r="BU500" s="19"/>
      <c r="BV500" s="19"/>
      <c r="BW500" s="19"/>
      <c r="BX500" s="19"/>
      <c r="BY500" s="19"/>
      <c r="BZ500" s="19"/>
      <c r="CA500" s="19"/>
      <c r="CB500" s="19"/>
      <c r="CC500" s="19"/>
      <c r="CD500" s="19"/>
      <c r="CE500" s="19"/>
      <c r="CF500" s="19"/>
      <c r="CG500" s="19"/>
      <c r="CH500" s="19"/>
      <c r="CI500" s="19"/>
      <c r="CJ500" s="19"/>
      <c r="CK500" s="19"/>
      <c r="CL500" s="19"/>
      <c r="CM500" s="19"/>
      <c r="CN500" s="19"/>
      <c r="CO500" s="19"/>
      <c r="CP500" s="19"/>
      <c r="CQ500" s="19"/>
      <c r="CR500" s="19"/>
      <c r="CS500" s="19"/>
      <c r="CT500" s="19"/>
      <c r="CU500" s="19"/>
      <c r="CV500" s="19"/>
      <c r="CW500" s="19"/>
      <c r="CX500" s="19"/>
      <c r="CY500" s="19"/>
      <c r="CZ500" s="19"/>
      <c r="DA500" s="19"/>
      <c r="DB500" s="19"/>
      <c r="DC500" s="19"/>
      <c r="DD500" s="19"/>
      <c r="DE500" s="19"/>
      <c r="DF500" s="19"/>
      <c r="DG500" s="19"/>
      <c r="DH500" s="19"/>
      <c r="DI500" s="19"/>
      <c r="DJ500" s="19"/>
      <c r="DK500" s="19"/>
      <c r="DL500" s="19"/>
      <c r="DM500" s="19"/>
      <c r="DN500" s="19"/>
      <c r="DO500" s="19"/>
      <c r="DP500" s="19"/>
      <c r="DQ500" s="19"/>
      <c r="DR500" s="19"/>
      <c r="DS500" s="19"/>
      <c r="DT500" s="19"/>
      <c r="DU500" s="19"/>
      <c r="DV500" s="19"/>
      <c r="DW500" s="19"/>
      <c r="DX500" s="19"/>
      <c r="DY500" s="19"/>
      <c r="DZ500" s="19"/>
      <c r="EA500" s="19"/>
      <c r="EB500" s="19"/>
      <c r="EC500" s="19"/>
      <c r="ED500" s="19"/>
      <c r="EE500" s="19"/>
      <c r="EF500" s="19"/>
      <c r="EG500" s="19"/>
      <c r="EH500" s="19"/>
      <c r="EI500" s="19"/>
      <c r="EJ500" s="19"/>
      <c r="EK500" s="19"/>
      <c r="EL500" s="19"/>
      <c r="EM500" s="19"/>
      <c r="EN500" s="19"/>
      <c r="EO500" s="19"/>
      <c r="EP500" s="19"/>
      <c r="EQ500" s="19"/>
      <c r="ER500" s="19"/>
      <c r="ES500" s="19"/>
      <c r="ET500" s="19"/>
      <c r="EU500" s="19"/>
      <c r="EV500" s="19"/>
      <c r="EW500" s="19"/>
      <c r="EX500" s="19"/>
      <c r="EY500" s="19"/>
      <c r="EZ500" s="19"/>
      <c r="FA500" s="19"/>
      <c r="FB500" s="19"/>
      <c r="FC500" s="19"/>
      <c r="FD500" s="19"/>
      <c r="FE500" s="19"/>
      <c r="FF500" s="19"/>
      <c r="FG500" s="19"/>
      <c r="FH500" s="19"/>
      <c r="FI500" s="19"/>
      <c r="FJ500" s="19"/>
      <c r="FK500" s="19"/>
      <c r="FL500" s="19"/>
      <c r="FM500" s="19"/>
      <c r="FN500" s="19"/>
      <c r="FO500" s="19"/>
      <c r="FP500" s="19"/>
      <c r="FQ500" s="19"/>
      <c r="FR500" s="19"/>
      <c r="FS500" s="19"/>
      <c r="FT500" s="19"/>
      <c r="FU500" s="19"/>
      <c r="FV500" s="19"/>
      <c r="FW500" s="19"/>
      <c r="FX500" s="19"/>
      <c r="FY500" s="19"/>
      <c r="FZ500" s="19"/>
      <c r="GA500" s="19"/>
      <c r="GB500" s="19"/>
      <c r="GC500" s="19"/>
      <c r="GD500" s="19"/>
      <c r="GE500" s="19"/>
      <c r="GF500" s="19"/>
      <c r="GG500" s="19"/>
      <c r="GH500" s="19"/>
      <c r="GI500" s="19"/>
      <c r="GJ500" s="19"/>
      <c r="GK500" s="19"/>
      <c r="GL500" s="19"/>
      <c r="GM500" s="19"/>
      <c r="GN500" s="19"/>
      <c r="GO500" s="19"/>
      <c r="GP500" s="19"/>
      <c r="GQ500" s="19"/>
      <c r="GR500" s="19"/>
      <c r="GS500" s="19"/>
      <c r="GT500" s="19"/>
      <c r="GU500" s="19"/>
      <c r="GV500" s="19"/>
      <c r="GW500" s="19"/>
      <c r="GX500" s="19"/>
      <c r="GY500" s="19"/>
      <c r="GZ500" s="19"/>
      <c r="HA500" s="19"/>
      <c r="HB500" s="19"/>
    </row>
    <row r="501" spans="1:210" x14ac:dyDescent="0.25">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c r="BE501" s="19"/>
      <c r="BF501" s="19"/>
      <c r="BG501" s="19"/>
      <c r="BH501" s="19"/>
      <c r="BI501" s="19"/>
      <c r="BJ501" s="19"/>
      <c r="BK501" s="19"/>
      <c r="BL501" s="19"/>
      <c r="BM501" s="19"/>
      <c r="BN501" s="19"/>
      <c r="BO501" s="19"/>
      <c r="BP501" s="19"/>
      <c r="BQ501" s="19"/>
      <c r="BR501" s="19"/>
      <c r="BS501" s="19"/>
      <c r="BT501" s="19"/>
      <c r="BU501" s="19"/>
      <c r="BV501" s="19"/>
      <c r="BW501" s="19"/>
      <c r="BX501" s="19"/>
      <c r="BY501" s="19"/>
      <c r="BZ501" s="19"/>
      <c r="CA501" s="19"/>
      <c r="CB501" s="19"/>
      <c r="CC501" s="19"/>
      <c r="CD501" s="19"/>
      <c r="CE501" s="19"/>
      <c r="CF501" s="19"/>
      <c r="CG501" s="19"/>
      <c r="CH501" s="19"/>
      <c r="CI501" s="19"/>
      <c r="CJ501" s="19"/>
      <c r="CK501" s="19"/>
      <c r="CL501" s="19"/>
      <c r="CM501" s="19"/>
      <c r="CN501" s="19"/>
      <c r="CO501" s="19"/>
      <c r="CP501" s="19"/>
      <c r="CQ501" s="19"/>
      <c r="CR501" s="19"/>
      <c r="CS501" s="19"/>
      <c r="CT501" s="19"/>
      <c r="CU501" s="19"/>
      <c r="CV501" s="19"/>
      <c r="CW501" s="19"/>
      <c r="CX501" s="19"/>
      <c r="CY501" s="19"/>
      <c r="CZ501" s="19"/>
      <c r="DA501" s="19"/>
      <c r="DB501" s="19"/>
      <c r="DC501" s="19"/>
      <c r="DD501" s="19"/>
      <c r="DE501" s="19"/>
      <c r="DF501" s="19"/>
      <c r="DG501" s="19"/>
      <c r="DH501" s="19"/>
      <c r="DI501" s="19"/>
      <c r="DJ501" s="19"/>
      <c r="DK501" s="19"/>
      <c r="DL501" s="19"/>
      <c r="DM501" s="19"/>
      <c r="DN501" s="19"/>
      <c r="DO501" s="19"/>
      <c r="DP501" s="19"/>
      <c r="DQ501" s="19"/>
      <c r="DR501" s="19"/>
      <c r="DS501" s="19"/>
      <c r="DT501" s="19"/>
      <c r="DU501" s="19"/>
      <c r="DV501" s="19"/>
      <c r="DW501" s="19"/>
      <c r="DX501" s="19"/>
      <c r="DY501" s="19"/>
      <c r="DZ501" s="19"/>
      <c r="EA501" s="19"/>
      <c r="EB501" s="19"/>
      <c r="EC501" s="19"/>
      <c r="ED501" s="19"/>
      <c r="EE501" s="19"/>
      <c r="EF501" s="19"/>
      <c r="EG501" s="19"/>
      <c r="EH501" s="19"/>
      <c r="EI501" s="19"/>
      <c r="EJ501" s="19"/>
      <c r="EK501" s="19"/>
      <c r="EL501" s="19"/>
      <c r="EM501" s="19"/>
      <c r="EN501" s="19"/>
      <c r="EO501" s="19"/>
      <c r="EP501" s="19"/>
      <c r="EQ501" s="19"/>
      <c r="ER501" s="19"/>
      <c r="ES501" s="19"/>
      <c r="ET501" s="19"/>
      <c r="EU501" s="19"/>
      <c r="EV501" s="19"/>
      <c r="EW501" s="19"/>
      <c r="EX501" s="19"/>
      <c r="EY501" s="19"/>
      <c r="EZ501" s="19"/>
      <c r="FA501" s="19"/>
      <c r="FB501" s="19"/>
      <c r="FC501" s="19"/>
      <c r="FD501" s="19"/>
      <c r="FE501" s="19"/>
      <c r="FF501" s="19"/>
      <c r="FG501" s="19"/>
      <c r="FH501" s="19"/>
      <c r="FI501" s="19"/>
      <c r="FJ501" s="19"/>
      <c r="FK501" s="19"/>
      <c r="FL501" s="19"/>
      <c r="FM501" s="19"/>
      <c r="FN501" s="19"/>
      <c r="FO501" s="19"/>
      <c r="FP501" s="19"/>
      <c r="FQ501" s="19"/>
      <c r="FR501" s="19"/>
      <c r="FS501" s="19"/>
      <c r="FT501" s="19"/>
      <c r="FU501" s="19"/>
      <c r="FV501" s="19"/>
      <c r="FW501" s="19"/>
      <c r="FX501" s="19"/>
      <c r="FY501" s="19"/>
      <c r="FZ501" s="19"/>
      <c r="GA501" s="19"/>
      <c r="GB501" s="19"/>
      <c r="GC501" s="19"/>
      <c r="GD501" s="19"/>
      <c r="GE501" s="19"/>
      <c r="GF501" s="19"/>
      <c r="GG501" s="19"/>
      <c r="GH501" s="19"/>
      <c r="GI501" s="19"/>
      <c r="GJ501" s="19"/>
      <c r="GK501" s="19"/>
      <c r="GL501" s="19"/>
      <c r="GM501" s="19"/>
      <c r="GN501" s="19"/>
      <c r="GO501" s="19"/>
      <c r="GP501" s="19"/>
      <c r="GQ501" s="19"/>
      <c r="GR501" s="19"/>
      <c r="GS501" s="19"/>
      <c r="GT501" s="19"/>
      <c r="GU501" s="19"/>
      <c r="GV501" s="19"/>
      <c r="GW501" s="19"/>
      <c r="GX501" s="19"/>
      <c r="GY501" s="19"/>
      <c r="GZ501" s="19"/>
      <c r="HA501" s="19"/>
      <c r="HB501" s="19"/>
    </row>
    <row r="502" spans="1:210" x14ac:dyDescent="0.25">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c r="BE502" s="19"/>
      <c r="BF502" s="19"/>
      <c r="BG502" s="19"/>
      <c r="BH502" s="19"/>
      <c r="BI502" s="19"/>
      <c r="BJ502" s="19"/>
      <c r="BK502" s="19"/>
      <c r="BL502" s="19"/>
      <c r="BM502" s="19"/>
      <c r="BN502" s="19"/>
      <c r="BO502" s="19"/>
      <c r="BP502" s="19"/>
      <c r="BQ502" s="19"/>
      <c r="BR502" s="19"/>
      <c r="BS502" s="19"/>
      <c r="BT502" s="19"/>
      <c r="BU502" s="19"/>
      <c r="BV502" s="19"/>
      <c r="BW502" s="19"/>
      <c r="BX502" s="19"/>
      <c r="BY502" s="19"/>
      <c r="BZ502" s="19"/>
      <c r="CA502" s="19"/>
      <c r="CB502" s="19"/>
      <c r="CC502" s="19"/>
      <c r="CD502" s="19"/>
      <c r="CE502" s="19"/>
      <c r="CF502" s="19"/>
      <c r="CG502" s="19"/>
      <c r="CH502" s="19"/>
      <c r="CI502" s="19"/>
      <c r="CJ502" s="19"/>
      <c r="CK502" s="19"/>
      <c r="CL502" s="19"/>
      <c r="CM502" s="19"/>
      <c r="CN502" s="19"/>
      <c r="CO502" s="19"/>
      <c r="CP502" s="19"/>
      <c r="CQ502" s="19"/>
      <c r="CR502" s="19"/>
      <c r="CS502" s="19"/>
      <c r="CT502" s="19"/>
      <c r="CU502" s="19"/>
      <c r="CV502" s="19"/>
      <c r="CW502" s="19"/>
      <c r="CX502" s="19"/>
      <c r="CY502" s="19"/>
      <c r="CZ502" s="19"/>
      <c r="DA502" s="19"/>
      <c r="DB502" s="19"/>
      <c r="DC502" s="19"/>
      <c r="DD502" s="19"/>
      <c r="DE502" s="19"/>
      <c r="DF502" s="19"/>
      <c r="DG502" s="19"/>
      <c r="DH502" s="19"/>
      <c r="DI502" s="19"/>
      <c r="DJ502" s="19"/>
      <c r="DK502" s="19"/>
      <c r="DL502" s="19"/>
      <c r="DM502" s="19"/>
      <c r="DN502" s="19"/>
      <c r="DO502" s="19"/>
      <c r="DP502" s="19"/>
      <c r="DQ502" s="19"/>
      <c r="DR502" s="19"/>
      <c r="DS502" s="19"/>
      <c r="DT502" s="19"/>
      <c r="DU502" s="19"/>
      <c r="DV502" s="19"/>
      <c r="DW502" s="19"/>
      <c r="DX502" s="19"/>
      <c r="DY502" s="19"/>
      <c r="DZ502" s="19"/>
      <c r="EA502" s="19"/>
      <c r="EB502" s="19"/>
      <c r="EC502" s="19"/>
      <c r="ED502" s="19"/>
      <c r="EE502" s="19"/>
      <c r="EF502" s="19"/>
      <c r="EG502" s="19"/>
      <c r="EH502" s="19"/>
      <c r="EI502" s="19"/>
      <c r="EJ502" s="19"/>
      <c r="EK502" s="19"/>
      <c r="EL502" s="19"/>
      <c r="EM502" s="19"/>
      <c r="EN502" s="19"/>
      <c r="EO502" s="19"/>
      <c r="EP502" s="19"/>
      <c r="EQ502" s="19"/>
      <c r="ER502" s="19"/>
      <c r="ES502" s="19"/>
      <c r="ET502" s="19"/>
      <c r="EU502" s="19"/>
      <c r="EV502" s="19"/>
      <c r="EW502" s="19"/>
      <c r="EX502" s="19"/>
      <c r="EY502" s="19"/>
      <c r="EZ502" s="19"/>
      <c r="FA502" s="19"/>
      <c r="FB502" s="19"/>
      <c r="FC502" s="19"/>
      <c r="FD502" s="19"/>
      <c r="FE502" s="19"/>
      <c r="FF502" s="19"/>
      <c r="FG502" s="19"/>
      <c r="FH502" s="19"/>
      <c r="FI502" s="19"/>
      <c r="FJ502" s="19"/>
      <c r="FK502" s="19"/>
      <c r="FL502" s="19"/>
      <c r="FM502" s="19"/>
      <c r="FN502" s="19"/>
      <c r="FO502" s="19"/>
      <c r="FP502" s="19"/>
      <c r="FQ502" s="19"/>
      <c r="FR502" s="19"/>
      <c r="FS502" s="19"/>
      <c r="FT502" s="19"/>
      <c r="FU502" s="19"/>
      <c r="FV502" s="19"/>
      <c r="FW502" s="19"/>
      <c r="FX502" s="19"/>
      <c r="FY502" s="19"/>
      <c r="FZ502" s="19"/>
      <c r="GA502" s="19"/>
      <c r="GB502" s="19"/>
      <c r="GC502" s="19"/>
      <c r="GD502" s="19"/>
      <c r="GE502" s="19"/>
      <c r="GF502" s="19"/>
      <c r="GG502" s="19"/>
      <c r="GH502" s="19"/>
      <c r="GI502" s="19"/>
      <c r="GJ502" s="19"/>
      <c r="GK502" s="19"/>
      <c r="GL502" s="19"/>
      <c r="GM502" s="19"/>
      <c r="GN502" s="19"/>
      <c r="GO502" s="19"/>
      <c r="GP502" s="19"/>
      <c r="GQ502" s="19"/>
      <c r="GR502" s="19"/>
      <c r="GS502" s="19"/>
      <c r="GT502" s="19"/>
      <c r="GU502" s="19"/>
      <c r="GV502" s="19"/>
      <c r="GW502" s="19"/>
      <c r="GX502" s="19"/>
      <c r="GY502" s="19"/>
      <c r="GZ502" s="19"/>
      <c r="HA502" s="19"/>
      <c r="HB502" s="19"/>
    </row>
    <row r="503" spans="1:210" x14ac:dyDescent="0.25">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c r="BE503" s="19"/>
      <c r="BF503" s="19"/>
      <c r="BG503" s="19"/>
      <c r="BH503" s="19"/>
      <c r="BI503" s="19"/>
      <c r="BJ503" s="19"/>
      <c r="BK503" s="19"/>
      <c r="BL503" s="19"/>
      <c r="BM503" s="19"/>
      <c r="BN503" s="19"/>
      <c r="BO503" s="19"/>
      <c r="BP503" s="19"/>
      <c r="BQ503" s="19"/>
      <c r="BR503" s="19"/>
      <c r="BS503" s="19"/>
      <c r="BT503" s="19"/>
      <c r="BU503" s="19"/>
      <c r="BV503" s="19"/>
      <c r="BW503" s="19"/>
      <c r="BX503" s="19"/>
      <c r="BY503" s="19"/>
      <c r="BZ503" s="19"/>
      <c r="CA503" s="19"/>
      <c r="CB503" s="19"/>
      <c r="CC503" s="19"/>
      <c r="CD503" s="19"/>
      <c r="CE503" s="19"/>
      <c r="CF503" s="19"/>
      <c r="CG503" s="19"/>
      <c r="CH503" s="19"/>
      <c r="CI503" s="19"/>
      <c r="CJ503" s="19"/>
      <c r="CK503" s="19"/>
      <c r="CL503" s="19"/>
      <c r="CM503" s="19"/>
      <c r="CN503" s="19"/>
      <c r="CO503" s="19"/>
      <c r="CP503" s="19"/>
      <c r="CQ503" s="19"/>
      <c r="CR503" s="19"/>
      <c r="CS503" s="19"/>
      <c r="CT503" s="19"/>
      <c r="CU503" s="19"/>
      <c r="CV503" s="19"/>
      <c r="CW503" s="19"/>
      <c r="CX503" s="19"/>
      <c r="CY503" s="19"/>
      <c r="CZ503" s="19"/>
      <c r="DA503" s="19"/>
      <c r="DB503" s="19"/>
      <c r="DC503" s="19"/>
      <c r="DD503" s="19"/>
      <c r="DE503" s="19"/>
      <c r="DF503" s="19"/>
      <c r="DG503" s="19"/>
      <c r="DH503" s="19"/>
      <c r="DI503" s="19"/>
      <c r="DJ503" s="19"/>
      <c r="DK503" s="19"/>
      <c r="DL503" s="19"/>
      <c r="DM503" s="19"/>
      <c r="DN503" s="19"/>
      <c r="DO503" s="19"/>
      <c r="DP503" s="19"/>
      <c r="DQ503" s="19"/>
      <c r="DR503" s="19"/>
      <c r="DS503" s="19"/>
      <c r="DT503" s="19"/>
      <c r="DU503" s="19"/>
      <c r="DV503" s="19"/>
      <c r="DW503" s="19"/>
      <c r="DX503" s="19"/>
      <c r="DY503" s="19"/>
      <c r="DZ503" s="19"/>
      <c r="EA503" s="19"/>
      <c r="EB503" s="19"/>
      <c r="EC503" s="19"/>
      <c r="ED503" s="19"/>
      <c r="EE503" s="19"/>
      <c r="EF503" s="19"/>
      <c r="EG503" s="19"/>
      <c r="EH503" s="19"/>
      <c r="EI503" s="19"/>
      <c r="EJ503" s="19"/>
      <c r="EK503" s="19"/>
      <c r="EL503" s="19"/>
      <c r="EM503" s="19"/>
      <c r="EN503" s="19"/>
      <c r="EO503" s="19"/>
      <c r="EP503" s="19"/>
      <c r="EQ503" s="19"/>
      <c r="ER503" s="19"/>
      <c r="ES503" s="19"/>
      <c r="ET503" s="19"/>
      <c r="EU503" s="19"/>
      <c r="EV503" s="19"/>
      <c r="EW503" s="19"/>
      <c r="EX503" s="19"/>
      <c r="EY503" s="19"/>
      <c r="EZ503" s="19"/>
      <c r="FA503" s="19"/>
      <c r="FB503" s="19"/>
      <c r="FC503" s="19"/>
      <c r="FD503" s="19"/>
      <c r="FE503" s="19"/>
      <c r="FF503" s="19"/>
      <c r="FG503" s="19"/>
      <c r="FH503" s="19"/>
      <c r="FI503" s="19"/>
      <c r="FJ503" s="19"/>
      <c r="FK503" s="19"/>
      <c r="FL503" s="19"/>
      <c r="FM503" s="19"/>
      <c r="FN503" s="19"/>
      <c r="FO503" s="19"/>
      <c r="FP503" s="19"/>
      <c r="FQ503" s="19"/>
      <c r="FR503" s="19"/>
      <c r="FS503" s="19"/>
      <c r="FT503" s="19"/>
      <c r="FU503" s="19"/>
      <c r="FV503" s="19"/>
      <c r="FW503" s="19"/>
      <c r="FX503" s="19"/>
      <c r="FY503" s="19"/>
      <c r="FZ503" s="19"/>
      <c r="GA503" s="19"/>
      <c r="GB503" s="19"/>
      <c r="GC503" s="19"/>
      <c r="GD503" s="19"/>
      <c r="GE503" s="19"/>
      <c r="GF503" s="19"/>
      <c r="GG503" s="19"/>
      <c r="GH503" s="19"/>
      <c r="GI503" s="19"/>
      <c r="GJ503" s="19"/>
      <c r="GK503" s="19"/>
      <c r="GL503" s="19"/>
      <c r="GM503" s="19"/>
      <c r="GN503" s="19"/>
      <c r="GO503" s="19"/>
      <c r="GP503" s="19"/>
      <c r="GQ503" s="19"/>
      <c r="GR503" s="19"/>
      <c r="GS503" s="19"/>
      <c r="GT503" s="19"/>
      <c r="GU503" s="19"/>
      <c r="GV503" s="19"/>
      <c r="GW503" s="19"/>
      <c r="GX503" s="19"/>
      <c r="GY503" s="19"/>
      <c r="GZ503" s="19"/>
      <c r="HA503" s="19"/>
      <c r="HB503" s="19"/>
    </row>
    <row r="504" spans="1:210" x14ac:dyDescent="0.25">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c r="BE504" s="19"/>
      <c r="BF504" s="19"/>
      <c r="BG504" s="19"/>
      <c r="BH504" s="19"/>
      <c r="BI504" s="19"/>
      <c r="BJ504" s="19"/>
      <c r="BK504" s="19"/>
      <c r="BL504" s="19"/>
      <c r="BM504" s="19"/>
      <c r="BN504" s="19"/>
      <c r="BO504" s="19"/>
      <c r="BP504" s="19"/>
      <c r="BQ504" s="19"/>
      <c r="BR504" s="19"/>
      <c r="BS504" s="19"/>
      <c r="BT504" s="19"/>
      <c r="BU504" s="19"/>
      <c r="BV504" s="19"/>
      <c r="BW504" s="19"/>
      <c r="BX504" s="19"/>
      <c r="BY504" s="19"/>
      <c r="BZ504" s="19"/>
      <c r="CA504" s="19"/>
      <c r="CB504" s="19"/>
      <c r="CC504" s="19"/>
      <c r="CD504" s="19"/>
      <c r="CE504" s="19"/>
      <c r="CF504" s="19"/>
      <c r="CG504" s="19"/>
      <c r="CH504" s="19"/>
      <c r="CI504" s="19"/>
      <c r="CJ504" s="19"/>
      <c r="CK504" s="19"/>
      <c r="CL504" s="19"/>
      <c r="CM504" s="19"/>
      <c r="CN504" s="19"/>
      <c r="CO504" s="19"/>
      <c r="CP504" s="19"/>
      <c r="CQ504" s="19"/>
      <c r="CR504" s="19"/>
      <c r="CS504" s="19"/>
      <c r="CT504" s="19"/>
      <c r="CU504" s="19"/>
      <c r="CV504" s="19"/>
      <c r="CW504" s="19"/>
      <c r="CX504" s="19"/>
      <c r="CY504" s="19"/>
      <c r="CZ504" s="19"/>
      <c r="DA504" s="19"/>
      <c r="DB504" s="19"/>
      <c r="DC504" s="19"/>
      <c r="DD504" s="19"/>
      <c r="DE504" s="19"/>
      <c r="DF504" s="19"/>
      <c r="DG504" s="19"/>
      <c r="DH504" s="19"/>
      <c r="DI504" s="19"/>
      <c r="DJ504" s="19"/>
      <c r="DK504" s="19"/>
      <c r="DL504" s="19"/>
      <c r="DM504" s="19"/>
      <c r="DN504" s="19"/>
      <c r="DO504" s="19"/>
      <c r="DP504" s="19"/>
      <c r="DQ504" s="19"/>
      <c r="DR504" s="19"/>
      <c r="DS504" s="19"/>
      <c r="DT504" s="19"/>
      <c r="DU504" s="19"/>
      <c r="DV504" s="19"/>
      <c r="DW504" s="19"/>
      <c r="DX504" s="19"/>
      <c r="DY504" s="19"/>
      <c r="DZ504" s="19"/>
      <c r="EA504" s="19"/>
      <c r="EB504" s="19"/>
      <c r="EC504" s="19"/>
      <c r="ED504" s="19"/>
      <c r="EE504" s="19"/>
      <c r="EF504" s="19"/>
      <c r="EG504" s="19"/>
      <c r="EH504" s="19"/>
      <c r="EI504" s="19"/>
      <c r="EJ504" s="19"/>
      <c r="EK504" s="19"/>
      <c r="EL504" s="19"/>
      <c r="EM504" s="19"/>
      <c r="EN504" s="19"/>
      <c r="EO504" s="19"/>
      <c r="EP504" s="19"/>
      <c r="EQ504" s="19"/>
      <c r="ER504" s="19"/>
      <c r="ES504" s="19"/>
      <c r="ET504" s="19"/>
      <c r="EU504" s="19"/>
      <c r="EV504" s="19"/>
      <c r="EW504" s="19"/>
      <c r="EX504" s="19"/>
      <c r="EY504" s="19"/>
      <c r="EZ504" s="19"/>
      <c r="FA504" s="19"/>
      <c r="FB504" s="19"/>
      <c r="FC504" s="19"/>
      <c r="FD504" s="19"/>
      <c r="FE504" s="19"/>
      <c r="FF504" s="19"/>
      <c r="FG504" s="19"/>
      <c r="FH504" s="19"/>
      <c r="FI504" s="19"/>
      <c r="FJ504" s="19"/>
      <c r="FK504" s="19"/>
      <c r="FL504" s="19"/>
      <c r="FM504" s="19"/>
      <c r="FN504" s="19"/>
      <c r="FO504" s="19"/>
      <c r="FP504" s="19"/>
      <c r="FQ504" s="19"/>
      <c r="FR504" s="19"/>
      <c r="FS504" s="19"/>
      <c r="FT504" s="19"/>
      <c r="FU504" s="19"/>
      <c r="FV504" s="19"/>
      <c r="FW504" s="19"/>
      <c r="FX504" s="19"/>
      <c r="FY504" s="19"/>
      <c r="FZ504" s="19"/>
      <c r="GA504" s="19"/>
      <c r="GB504" s="19"/>
      <c r="GC504" s="19"/>
      <c r="GD504" s="19"/>
      <c r="GE504" s="19"/>
      <c r="GF504" s="19"/>
      <c r="GG504" s="19"/>
      <c r="GH504" s="19"/>
      <c r="GI504" s="19"/>
      <c r="GJ504" s="19"/>
      <c r="GK504" s="19"/>
      <c r="GL504" s="19"/>
      <c r="GM504" s="19"/>
      <c r="GN504" s="19"/>
      <c r="GO504" s="19"/>
      <c r="GP504" s="19"/>
      <c r="GQ504" s="19"/>
      <c r="GR504" s="19"/>
      <c r="GS504" s="19"/>
      <c r="GT504" s="19"/>
      <c r="GU504" s="19"/>
      <c r="GV504" s="19"/>
      <c r="GW504" s="19"/>
      <c r="GX504" s="19"/>
      <c r="GY504" s="19"/>
      <c r="GZ504" s="19"/>
      <c r="HA504" s="19"/>
      <c r="HB504" s="19"/>
    </row>
    <row r="505" spans="1:210" x14ac:dyDescent="0.25">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c r="BE505" s="19"/>
      <c r="BF505" s="19"/>
      <c r="BG505" s="19"/>
      <c r="BH505" s="19"/>
      <c r="BI505" s="19"/>
      <c r="BJ505" s="19"/>
      <c r="BK505" s="19"/>
      <c r="BL505" s="19"/>
      <c r="BM505" s="19"/>
      <c r="BN505" s="19"/>
      <c r="BO505" s="19"/>
      <c r="BP505" s="19"/>
      <c r="BQ505" s="19"/>
      <c r="BR505" s="19"/>
      <c r="BS505" s="19"/>
      <c r="BT505" s="19"/>
      <c r="BU505" s="19"/>
      <c r="BV505" s="19"/>
      <c r="BW505" s="19"/>
      <c r="BX505" s="19"/>
      <c r="BY505" s="19"/>
      <c r="BZ505" s="19"/>
      <c r="CA505" s="19"/>
      <c r="CB505" s="19"/>
      <c r="CC505" s="19"/>
      <c r="CD505" s="19"/>
      <c r="CE505" s="19"/>
      <c r="CF505" s="19"/>
      <c r="CG505" s="19"/>
      <c r="CH505" s="19"/>
      <c r="CI505" s="19"/>
      <c r="CJ505" s="19"/>
      <c r="CK505" s="19"/>
      <c r="CL505" s="19"/>
      <c r="CM505" s="19"/>
      <c r="CN505" s="19"/>
      <c r="CO505" s="19"/>
      <c r="CP505" s="19"/>
      <c r="CQ505" s="19"/>
      <c r="CR505" s="19"/>
      <c r="CS505" s="19"/>
      <c r="CT505" s="19"/>
      <c r="CU505" s="19"/>
      <c r="CV505" s="19"/>
      <c r="CW505" s="19"/>
      <c r="CX505" s="19"/>
      <c r="CY505" s="19"/>
      <c r="CZ505" s="19"/>
      <c r="DA505" s="19"/>
      <c r="DB505" s="19"/>
      <c r="DC505" s="19"/>
      <c r="DD505" s="19"/>
      <c r="DE505" s="19"/>
      <c r="DF505" s="19"/>
      <c r="DG505" s="19"/>
      <c r="DH505" s="19"/>
      <c r="DI505" s="19"/>
      <c r="DJ505" s="19"/>
      <c r="DK505" s="19"/>
      <c r="DL505" s="19"/>
      <c r="DM505" s="19"/>
      <c r="DN505" s="19"/>
      <c r="DO505" s="19"/>
      <c r="DP505" s="19"/>
      <c r="DQ505" s="19"/>
      <c r="DR505" s="19"/>
      <c r="DS505" s="19"/>
      <c r="DT505" s="19"/>
      <c r="DU505" s="19"/>
      <c r="DV505" s="19"/>
      <c r="DW505" s="19"/>
      <c r="DX505" s="19"/>
      <c r="DY505" s="19"/>
      <c r="DZ505" s="19"/>
      <c r="EA505" s="19"/>
      <c r="EB505" s="19"/>
      <c r="EC505" s="19"/>
      <c r="ED505" s="19"/>
      <c r="EE505" s="19"/>
      <c r="EF505" s="19"/>
      <c r="EG505" s="19"/>
      <c r="EH505" s="19"/>
      <c r="EI505" s="19"/>
      <c r="EJ505" s="19"/>
      <c r="EK505" s="19"/>
      <c r="EL505" s="19"/>
      <c r="EM505" s="19"/>
      <c r="EN505" s="19"/>
      <c r="EO505" s="19"/>
      <c r="EP505" s="19"/>
      <c r="EQ505" s="19"/>
      <c r="ER505" s="19"/>
      <c r="ES505" s="19"/>
      <c r="ET505" s="19"/>
      <c r="EU505" s="19"/>
      <c r="EV505" s="19"/>
      <c r="EW505" s="19"/>
      <c r="EX505" s="19"/>
      <c r="EY505" s="19"/>
      <c r="EZ505" s="19"/>
      <c r="FA505" s="19"/>
      <c r="FB505" s="19"/>
      <c r="FC505" s="19"/>
      <c r="FD505" s="19"/>
      <c r="FE505" s="19"/>
      <c r="FF505" s="19"/>
      <c r="FG505" s="19"/>
      <c r="FH505" s="19"/>
      <c r="FI505" s="19"/>
      <c r="FJ505" s="19"/>
      <c r="FK505" s="19"/>
      <c r="FL505" s="19"/>
      <c r="FM505" s="19"/>
      <c r="FN505" s="19"/>
      <c r="FO505" s="19"/>
      <c r="FP505" s="19"/>
      <c r="FQ505" s="19"/>
      <c r="FR505" s="19"/>
      <c r="FS505" s="19"/>
      <c r="FT505" s="19"/>
      <c r="FU505" s="19"/>
      <c r="FV505" s="19"/>
      <c r="FW505" s="19"/>
      <c r="FX505" s="19"/>
      <c r="FY505" s="19"/>
      <c r="FZ505" s="19"/>
      <c r="GA505" s="19"/>
      <c r="GB505" s="19"/>
      <c r="GC505" s="19"/>
      <c r="GD505" s="19"/>
      <c r="GE505" s="19"/>
      <c r="GF505" s="19"/>
      <c r="GG505" s="19"/>
      <c r="GH505" s="19"/>
      <c r="GI505" s="19"/>
      <c r="GJ505" s="19"/>
      <c r="GK505" s="19"/>
      <c r="GL505" s="19"/>
      <c r="GM505" s="19"/>
      <c r="GN505" s="19"/>
      <c r="GO505" s="19"/>
      <c r="GP505" s="19"/>
      <c r="GQ505" s="19"/>
      <c r="GR505" s="19"/>
      <c r="GS505" s="19"/>
      <c r="GT505" s="19"/>
      <c r="GU505" s="19"/>
      <c r="GV505" s="19"/>
      <c r="GW505" s="19"/>
      <c r="GX505" s="19"/>
      <c r="GY505" s="19"/>
      <c r="GZ505" s="19"/>
      <c r="HA505" s="19"/>
      <c r="HB505" s="19"/>
    </row>
    <row r="506" spans="1:210" x14ac:dyDescent="0.25">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c r="BE506" s="19"/>
      <c r="BF506" s="19"/>
      <c r="BG506" s="19"/>
      <c r="BH506" s="19"/>
      <c r="BI506" s="19"/>
      <c r="BJ506" s="19"/>
      <c r="BK506" s="19"/>
      <c r="BL506" s="19"/>
      <c r="BM506" s="19"/>
      <c r="BN506" s="19"/>
      <c r="BO506" s="19"/>
      <c r="BP506" s="19"/>
      <c r="BQ506" s="19"/>
      <c r="BR506" s="19"/>
      <c r="BS506" s="19"/>
      <c r="BT506" s="19"/>
      <c r="BU506" s="19"/>
      <c r="BV506" s="19"/>
      <c r="BW506" s="19"/>
      <c r="BX506" s="19"/>
      <c r="BY506" s="19"/>
      <c r="BZ506" s="19"/>
      <c r="CA506" s="19"/>
      <c r="CB506" s="19"/>
      <c r="CC506" s="19"/>
      <c r="CD506" s="19"/>
      <c r="CE506" s="19"/>
      <c r="CF506" s="19"/>
      <c r="CG506" s="19"/>
      <c r="CH506" s="19"/>
      <c r="CI506" s="19"/>
      <c r="CJ506" s="19"/>
      <c r="CK506" s="19"/>
      <c r="CL506" s="19"/>
      <c r="CM506" s="19"/>
      <c r="CN506" s="19"/>
      <c r="CO506" s="19"/>
      <c r="CP506" s="19"/>
      <c r="CQ506" s="19"/>
      <c r="CR506" s="19"/>
      <c r="CS506" s="19"/>
      <c r="CT506" s="19"/>
      <c r="CU506" s="19"/>
      <c r="CV506" s="19"/>
      <c r="CW506" s="19"/>
      <c r="CX506" s="19"/>
      <c r="CY506" s="19"/>
      <c r="CZ506" s="19"/>
      <c r="DA506" s="19"/>
      <c r="DB506" s="19"/>
      <c r="DC506" s="19"/>
      <c r="DD506" s="19"/>
      <c r="DE506" s="19"/>
      <c r="DF506" s="19"/>
      <c r="DG506" s="19"/>
      <c r="DH506" s="19"/>
      <c r="DI506" s="19"/>
      <c r="DJ506" s="19"/>
      <c r="DK506" s="19"/>
      <c r="DL506" s="19"/>
      <c r="DM506" s="19"/>
      <c r="DN506" s="19"/>
      <c r="DO506" s="19"/>
      <c r="DP506" s="19"/>
      <c r="DQ506" s="19"/>
      <c r="DR506" s="19"/>
      <c r="DS506" s="19"/>
      <c r="DT506" s="19"/>
      <c r="DU506" s="19"/>
      <c r="DV506" s="19"/>
      <c r="DW506" s="19"/>
      <c r="DX506" s="19"/>
      <c r="DY506" s="19"/>
      <c r="DZ506" s="19"/>
      <c r="EA506" s="19"/>
      <c r="EB506" s="19"/>
      <c r="EC506" s="19"/>
      <c r="ED506" s="19"/>
      <c r="EE506" s="19"/>
      <c r="EF506" s="19"/>
      <c r="EG506" s="19"/>
      <c r="EH506" s="19"/>
      <c r="EI506" s="19"/>
      <c r="EJ506" s="19"/>
      <c r="EK506" s="19"/>
      <c r="EL506" s="19"/>
      <c r="EM506" s="19"/>
      <c r="EN506" s="19"/>
      <c r="EO506" s="19"/>
      <c r="EP506" s="19"/>
      <c r="EQ506" s="19"/>
      <c r="ER506" s="19"/>
      <c r="ES506" s="19"/>
      <c r="ET506" s="19"/>
      <c r="EU506" s="19"/>
      <c r="EV506" s="19"/>
      <c r="EW506" s="19"/>
      <c r="EX506" s="19"/>
      <c r="EY506" s="19"/>
      <c r="EZ506" s="19"/>
      <c r="FA506" s="19"/>
      <c r="FB506" s="19"/>
      <c r="FC506" s="19"/>
      <c r="FD506" s="19"/>
      <c r="FE506" s="19"/>
      <c r="FF506" s="19"/>
      <c r="FG506" s="19"/>
      <c r="FH506" s="19"/>
      <c r="FI506" s="19"/>
      <c r="FJ506" s="19"/>
      <c r="FK506" s="19"/>
      <c r="FL506" s="19"/>
      <c r="FM506" s="19"/>
      <c r="FN506" s="19"/>
      <c r="FO506" s="19"/>
      <c r="FP506" s="19"/>
      <c r="FQ506" s="19"/>
      <c r="FR506" s="19"/>
      <c r="FS506" s="19"/>
      <c r="FT506" s="19"/>
      <c r="FU506" s="19"/>
      <c r="FV506" s="19"/>
      <c r="FW506" s="19"/>
      <c r="FX506" s="19"/>
      <c r="FY506" s="19"/>
      <c r="FZ506" s="19"/>
      <c r="GA506" s="19"/>
      <c r="GB506" s="19"/>
      <c r="GC506" s="19"/>
      <c r="GD506" s="19"/>
      <c r="GE506" s="19"/>
      <c r="GF506" s="19"/>
      <c r="GG506" s="19"/>
      <c r="GH506" s="19"/>
      <c r="GI506" s="19"/>
      <c r="GJ506" s="19"/>
      <c r="GK506" s="19"/>
      <c r="GL506" s="19"/>
      <c r="GM506" s="19"/>
      <c r="GN506" s="19"/>
      <c r="GO506" s="19"/>
      <c r="GP506" s="19"/>
      <c r="GQ506" s="19"/>
      <c r="GR506" s="19"/>
      <c r="GS506" s="19"/>
      <c r="GT506" s="19"/>
      <c r="GU506" s="19"/>
      <c r="GV506" s="19"/>
      <c r="GW506" s="19"/>
      <c r="GX506" s="19"/>
      <c r="GY506" s="19"/>
      <c r="GZ506" s="19"/>
      <c r="HA506" s="19"/>
      <c r="HB506" s="19"/>
    </row>
    <row r="507" spans="1:210" x14ac:dyDescent="0.25">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c r="BE507" s="19"/>
      <c r="BF507" s="19"/>
      <c r="BG507" s="19"/>
      <c r="BH507" s="19"/>
      <c r="BI507" s="19"/>
      <c r="BJ507" s="19"/>
      <c r="BK507" s="19"/>
      <c r="BL507" s="19"/>
      <c r="BM507" s="19"/>
      <c r="BN507" s="19"/>
      <c r="BO507" s="19"/>
      <c r="BP507" s="19"/>
      <c r="BQ507" s="19"/>
      <c r="BR507" s="19"/>
      <c r="BS507" s="19"/>
      <c r="BT507" s="19"/>
      <c r="BU507" s="19"/>
      <c r="BV507" s="19"/>
      <c r="BW507" s="19"/>
      <c r="BX507" s="19"/>
      <c r="BY507" s="19"/>
      <c r="BZ507" s="19"/>
      <c r="CA507" s="19"/>
      <c r="CB507" s="19"/>
      <c r="CC507" s="19"/>
      <c r="CD507" s="19"/>
      <c r="CE507" s="19"/>
      <c r="CF507" s="19"/>
      <c r="CG507" s="19"/>
      <c r="CH507" s="19"/>
      <c r="CI507" s="19"/>
      <c r="CJ507" s="19"/>
      <c r="CK507" s="19"/>
      <c r="CL507" s="19"/>
      <c r="CM507" s="19"/>
      <c r="CN507" s="19"/>
      <c r="CO507" s="19"/>
      <c r="CP507" s="19"/>
      <c r="CQ507" s="19"/>
      <c r="CR507" s="19"/>
      <c r="CS507" s="19"/>
      <c r="CT507" s="19"/>
      <c r="CU507" s="19"/>
      <c r="CV507" s="19"/>
      <c r="CW507" s="19"/>
      <c r="CX507" s="19"/>
      <c r="CY507" s="19"/>
      <c r="CZ507" s="19"/>
      <c r="DA507" s="19"/>
      <c r="DB507" s="19"/>
      <c r="DC507" s="19"/>
      <c r="DD507" s="19"/>
      <c r="DE507" s="19"/>
      <c r="DF507" s="19"/>
      <c r="DG507" s="19"/>
      <c r="DH507" s="19"/>
      <c r="DI507" s="19"/>
      <c r="DJ507" s="19"/>
      <c r="DK507" s="19"/>
      <c r="DL507" s="19"/>
      <c r="DM507" s="19"/>
      <c r="DN507" s="19"/>
      <c r="DO507" s="19"/>
      <c r="DP507" s="19"/>
      <c r="DQ507" s="19"/>
      <c r="DR507" s="19"/>
      <c r="DS507" s="19"/>
      <c r="DT507" s="19"/>
      <c r="DU507" s="19"/>
      <c r="DV507" s="19"/>
      <c r="DW507" s="19"/>
      <c r="DX507" s="19"/>
      <c r="DY507" s="19"/>
      <c r="DZ507" s="19"/>
      <c r="EA507" s="19"/>
      <c r="EB507" s="19"/>
      <c r="EC507" s="19"/>
      <c r="ED507" s="19"/>
      <c r="EE507" s="19"/>
      <c r="EF507" s="19"/>
      <c r="EG507" s="19"/>
      <c r="EH507" s="19"/>
      <c r="EI507" s="19"/>
      <c r="EJ507" s="19"/>
      <c r="EK507" s="19"/>
      <c r="EL507" s="19"/>
      <c r="EM507" s="19"/>
      <c r="EN507" s="19"/>
      <c r="EO507" s="19"/>
      <c r="EP507" s="19"/>
      <c r="EQ507" s="19"/>
      <c r="ER507" s="19"/>
      <c r="ES507" s="19"/>
      <c r="ET507" s="19"/>
      <c r="EU507" s="19"/>
      <c r="EV507" s="19"/>
      <c r="EW507" s="19"/>
      <c r="EX507" s="19"/>
      <c r="EY507" s="19"/>
      <c r="EZ507" s="19"/>
      <c r="FA507" s="19"/>
      <c r="FB507" s="19"/>
      <c r="FC507" s="19"/>
      <c r="FD507" s="19"/>
      <c r="FE507" s="19"/>
      <c r="FF507" s="19"/>
      <c r="FG507" s="19"/>
      <c r="FH507" s="19"/>
      <c r="FI507" s="19"/>
      <c r="FJ507" s="19"/>
      <c r="FK507" s="19"/>
      <c r="FL507" s="19"/>
      <c r="FM507" s="19"/>
      <c r="FN507" s="19"/>
      <c r="FO507" s="19"/>
      <c r="FP507" s="19"/>
      <c r="FQ507" s="19"/>
      <c r="FR507" s="19"/>
      <c r="FS507" s="19"/>
      <c r="FT507" s="19"/>
      <c r="FU507" s="19"/>
      <c r="FV507" s="19"/>
      <c r="FW507" s="19"/>
      <c r="FX507" s="19"/>
      <c r="FY507" s="19"/>
      <c r="FZ507" s="19"/>
      <c r="GA507" s="19"/>
      <c r="GB507" s="19"/>
      <c r="GC507" s="19"/>
      <c r="GD507" s="19"/>
      <c r="GE507" s="19"/>
      <c r="GF507" s="19"/>
      <c r="GG507" s="19"/>
      <c r="GH507" s="19"/>
      <c r="GI507" s="19"/>
      <c r="GJ507" s="19"/>
      <c r="GK507" s="19"/>
      <c r="GL507" s="19"/>
      <c r="GM507" s="19"/>
      <c r="GN507" s="19"/>
      <c r="GO507" s="19"/>
      <c r="GP507" s="19"/>
      <c r="GQ507" s="19"/>
      <c r="GR507" s="19"/>
      <c r="GS507" s="19"/>
      <c r="GT507" s="19"/>
      <c r="GU507" s="19"/>
      <c r="GV507" s="19"/>
      <c r="GW507" s="19"/>
      <c r="GX507" s="19"/>
      <c r="GY507" s="19"/>
      <c r="GZ507" s="19"/>
      <c r="HA507" s="19"/>
      <c r="HB507" s="19"/>
    </row>
    <row r="508" spans="1:210" x14ac:dyDescent="0.25">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c r="BE508" s="19"/>
      <c r="BF508" s="19"/>
      <c r="BG508" s="19"/>
      <c r="BH508" s="19"/>
      <c r="BI508" s="19"/>
      <c r="BJ508" s="19"/>
      <c r="BK508" s="19"/>
      <c r="BL508" s="19"/>
      <c r="BM508" s="19"/>
      <c r="BN508" s="19"/>
      <c r="BO508" s="19"/>
      <c r="BP508" s="19"/>
      <c r="BQ508" s="19"/>
      <c r="BR508" s="19"/>
      <c r="BS508" s="19"/>
      <c r="BT508" s="19"/>
      <c r="BU508" s="19"/>
      <c r="BV508" s="19"/>
      <c r="BW508" s="19"/>
      <c r="BX508" s="19"/>
      <c r="BY508" s="19"/>
      <c r="BZ508" s="19"/>
      <c r="CA508" s="19"/>
      <c r="CB508" s="19"/>
      <c r="CC508" s="19"/>
      <c r="CD508" s="19"/>
      <c r="CE508" s="19"/>
      <c r="CF508" s="19"/>
      <c r="CG508" s="19"/>
      <c r="CH508" s="19"/>
      <c r="CI508" s="19"/>
      <c r="CJ508" s="19"/>
      <c r="CK508" s="19"/>
      <c r="CL508" s="19"/>
      <c r="CM508" s="19"/>
      <c r="CN508" s="19"/>
      <c r="CO508" s="19"/>
      <c r="CP508" s="19"/>
      <c r="CQ508" s="19"/>
      <c r="CR508" s="19"/>
      <c r="CS508" s="19"/>
      <c r="CT508" s="19"/>
      <c r="CU508" s="19"/>
      <c r="CV508" s="19"/>
      <c r="CW508" s="19"/>
      <c r="CX508" s="19"/>
      <c r="CY508" s="19"/>
      <c r="CZ508" s="19"/>
      <c r="DA508" s="19"/>
      <c r="DB508" s="19"/>
      <c r="DC508" s="19"/>
      <c r="DD508" s="19"/>
      <c r="DE508" s="19"/>
      <c r="DF508" s="19"/>
      <c r="DG508" s="19"/>
      <c r="DH508" s="19"/>
      <c r="DI508" s="19"/>
      <c r="DJ508" s="19"/>
      <c r="DK508" s="19"/>
      <c r="DL508" s="19"/>
      <c r="DM508" s="19"/>
      <c r="DN508" s="19"/>
      <c r="DO508" s="19"/>
      <c r="DP508" s="19"/>
      <c r="DQ508" s="19"/>
      <c r="DR508" s="19"/>
      <c r="DS508" s="19"/>
      <c r="DT508" s="19"/>
      <c r="DU508" s="19"/>
      <c r="DV508" s="19"/>
      <c r="DW508" s="19"/>
      <c r="DX508" s="19"/>
      <c r="DY508" s="19"/>
      <c r="DZ508" s="19"/>
      <c r="EA508" s="19"/>
      <c r="EB508" s="19"/>
      <c r="EC508" s="19"/>
      <c r="ED508" s="19"/>
      <c r="EE508" s="19"/>
      <c r="EF508" s="19"/>
      <c r="EG508" s="19"/>
      <c r="EH508" s="19"/>
      <c r="EI508" s="19"/>
      <c r="EJ508" s="19"/>
      <c r="EK508" s="19"/>
      <c r="EL508" s="19"/>
      <c r="EM508" s="19"/>
      <c r="EN508" s="19"/>
      <c r="EO508" s="19"/>
      <c r="EP508" s="19"/>
      <c r="EQ508" s="19"/>
      <c r="ER508" s="19"/>
      <c r="ES508" s="19"/>
      <c r="ET508" s="19"/>
      <c r="EU508" s="19"/>
      <c r="EV508" s="19"/>
      <c r="EW508" s="19"/>
      <c r="EX508" s="19"/>
      <c r="EY508" s="19"/>
      <c r="EZ508" s="19"/>
      <c r="FA508" s="19"/>
      <c r="FB508" s="19"/>
      <c r="FC508" s="19"/>
      <c r="FD508" s="19"/>
      <c r="FE508" s="19"/>
      <c r="FF508" s="19"/>
      <c r="FG508" s="19"/>
      <c r="FH508" s="19"/>
      <c r="FI508" s="19"/>
      <c r="FJ508" s="19"/>
      <c r="FK508" s="19"/>
      <c r="FL508" s="19"/>
      <c r="FM508" s="19"/>
      <c r="FN508" s="19"/>
      <c r="FO508" s="19"/>
      <c r="FP508" s="19"/>
      <c r="FQ508" s="19"/>
      <c r="FR508" s="19"/>
      <c r="FS508" s="19"/>
      <c r="FT508" s="19"/>
      <c r="FU508" s="19"/>
      <c r="FV508" s="19"/>
      <c r="FW508" s="19"/>
      <c r="FX508" s="19"/>
      <c r="FY508" s="19"/>
      <c r="FZ508" s="19"/>
      <c r="GA508" s="19"/>
      <c r="GB508" s="19"/>
      <c r="GC508" s="19"/>
      <c r="GD508" s="19"/>
      <c r="GE508" s="19"/>
      <c r="GF508" s="19"/>
      <c r="GG508" s="19"/>
      <c r="GH508" s="19"/>
      <c r="GI508" s="19"/>
      <c r="GJ508" s="19"/>
      <c r="GK508" s="19"/>
      <c r="GL508" s="19"/>
      <c r="GM508" s="19"/>
      <c r="GN508" s="19"/>
      <c r="GO508" s="19"/>
      <c r="GP508" s="19"/>
      <c r="GQ508" s="19"/>
      <c r="GR508" s="19"/>
      <c r="GS508" s="19"/>
      <c r="GT508" s="19"/>
      <c r="GU508" s="19"/>
      <c r="GV508" s="19"/>
      <c r="GW508" s="19"/>
      <c r="GX508" s="19"/>
      <c r="GY508" s="19"/>
      <c r="GZ508" s="19"/>
      <c r="HA508" s="19"/>
      <c r="HB508" s="19"/>
    </row>
    <row r="509" spans="1:210" x14ac:dyDescent="0.25">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c r="BE509" s="19"/>
      <c r="BF509" s="19"/>
      <c r="BG509" s="19"/>
      <c r="BH509" s="19"/>
      <c r="BI509" s="19"/>
      <c r="BJ509" s="19"/>
      <c r="BK509" s="19"/>
      <c r="BL509" s="19"/>
      <c r="BM509" s="19"/>
      <c r="BN509" s="19"/>
      <c r="BO509" s="19"/>
      <c r="BP509" s="19"/>
      <c r="BQ509" s="19"/>
      <c r="BR509" s="19"/>
      <c r="BS509" s="19"/>
      <c r="BT509" s="19"/>
      <c r="BU509" s="19"/>
      <c r="BV509" s="19"/>
      <c r="BW509" s="19"/>
      <c r="BX509" s="19"/>
      <c r="BY509" s="19"/>
      <c r="BZ509" s="19"/>
      <c r="CA509" s="19"/>
      <c r="CB509" s="19"/>
      <c r="CC509" s="19"/>
      <c r="CD509" s="19"/>
      <c r="CE509" s="19"/>
      <c r="CF509" s="19"/>
      <c r="CG509" s="19"/>
      <c r="CH509" s="19"/>
      <c r="CI509" s="19"/>
      <c r="CJ509" s="19"/>
      <c r="CK509" s="19"/>
      <c r="CL509" s="19"/>
      <c r="CM509" s="19"/>
      <c r="CN509" s="19"/>
      <c r="CO509" s="19"/>
      <c r="CP509" s="19"/>
      <c r="CQ509" s="19"/>
      <c r="CR509" s="19"/>
      <c r="CS509" s="19"/>
      <c r="CT509" s="19"/>
      <c r="CU509" s="19"/>
      <c r="CV509" s="19"/>
      <c r="CW509" s="19"/>
      <c r="CX509" s="19"/>
      <c r="CY509" s="19"/>
      <c r="CZ509" s="19"/>
      <c r="DA509" s="19"/>
      <c r="DB509" s="19"/>
      <c r="DC509" s="19"/>
      <c r="DD509" s="19"/>
      <c r="DE509" s="19"/>
      <c r="DF509" s="19"/>
      <c r="DG509" s="19"/>
      <c r="DH509" s="19"/>
      <c r="DI509" s="19"/>
      <c r="DJ509" s="19"/>
      <c r="DK509" s="19"/>
      <c r="DL509" s="19"/>
      <c r="DM509" s="19"/>
      <c r="DN509" s="19"/>
      <c r="DO509" s="19"/>
      <c r="DP509" s="19"/>
      <c r="DQ509" s="19"/>
      <c r="DR509" s="19"/>
      <c r="DS509" s="19"/>
      <c r="DT509" s="19"/>
      <c r="DU509" s="19"/>
      <c r="DV509" s="19"/>
      <c r="DW509" s="19"/>
      <c r="DX509" s="19"/>
      <c r="DY509" s="19"/>
      <c r="DZ509" s="19"/>
      <c r="EA509" s="19"/>
      <c r="EB509" s="19"/>
      <c r="EC509" s="19"/>
      <c r="ED509" s="19"/>
      <c r="EE509" s="19"/>
      <c r="EF509" s="19"/>
      <c r="EG509" s="19"/>
      <c r="EH509" s="19"/>
      <c r="EI509" s="19"/>
      <c r="EJ509" s="19"/>
      <c r="EK509" s="19"/>
      <c r="EL509" s="19"/>
      <c r="EM509" s="19"/>
      <c r="EN509" s="19"/>
      <c r="EO509" s="19"/>
      <c r="EP509" s="19"/>
      <c r="EQ509" s="19"/>
      <c r="ER509" s="19"/>
      <c r="ES509" s="19"/>
      <c r="ET509" s="19"/>
      <c r="EU509" s="19"/>
      <c r="EV509" s="19"/>
      <c r="EW509" s="19"/>
      <c r="EX509" s="19"/>
      <c r="EY509" s="19"/>
      <c r="EZ509" s="19"/>
      <c r="FA509" s="19"/>
      <c r="FB509" s="19"/>
      <c r="FC509" s="19"/>
      <c r="FD509" s="19"/>
      <c r="FE509" s="19"/>
      <c r="FF509" s="19"/>
      <c r="FG509" s="19"/>
      <c r="FH509" s="19"/>
      <c r="FI509" s="19"/>
      <c r="FJ509" s="19"/>
      <c r="FK509" s="19"/>
      <c r="FL509" s="19"/>
      <c r="FM509" s="19"/>
      <c r="FN509" s="19"/>
      <c r="FO509" s="19"/>
      <c r="FP509" s="19"/>
      <c r="FQ509" s="19"/>
      <c r="FR509" s="19"/>
      <c r="FS509" s="19"/>
      <c r="FT509" s="19"/>
      <c r="FU509" s="19"/>
      <c r="FV509" s="19"/>
      <c r="FW509" s="19"/>
      <c r="FX509" s="19"/>
      <c r="FY509" s="19"/>
      <c r="FZ509" s="19"/>
      <c r="GA509" s="19"/>
      <c r="GB509" s="19"/>
      <c r="GC509" s="19"/>
      <c r="GD509" s="19"/>
      <c r="GE509" s="19"/>
      <c r="GF509" s="19"/>
      <c r="GG509" s="19"/>
      <c r="GH509" s="19"/>
      <c r="GI509" s="19"/>
      <c r="GJ509" s="19"/>
      <c r="GK509" s="19"/>
      <c r="GL509" s="19"/>
      <c r="GM509" s="19"/>
      <c r="GN509" s="19"/>
      <c r="GO509" s="19"/>
      <c r="GP509" s="19"/>
      <c r="GQ509" s="19"/>
      <c r="GR509" s="19"/>
      <c r="GS509" s="19"/>
      <c r="GT509" s="19"/>
      <c r="GU509" s="19"/>
      <c r="GV509" s="19"/>
      <c r="GW509" s="19"/>
      <c r="GX509" s="19"/>
      <c r="GY509" s="19"/>
      <c r="GZ509" s="19"/>
      <c r="HA509" s="19"/>
      <c r="HB509" s="19"/>
    </row>
    <row r="510" spans="1:210" x14ac:dyDescent="0.25">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c r="BE510" s="19"/>
      <c r="BF510" s="19"/>
      <c r="BG510" s="19"/>
      <c r="BH510" s="19"/>
      <c r="BI510" s="19"/>
      <c r="BJ510" s="19"/>
      <c r="BK510" s="19"/>
      <c r="BL510" s="19"/>
      <c r="BM510" s="19"/>
      <c r="BN510" s="19"/>
      <c r="BO510" s="19"/>
      <c r="BP510" s="19"/>
      <c r="BQ510" s="19"/>
      <c r="BR510" s="19"/>
      <c r="BS510" s="19"/>
      <c r="BT510" s="19"/>
      <c r="BU510" s="19"/>
      <c r="BV510" s="19"/>
      <c r="BW510" s="19"/>
      <c r="BX510" s="19"/>
      <c r="BY510" s="19"/>
      <c r="BZ510" s="19"/>
      <c r="CA510" s="19"/>
      <c r="CB510" s="19"/>
      <c r="CC510" s="19"/>
      <c r="CD510" s="19"/>
      <c r="CE510" s="19"/>
      <c r="CF510" s="19"/>
      <c r="CG510" s="19"/>
      <c r="CH510" s="19"/>
      <c r="CI510" s="19"/>
      <c r="CJ510" s="19"/>
      <c r="CK510" s="19"/>
      <c r="CL510" s="19"/>
      <c r="CM510" s="19"/>
      <c r="CN510" s="19"/>
      <c r="CO510" s="19"/>
      <c r="CP510" s="19"/>
      <c r="CQ510" s="19"/>
      <c r="CR510" s="19"/>
      <c r="CS510" s="19"/>
      <c r="CT510" s="19"/>
      <c r="CU510" s="19"/>
      <c r="CV510" s="19"/>
      <c r="CW510" s="19"/>
      <c r="CX510" s="19"/>
      <c r="CY510" s="19"/>
      <c r="CZ510" s="19"/>
      <c r="DA510" s="19"/>
      <c r="DB510" s="19"/>
      <c r="DC510" s="19"/>
      <c r="DD510" s="19"/>
      <c r="DE510" s="19"/>
      <c r="DF510" s="19"/>
      <c r="DG510" s="19"/>
      <c r="DH510" s="19"/>
      <c r="DI510" s="19"/>
      <c r="DJ510" s="19"/>
      <c r="DK510" s="19"/>
      <c r="DL510" s="19"/>
      <c r="DM510" s="19"/>
      <c r="DN510" s="19"/>
      <c r="DO510" s="19"/>
      <c r="DP510" s="19"/>
      <c r="DQ510" s="19"/>
      <c r="DR510" s="19"/>
      <c r="DS510" s="19"/>
      <c r="DT510" s="19"/>
      <c r="DU510" s="19"/>
      <c r="DV510" s="19"/>
      <c r="DW510" s="19"/>
      <c r="DX510" s="19"/>
      <c r="DY510" s="19"/>
      <c r="DZ510" s="19"/>
      <c r="EA510" s="19"/>
      <c r="EB510" s="19"/>
      <c r="EC510" s="19"/>
      <c r="ED510" s="19"/>
      <c r="EE510" s="19"/>
      <c r="EF510" s="19"/>
      <c r="EG510" s="19"/>
      <c r="EH510" s="19"/>
      <c r="EI510" s="19"/>
      <c r="EJ510" s="19"/>
      <c r="EK510" s="19"/>
      <c r="EL510" s="19"/>
      <c r="EM510" s="19"/>
      <c r="EN510" s="19"/>
      <c r="EO510" s="19"/>
      <c r="EP510" s="19"/>
      <c r="EQ510" s="19"/>
      <c r="ER510" s="19"/>
      <c r="ES510" s="19"/>
      <c r="ET510" s="19"/>
      <c r="EU510" s="19"/>
      <c r="EV510" s="19"/>
      <c r="EW510" s="19"/>
      <c r="EX510" s="19"/>
      <c r="EY510" s="19"/>
      <c r="EZ510" s="19"/>
      <c r="FA510" s="19"/>
      <c r="FB510" s="19"/>
      <c r="FC510" s="19"/>
      <c r="FD510" s="19"/>
      <c r="FE510" s="19"/>
      <c r="FF510" s="19"/>
      <c r="FG510" s="19"/>
      <c r="FH510" s="19"/>
      <c r="FI510" s="19"/>
      <c r="FJ510" s="19"/>
      <c r="FK510" s="19"/>
      <c r="FL510" s="19"/>
      <c r="FM510" s="19"/>
      <c r="FN510" s="19"/>
      <c r="FO510" s="19"/>
      <c r="FP510" s="19"/>
      <c r="FQ510" s="19"/>
      <c r="FR510" s="19"/>
      <c r="FS510" s="19"/>
      <c r="FT510" s="19"/>
      <c r="FU510" s="19"/>
      <c r="FV510" s="19"/>
      <c r="FW510" s="19"/>
      <c r="FX510" s="19"/>
      <c r="FY510" s="19"/>
      <c r="FZ510" s="19"/>
      <c r="GA510" s="19"/>
      <c r="GB510" s="19"/>
      <c r="GC510" s="19"/>
      <c r="GD510" s="19"/>
      <c r="GE510" s="19"/>
      <c r="GF510" s="19"/>
      <c r="GG510" s="19"/>
      <c r="GH510" s="19"/>
      <c r="GI510" s="19"/>
      <c r="GJ510" s="19"/>
      <c r="GK510" s="19"/>
      <c r="GL510" s="19"/>
      <c r="GM510" s="19"/>
      <c r="GN510" s="19"/>
      <c r="GO510" s="19"/>
      <c r="GP510" s="19"/>
      <c r="GQ510" s="19"/>
      <c r="GR510" s="19"/>
      <c r="GS510" s="19"/>
      <c r="GT510" s="19"/>
      <c r="GU510" s="19"/>
      <c r="GV510" s="19"/>
      <c r="GW510" s="19"/>
      <c r="GX510" s="19"/>
      <c r="GY510" s="19"/>
      <c r="GZ510" s="19"/>
      <c r="HA510" s="19"/>
      <c r="HB510" s="19"/>
    </row>
    <row r="511" spans="1:210" x14ac:dyDescent="0.25">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c r="BE511" s="19"/>
      <c r="BF511" s="19"/>
      <c r="BG511" s="19"/>
      <c r="BH511" s="19"/>
      <c r="BI511" s="19"/>
      <c r="BJ511" s="19"/>
      <c r="BK511" s="19"/>
      <c r="BL511" s="19"/>
      <c r="BM511" s="19"/>
      <c r="BN511" s="19"/>
      <c r="BO511" s="19"/>
      <c r="BP511" s="19"/>
      <c r="BQ511" s="19"/>
      <c r="BR511" s="19"/>
      <c r="BS511" s="19"/>
      <c r="BT511" s="19"/>
      <c r="BU511" s="19"/>
      <c r="BV511" s="19"/>
      <c r="BW511" s="19"/>
      <c r="BX511" s="19"/>
      <c r="BY511" s="19"/>
      <c r="BZ511" s="19"/>
      <c r="CA511" s="19"/>
      <c r="CB511" s="19"/>
      <c r="CC511" s="19"/>
      <c r="CD511" s="19"/>
      <c r="CE511" s="19"/>
      <c r="CF511" s="19"/>
      <c r="CG511" s="19"/>
      <c r="CH511" s="19"/>
      <c r="CI511" s="19"/>
      <c r="CJ511" s="19"/>
      <c r="CK511" s="19"/>
      <c r="CL511" s="19"/>
      <c r="CM511" s="19"/>
      <c r="CN511" s="19"/>
      <c r="CO511" s="19"/>
      <c r="CP511" s="19"/>
      <c r="CQ511" s="19"/>
      <c r="CR511" s="19"/>
      <c r="CS511" s="19"/>
      <c r="CT511" s="19"/>
      <c r="CU511" s="19"/>
      <c r="CV511" s="19"/>
      <c r="CW511" s="19"/>
      <c r="CX511" s="19"/>
      <c r="CY511" s="19"/>
      <c r="CZ511" s="19"/>
      <c r="DA511" s="19"/>
      <c r="DB511" s="19"/>
      <c r="DC511" s="19"/>
      <c r="DD511" s="19"/>
      <c r="DE511" s="19"/>
      <c r="DF511" s="19"/>
      <c r="DG511" s="19"/>
      <c r="DH511" s="19"/>
      <c r="DI511" s="19"/>
      <c r="DJ511" s="19"/>
      <c r="DK511" s="19"/>
      <c r="DL511" s="19"/>
      <c r="DM511" s="19"/>
      <c r="DN511" s="19"/>
      <c r="DO511" s="19"/>
      <c r="DP511" s="19"/>
      <c r="DQ511" s="19"/>
      <c r="DR511" s="19"/>
      <c r="DS511" s="19"/>
      <c r="DT511" s="19"/>
      <c r="DU511" s="19"/>
      <c r="DV511" s="19"/>
      <c r="DW511" s="19"/>
      <c r="DX511" s="19"/>
      <c r="DY511" s="19"/>
      <c r="DZ511" s="19"/>
      <c r="EA511" s="19"/>
      <c r="EB511" s="19"/>
      <c r="EC511" s="19"/>
      <c r="ED511" s="19"/>
      <c r="EE511" s="19"/>
      <c r="EF511" s="19"/>
      <c r="EG511" s="19"/>
      <c r="EH511" s="19"/>
      <c r="EI511" s="19"/>
      <c r="EJ511" s="19"/>
      <c r="EK511" s="19"/>
      <c r="EL511" s="19"/>
      <c r="EM511" s="19"/>
      <c r="EN511" s="19"/>
      <c r="EO511" s="19"/>
      <c r="EP511" s="19"/>
      <c r="EQ511" s="19"/>
      <c r="ER511" s="19"/>
      <c r="ES511" s="19"/>
      <c r="ET511" s="19"/>
      <c r="EU511" s="19"/>
      <c r="EV511" s="19"/>
      <c r="EW511" s="19"/>
      <c r="EX511" s="19"/>
      <c r="EY511" s="19"/>
      <c r="EZ511" s="19"/>
      <c r="FA511" s="19"/>
      <c r="FB511" s="19"/>
      <c r="FC511" s="19"/>
      <c r="FD511" s="19"/>
      <c r="FE511" s="19"/>
      <c r="FF511" s="19"/>
      <c r="FG511" s="19"/>
      <c r="FH511" s="19"/>
      <c r="FI511" s="19"/>
      <c r="FJ511" s="19"/>
      <c r="FK511" s="19"/>
      <c r="FL511" s="19"/>
      <c r="FM511" s="19"/>
      <c r="FN511" s="19"/>
      <c r="FO511" s="19"/>
      <c r="FP511" s="19"/>
      <c r="FQ511" s="19"/>
      <c r="FR511" s="19"/>
      <c r="FS511" s="19"/>
      <c r="FT511" s="19"/>
      <c r="FU511" s="19"/>
      <c r="FV511" s="19"/>
      <c r="FW511" s="19"/>
      <c r="FX511" s="19"/>
      <c r="FY511" s="19"/>
      <c r="FZ511" s="19"/>
      <c r="GA511" s="19"/>
      <c r="GB511" s="19"/>
      <c r="GC511" s="19"/>
      <c r="GD511" s="19"/>
      <c r="GE511" s="19"/>
      <c r="GF511" s="19"/>
      <c r="GG511" s="19"/>
      <c r="GH511" s="19"/>
      <c r="GI511" s="19"/>
      <c r="GJ511" s="19"/>
      <c r="GK511" s="19"/>
      <c r="GL511" s="19"/>
      <c r="GM511" s="19"/>
      <c r="GN511" s="19"/>
      <c r="GO511" s="19"/>
      <c r="GP511" s="19"/>
      <c r="GQ511" s="19"/>
      <c r="GR511" s="19"/>
      <c r="GS511" s="19"/>
      <c r="GT511" s="19"/>
      <c r="GU511" s="19"/>
      <c r="GV511" s="19"/>
      <c r="GW511" s="19"/>
      <c r="GX511" s="19"/>
      <c r="GY511" s="19"/>
      <c r="GZ511" s="19"/>
      <c r="HA511" s="19"/>
      <c r="HB511" s="19"/>
    </row>
    <row r="512" spans="1:210" x14ac:dyDescent="0.25">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c r="BE512" s="19"/>
      <c r="BF512" s="19"/>
      <c r="BG512" s="19"/>
      <c r="BH512" s="19"/>
      <c r="BI512" s="19"/>
      <c r="BJ512" s="19"/>
      <c r="BK512" s="19"/>
      <c r="BL512" s="19"/>
      <c r="BM512" s="19"/>
      <c r="BN512" s="19"/>
      <c r="BO512" s="19"/>
      <c r="BP512" s="19"/>
      <c r="BQ512" s="19"/>
      <c r="BR512" s="19"/>
      <c r="BS512" s="19"/>
      <c r="BT512" s="19"/>
      <c r="BU512" s="19"/>
      <c r="BV512" s="19"/>
      <c r="BW512" s="19"/>
      <c r="BX512" s="19"/>
      <c r="BY512" s="19"/>
      <c r="BZ512" s="19"/>
      <c r="CA512" s="19"/>
      <c r="CB512" s="19"/>
      <c r="CC512" s="19"/>
      <c r="CD512" s="19"/>
      <c r="CE512" s="19"/>
      <c r="CF512" s="19"/>
      <c r="CG512" s="19"/>
      <c r="CH512" s="19"/>
      <c r="CI512" s="19"/>
      <c r="CJ512" s="19"/>
      <c r="CK512" s="19"/>
      <c r="CL512" s="19"/>
      <c r="CM512" s="19"/>
      <c r="CN512" s="19"/>
      <c r="CO512" s="19"/>
      <c r="CP512" s="19"/>
      <c r="CQ512" s="19"/>
      <c r="CR512" s="19"/>
      <c r="CS512" s="19"/>
      <c r="CT512" s="19"/>
      <c r="CU512" s="19"/>
      <c r="CV512" s="19"/>
      <c r="CW512" s="19"/>
      <c r="CX512" s="19"/>
      <c r="CY512" s="19"/>
      <c r="CZ512" s="19"/>
      <c r="DA512" s="19"/>
      <c r="DB512" s="19"/>
      <c r="DC512" s="19"/>
      <c r="DD512" s="19"/>
      <c r="DE512" s="19"/>
      <c r="DF512" s="19"/>
      <c r="DG512" s="19"/>
      <c r="DH512" s="19"/>
      <c r="DI512" s="19"/>
      <c r="DJ512" s="19"/>
      <c r="DK512" s="19"/>
      <c r="DL512" s="19"/>
      <c r="DM512" s="19"/>
      <c r="DN512" s="19"/>
      <c r="DO512" s="19"/>
      <c r="DP512" s="19"/>
      <c r="DQ512" s="19"/>
      <c r="DR512" s="19"/>
      <c r="DS512" s="19"/>
      <c r="DT512" s="19"/>
      <c r="DU512" s="19"/>
      <c r="DV512" s="19"/>
      <c r="DW512" s="19"/>
      <c r="DX512" s="19"/>
      <c r="DY512" s="19"/>
      <c r="DZ512" s="19"/>
      <c r="EA512" s="19"/>
      <c r="EB512" s="19"/>
      <c r="EC512" s="19"/>
      <c r="ED512" s="19"/>
      <c r="EE512" s="19"/>
      <c r="EF512" s="19"/>
      <c r="EG512" s="19"/>
      <c r="EH512" s="19"/>
      <c r="EI512" s="19"/>
      <c r="EJ512" s="19"/>
      <c r="EK512" s="19"/>
      <c r="EL512" s="19"/>
      <c r="EM512" s="19"/>
      <c r="EN512" s="19"/>
      <c r="EO512" s="19"/>
      <c r="EP512" s="19"/>
      <c r="EQ512" s="19"/>
      <c r="ER512" s="19"/>
      <c r="ES512" s="19"/>
      <c r="ET512" s="19"/>
      <c r="EU512" s="19"/>
      <c r="EV512" s="19"/>
      <c r="EW512" s="19"/>
      <c r="EX512" s="19"/>
      <c r="EY512" s="19"/>
      <c r="EZ512" s="19"/>
      <c r="FA512" s="19"/>
      <c r="FB512" s="19"/>
      <c r="FC512" s="19"/>
      <c r="FD512" s="19"/>
      <c r="FE512" s="19"/>
      <c r="FF512" s="19"/>
      <c r="FG512" s="19"/>
      <c r="FH512" s="19"/>
      <c r="FI512" s="19"/>
      <c r="FJ512" s="19"/>
      <c r="FK512" s="19"/>
      <c r="FL512" s="19"/>
      <c r="FM512" s="19"/>
      <c r="FN512" s="19"/>
      <c r="FO512" s="19"/>
      <c r="FP512" s="19"/>
      <c r="FQ512" s="19"/>
      <c r="FR512" s="19"/>
      <c r="FS512" s="19"/>
      <c r="FT512" s="19"/>
      <c r="FU512" s="19"/>
      <c r="FV512" s="19"/>
      <c r="FW512" s="19"/>
      <c r="FX512" s="19"/>
      <c r="FY512" s="19"/>
      <c r="FZ512" s="19"/>
      <c r="GA512" s="19"/>
      <c r="GB512" s="19"/>
      <c r="GC512" s="19"/>
      <c r="GD512" s="19"/>
      <c r="GE512" s="19"/>
      <c r="GF512" s="19"/>
      <c r="GG512" s="19"/>
      <c r="GH512" s="19"/>
      <c r="GI512" s="19"/>
      <c r="GJ512" s="19"/>
      <c r="GK512" s="19"/>
      <c r="GL512" s="19"/>
      <c r="GM512" s="19"/>
      <c r="GN512" s="19"/>
      <c r="GO512" s="19"/>
      <c r="GP512" s="19"/>
      <c r="GQ512" s="19"/>
      <c r="GR512" s="19"/>
      <c r="GS512" s="19"/>
      <c r="GT512" s="19"/>
      <c r="GU512" s="19"/>
      <c r="GV512" s="19"/>
      <c r="GW512" s="19"/>
      <c r="GX512" s="19"/>
      <c r="GY512" s="19"/>
      <c r="GZ512" s="19"/>
      <c r="HA512" s="19"/>
      <c r="HB512" s="19"/>
    </row>
    <row r="513" spans="1:210" x14ac:dyDescent="0.25">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c r="BE513" s="19"/>
      <c r="BF513" s="19"/>
      <c r="BG513" s="19"/>
      <c r="BH513" s="19"/>
      <c r="BI513" s="19"/>
      <c r="BJ513" s="19"/>
      <c r="BK513" s="19"/>
      <c r="BL513" s="19"/>
      <c r="BM513" s="19"/>
      <c r="BN513" s="19"/>
      <c r="BO513" s="19"/>
      <c r="BP513" s="19"/>
      <c r="BQ513" s="19"/>
      <c r="BR513" s="19"/>
      <c r="BS513" s="19"/>
      <c r="BT513" s="19"/>
      <c r="BU513" s="19"/>
      <c r="BV513" s="19"/>
      <c r="BW513" s="19"/>
      <c r="BX513" s="19"/>
      <c r="BY513" s="19"/>
      <c r="BZ513" s="19"/>
      <c r="CA513" s="19"/>
      <c r="CB513" s="19"/>
      <c r="CC513" s="19"/>
      <c r="CD513" s="19"/>
      <c r="CE513" s="19"/>
      <c r="CF513" s="19"/>
      <c r="CG513" s="19"/>
      <c r="CH513" s="19"/>
      <c r="CI513" s="19"/>
      <c r="CJ513" s="19"/>
      <c r="CK513" s="19"/>
      <c r="CL513" s="19"/>
      <c r="CM513" s="19"/>
      <c r="CN513" s="19"/>
      <c r="CO513" s="19"/>
      <c r="CP513" s="19"/>
      <c r="CQ513" s="19"/>
      <c r="CR513" s="19"/>
      <c r="CS513" s="19"/>
      <c r="CT513" s="19"/>
      <c r="CU513" s="19"/>
      <c r="CV513" s="19"/>
      <c r="CW513" s="19"/>
      <c r="CX513" s="19"/>
      <c r="CY513" s="19"/>
      <c r="CZ513" s="19"/>
      <c r="DA513" s="19"/>
      <c r="DB513" s="19"/>
      <c r="DC513" s="19"/>
      <c r="DD513" s="19"/>
      <c r="DE513" s="19"/>
      <c r="DF513" s="19"/>
      <c r="DG513" s="19"/>
      <c r="DH513" s="19"/>
      <c r="DI513" s="19"/>
      <c r="DJ513" s="19"/>
      <c r="DK513" s="19"/>
      <c r="DL513" s="19"/>
      <c r="DM513" s="19"/>
      <c r="DN513" s="19"/>
      <c r="DO513" s="19"/>
      <c r="DP513" s="19"/>
      <c r="DQ513" s="19"/>
      <c r="DR513" s="19"/>
      <c r="DS513" s="19"/>
      <c r="DT513" s="19"/>
      <c r="DU513" s="19"/>
      <c r="DV513" s="19"/>
      <c r="DW513" s="19"/>
      <c r="DX513" s="19"/>
      <c r="DY513" s="19"/>
      <c r="DZ513" s="19"/>
      <c r="EA513" s="19"/>
      <c r="EB513" s="19"/>
      <c r="EC513" s="19"/>
      <c r="ED513" s="19"/>
      <c r="EE513" s="19"/>
      <c r="EF513" s="19"/>
      <c r="EG513" s="19"/>
      <c r="EH513" s="19"/>
      <c r="EI513" s="19"/>
      <c r="EJ513" s="19"/>
      <c r="EK513" s="19"/>
      <c r="EL513" s="19"/>
      <c r="EM513" s="19"/>
      <c r="EN513" s="19"/>
      <c r="EO513" s="19"/>
      <c r="EP513" s="19"/>
      <c r="EQ513" s="19"/>
      <c r="ER513" s="19"/>
      <c r="ES513" s="19"/>
      <c r="ET513" s="19"/>
      <c r="EU513" s="19"/>
      <c r="EV513" s="19"/>
      <c r="EW513" s="19"/>
      <c r="EX513" s="19"/>
      <c r="EY513" s="19"/>
      <c r="EZ513" s="19"/>
      <c r="FA513" s="19"/>
      <c r="FB513" s="19"/>
      <c r="FC513" s="19"/>
      <c r="FD513" s="19"/>
      <c r="FE513" s="19"/>
      <c r="FF513" s="19"/>
      <c r="FG513" s="19"/>
      <c r="FH513" s="19"/>
      <c r="FI513" s="19"/>
      <c r="FJ513" s="19"/>
      <c r="FK513" s="19"/>
      <c r="FL513" s="19"/>
      <c r="FM513" s="19"/>
      <c r="FN513" s="19"/>
      <c r="FO513" s="19"/>
      <c r="FP513" s="19"/>
      <c r="FQ513" s="19"/>
      <c r="FR513" s="19"/>
      <c r="FS513" s="19"/>
      <c r="FT513" s="19"/>
      <c r="FU513" s="19"/>
      <c r="FV513" s="19"/>
      <c r="FW513" s="19"/>
      <c r="FX513" s="19"/>
      <c r="FY513" s="19"/>
      <c r="FZ513" s="19"/>
      <c r="GA513" s="19"/>
      <c r="GB513" s="19"/>
      <c r="GC513" s="19"/>
      <c r="GD513" s="19"/>
      <c r="GE513" s="19"/>
      <c r="GF513" s="19"/>
      <c r="GG513" s="19"/>
      <c r="GH513" s="19"/>
      <c r="GI513" s="19"/>
      <c r="GJ513" s="19"/>
      <c r="GK513" s="19"/>
      <c r="GL513" s="19"/>
      <c r="GM513" s="19"/>
      <c r="GN513" s="19"/>
      <c r="GO513" s="19"/>
      <c r="GP513" s="19"/>
      <c r="GQ513" s="19"/>
      <c r="GR513" s="19"/>
      <c r="GS513" s="19"/>
      <c r="GT513" s="19"/>
      <c r="GU513" s="19"/>
      <c r="GV513" s="19"/>
      <c r="GW513" s="19"/>
      <c r="GX513" s="19"/>
      <c r="GY513" s="19"/>
      <c r="GZ513" s="19"/>
      <c r="HA513" s="19"/>
      <c r="HB513" s="19"/>
    </row>
    <row r="514" spans="1:210" x14ac:dyDescent="0.25">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c r="BE514" s="19"/>
      <c r="BF514" s="19"/>
      <c r="BG514" s="19"/>
      <c r="BH514" s="19"/>
      <c r="BI514" s="19"/>
      <c r="BJ514" s="19"/>
      <c r="BK514" s="19"/>
      <c r="BL514" s="19"/>
      <c r="BM514" s="19"/>
      <c r="BN514" s="19"/>
      <c r="BO514" s="19"/>
      <c r="BP514" s="19"/>
      <c r="BQ514" s="19"/>
      <c r="BR514" s="19"/>
      <c r="BS514" s="19"/>
      <c r="BT514" s="19"/>
      <c r="BU514" s="19"/>
      <c r="BV514" s="19"/>
      <c r="BW514" s="19"/>
      <c r="BX514" s="19"/>
      <c r="BY514" s="19"/>
      <c r="BZ514" s="19"/>
      <c r="CA514" s="19"/>
      <c r="CB514" s="19"/>
      <c r="CC514" s="19"/>
      <c r="CD514" s="19"/>
      <c r="CE514" s="19"/>
      <c r="CF514" s="19"/>
      <c r="CG514" s="19"/>
      <c r="CH514" s="19"/>
      <c r="CI514" s="19"/>
      <c r="CJ514" s="19"/>
      <c r="CK514" s="19"/>
      <c r="CL514" s="19"/>
      <c r="CM514" s="19"/>
      <c r="CN514" s="19"/>
      <c r="CO514" s="19"/>
      <c r="CP514" s="19"/>
      <c r="CQ514" s="19"/>
      <c r="CR514" s="19"/>
      <c r="CS514" s="19"/>
      <c r="CT514" s="19"/>
      <c r="CU514" s="19"/>
      <c r="CV514" s="19"/>
      <c r="CW514" s="19"/>
      <c r="CX514" s="19"/>
      <c r="CY514" s="19"/>
      <c r="CZ514" s="19"/>
      <c r="DA514" s="19"/>
      <c r="DB514" s="19"/>
      <c r="DC514" s="19"/>
      <c r="DD514" s="19"/>
      <c r="DE514" s="19"/>
      <c r="DF514" s="19"/>
      <c r="DG514" s="19"/>
      <c r="DH514" s="19"/>
      <c r="DI514" s="19"/>
      <c r="DJ514" s="19"/>
      <c r="DK514" s="19"/>
      <c r="DL514" s="19"/>
      <c r="DM514" s="19"/>
      <c r="DN514" s="19"/>
      <c r="DO514" s="19"/>
      <c r="DP514" s="19"/>
      <c r="DQ514" s="19"/>
      <c r="DR514" s="19"/>
      <c r="DS514" s="19"/>
      <c r="DT514" s="19"/>
      <c r="DU514" s="19"/>
      <c r="DV514" s="19"/>
      <c r="DW514" s="19"/>
      <c r="DX514" s="19"/>
      <c r="DY514" s="19"/>
      <c r="DZ514" s="19"/>
      <c r="EA514" s="19"/>
      <c r="EB514" s="19"/>
      <c r="EC514" s="19"/>
      <c r="ED514" s="19"/>
      <c r="EE514" s="19"/>
      <c r="EF514" s="19"/>
      <c r="EG514" s="19"/>
      <c r="EH514" s="19"/>
      <c r="EI514" s="19"/>
      <c r="EJ514" s="19"/>
      <c r="EK514" s="19"/>
      <c r="EL514" s="19"/>
      <c r="EM514" s="19"/>
      <c r="EN514" s="19"/>
      <c r="EO514" s="19"/>
      <c r="EP514" s="19"/>
      <c r="EQ514" s="19"/>
      <c r="ER514" s="19"/>
      <c r="ES514" s="19"/>
      <c r="ET514" s="19"/>
      <c r="EU514" s="19"/>
      <c r="EV514" s="19"/>
      <c r="EW514" s="19"/>
      <c r="EX514" s="19"/>
      <c r="EY514" s="19"/>
      <c r="EZ514" s="19"/>
      <c r="FA514" s="19"/>
      <c r="FB514" s="19"/>
      <c r="FC514" s="19"/>
      <c r="FD514" s="19"/>
      <c r="FE514" s="19"/>
      <c r="FF514" s="19"/>
      <c r="FG514" s="19"/>
      <c r="FH514" s="19"/>
      <c r="FI514" s="19"/>
      <c r="FJ514" s="19"/>
      <c r="FK514" s="19"/>
      <c r="FL514" s="19"/>
      <c r="FM514" s="19"/>
      <c r="FN514" s="19"/>
      <c r="FO514" s="19"/>
      <c r="FP514" s="19"/>
      <c r="FQ514" s="19"/>
      <c r="FR514" s="19"/>
      <c r="FS514" s="19"/>
      <c r="FT514" s="19"/>
      <c r="FU514" s="19"/>
      <c r="FV514" s="19"/>
      <c r="FW514" s="19"/>
      <c r="FX514" s="19"/>
      <c r="FY514" s="19"/>
      <c r="FZ514" s="19"/>
      <c r="GA514" s="19"/>
      <c r="GB514" s="19"/>
      <c r="GC514" s="19"/>
      <c r="GD514" s="19"/>
      <c r="GE514" s="19"/>
      <c r="GF514" s="19"/>
      <c r="GG514" s="19"/>
      <c r="GH514" s="19"/>
      <c r="GI514" s="19"/>
      <c r="GJ514" s="19"/>
      <c r="GK514" s="19"/>
      <c r="GL514" s="19"/>
      <c r="GM514" s="19"/>
      <c r="GN514" s="19"/>
      <c r="GO514" s="19"/>
      <c r="GP514" s="19"/>
      <c r="GQ514" s="19"/>
      <c r="GR514" s="19"/>
      <c r="GS514" s="19"/>
      <c r="GT514" s="19"/>
      <c r="GU514" s="19"/>
      <c r="GV514" s="19"/>
      <c r="GW514" s="19"/>
      <c r="GX514" s="19"/>
      <c r="GY514" s="19"/>
      <c r="GZ514" s="19"/>
      <c r="HA514" s="19"/>
      <c r="HB514" s="19"/>
    </row>
    <row r="515" spans="1:210" x14ac:dyDescent="0.25">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c r="BE515" s="19"/>
      <c r="BF515" s="19"/>
      <c r="BG515" s="19"/>
      <c r="BH515" s="19"/>
      <c r="BI515" s="19"/>
      <c r="BJ515" s="19"/>
      <c r="BK515" s="19"/>
      <c r="BL515" s="19"/>
      <c r="BM515" s="19"/>
      <c r="BN515" s="19"/>
      <c r="BO515" s="19"/>
      <c r="BP515" s="19"/>
      <c r="BQ515" s="19"/>
      <c r="BR515" s="19"/>
      <c r="BS515" s="19"/>
      <c r="BT515" s="19"/>
      <c r="BU515" s="19"/>
      <c r="BV515" s="19"/>
      <c r="BW515" s="19"/>
      <c r="BX515" s="19"/>
      <c r="BY515" s="19"/>
      <c r="BZ515" s="19"/>
      <c r="CA515" s="19"/>
      <c r="CB515" s="19"/>
      <c r="CC515" s="19"/>
      <c r="CD515" s="19"/>
      <c r="CE515" s="19"/>
      <c r="CF515" s="19"/>
      <c r="CG515" s="19"/>
      <c r="CH515" s="19"/>
      <c r="CI515" s="19"/>
      <c r="CJ515" s="19"/>
      <c r="CK515" s="19"/>
      <c r="CL515" s="19"/>
      <c r="CM515" s="19"/>
      <c r="CN515" s="19"/>
      <c r="CO515" s="19"/>
      <c r="CP515" s="19"/>
      <c r="CQ515" s="19"/>
      <c r="CR515" s="19"/>
      <c r="CS515" s="19"/>
      <c r="CT515" s="19"/>
      <c r="CU515" s="19"/>
      <c r="CV515" s="19"/>
      <c r="CW515" s="19"/>
      <c r="CX515" s="19"/>
      <c r="CY515" s="19"/>
      <c r="CZ515" s="19"/>
      <c r="DA515" s="19"/>
      <c r="DB515" s="19"/>
      <c r="DC515" s="19"/>
      <c r="DD515" s="19"/>
      <c r="DE515" s="19"/>
      <c r="DF515" s="19"/>
      <c r="DG515" s="19"/>
      <c r="DH515" s="19"/>
      <c r="DI515" s="19"/>
      <c r="DJ515" s="19"/>
      <c r="DK515" s="19"/>
      <c r="DL515" s="19"/>
      <c r="DM515" s="19"/>
      <c r="DN515" s="19"/>
      <c r="DO515" s="19"/>
      <c r="DP515" s="19"/>
      <c r="DQ515" s="19"/>
      <c r="DR515" s="19"/>
      <c r="DS515" s="19"/>
      <c r="DT515" s="19"/>
      <c r="DU515" s="19"/>
      <c r="DV515" s="19"/>
      <c r="DW515" s="19"/>
      <c r="DX515" s="19"/>
      <c r="DY515" s="19"/>
      <c r="DZ515" s="19"/>
      <c r="EA515" s="19"/>
      <c r="EB515" s="19"/>
      <c r="EC515" s="19"/>
      <c r="ED515" s="19"/>
      <c r="EE515" s="19"/>
      <c r="EF515" s="19"/>
      <c r="EG515" s="19"/>
      <c r="EH515" s="19"/>
      <c r="EI515" s="19"/>
      <c r="EJ515" s="19"/>
      <c r="EK515" s="19"/>
      <c r="EL515" s="19"/>
      <c r="EM515" s="19"/>
      <c r="EN515" s="19"/>
      <c r="EO515" s="19"/>
      <c r="EP515" s="19"/>
      <c r="EQ515" s="19"/>
      <c r="ER515" s="19"/>
      <c r="ES515" s="19"/>
      <c r="ET515" s="19"/>
      <c r="EU515" s="19"/>
      <c r="EV515" s="19"/>
      <c r="EW515" s="19"/>
      <c r="EX515" s="19"/>
      <c r="EY515" s="19"/>
      <c r="EZ515" s="19"/>
      <c r="FA515" s="19"/>
      <c r="FB515" s="19"/>
      <c r="FC515" s="19"/>
      <c r="FD515" s="19"/>
      <c r="FE515" s="19"/>
      <c r="FF515" s="19"/>
      <c r="FG515" s="19"/>
      <c r="FH515" s="19"/>
      <c r="FI515" s="19"/>
      <c r="FJ515" s="19"/>
      <c r="FK515" s="19"/>
      <c r="FL515" s="19"/>
      <c r="FM515" s="19"/>
      <c r="FN515" s="19"/>
      <c r="FO515" s="19"/>
      <c r="FP515" s="19"/>
      <c r="FQ515" s="19"/>
      <c r="FR515" s="19"/>
      <c r="FS515" s="19"/>
      <c r="FT515" s="19"/>
      <c r="FU515" s="19"/>
      <c r="FV515" s="19"/>
      <c r="FW515" s="19"/>
      <c r="FX515" s="19"/>
      <c r="FY515" s="19"/>
      <c r="FZ515" s="19"/>
      <c r="GA515" s="19"/>
      <c r="GB515" s="19"/>
      <c r="GC515" s="19"/>
      <c r="GD515" s="19"/>
      <c r="GE515" s="19"/>
      <c r="GF515" s="19"/>
      <c r="GG515" s="19"/>
      <c r="GH515" s="19"/>
      <c r="GI515" s="19"/>
      <c r="GJ515" s="19"/>
      <c r="GK515" s="19"/>
      <c r="GL515" s="19"/>
      <c r="GM515" s="19"/>
      <c r="GN515" s="19"/>
      <c r="GO515" s="19"/>
      <c r="GP515" s="19"/>
      <c r="GQ515" s="19"/>
      <c r="GR515" s="19"/>
      <c r="GS515" s="19"/>
      <c r="GT515" s="19"/>
      <c r="GU515" s="19"/>
      <c r="GV515" s="19"/>
      <c r="GW515" s="19"/>
      <c r="GX515" s="19"/>
      <c r="GY515" s="19"/>
      <c r="GZ515" s="19"/>
      <c r="HA515" s="19"/>
      <c r="HB515" s="19"/>
    </row>
    <row r="516" spans="1:210" x14ac:dyDescent="0.25">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c r="BE516" s="19"/>
      <c r="BF516" s="19"/>
      <c r="BG516" s="19"/>
      <c r="BH516" s="19"/>
      <c r="BI516" s="19"/>
      <c r="BJ516" s="19"/>
      <c r="BK516" s="19"/>
      <c r="BL516" s="19"/>
      <c r="BM516" s="19"/>
      <c r="BN516" s="19"/>
      <c r="BO516" s="19"/>
      <c r="BP516" s="19"/>
      <c r="BQ516" s="19"/>
      <c r="BR516" s="19"/>
      <c r="BS516" s="19"/>
      <c r="BT516" s="19"/>
      <c r="BU516" s="19"/>
      <c r="BV516" s="19"/>
      <c r="BW516" s="19"/>
      <c r="BX516" s="19"/>
      <c r="BY516" s="19"/>
      <c r="BZ516" s="19"/>
      <c r="CA516" s="19"/>
      <c r="CB516" s="19"/>
      <c r="CC516" s="19"/>
      <c r="CD516" s="19"/>
      <c r="CE516" s="19"/>
      <c r="CF516" s="19"/>
      <c r="CG516" s="19"/>
      <c r="CH516" s="19"/>
      <c r="CI516" s="19"/>
      <c r="CJ516" s="19"/>
      <c r="CK516" s="19"/>
      <c r="CL516" s="19"/>
      <c r="CM516" s="19"/>
      <c r="CN516" s="19"/>
      <c r="CO516" s="19"/>
      <c r="CP516" s="19"/>
      <c r="CQ516" s="19"/>
      <c r="CR516" s="19"/>
      <c r="CS516" s="19"/>
      <c r="CT516" s="19"/>
      <c r="CU516" s="19"/>
      <c r="CV516" s="19"/>
      <c r="CW516" s="19"/>
      <c r="CX516" s="19"/>
      <c r="CY516" s="19"/>
      <c r="CZ516" s="19"/>
      <c r="DA516" s="19"/>
      <c r="DB516" s="19"/>
      <c r="DC516" s="19"/>
      <c r="DD516" s="19"/>
      <c r="DE516" s="19"/>
      <c r="DF516" s="19"/>
      <c r="DG516" s="19"/>
      <c r="DH516" s="19"/>
      <c r="DI516" s="19"/>
      <c r="DJ516" s="19"/>
      <c r="DK516" s="19"/>
      <c r="DL516" s="19"/>
      <c r="DM516" s="19"/>
      <c r="DN516" s="19"/>
      <c r="DO516" s="19"/>
      <c r="DP516" s="19"/>
      <c r="DQ516" s="19"/>
      <c r="DR516" s="19"/>
      <c r="DS516" s="19"/>
      <c r="DT516" s="19"/>
      <c r="DU516" s="19"/>
      <c r="DV516" s="19"/>
      <c r="DW516" s="19"/>
      <c r="DX516" s="19"/>
      <c r="DY516" s="19"/>
      <c r="DZ516" s="19"/>
      <c r="EA516" s="19"/>
      <c r="EB516" s="19"/>
      <c r="EC516" s="19"/>
      <c r="ED516" s="19"/>
      <c r="EE516" s="19"/>
      <c r="EF516" s="19"/>
      <c r="EG516" s="19"/>
      <c r="EH516" s="19"/>
      <c r="EI516" s="19"/>
      <c r="EJ516" s="19"/>
      <c r="EK516" s="19"/>
      <c r="EL516" s="19"/>
      <c r="EM516" s="19"/>
      <c r="EN516" s="19"/>
      <c r="EO516" s="19"/>
      <c r="EP516" s="19"/>
      <c r="EQ516" s="19"/>
      <c r="ER516" s="19"/>
      <c r="ES516" s="19"/>
      <c r="ET516" s="19"/>
      <c r="EU516" s="19"/>
      <c r="EV516" s="19"/>
      <c r="EW516" s="19"/>
      <c r="EX516" s="19"/>
      <c r="EY516" s="19"/>
      <c r="EZ516" s="19"/>
      <c r="FA516" s="19"/>
      <c r="FB516" s="19"/>
      <c r="FC516" s="19"/>
      <c r="FD516" s="19"/>
      <c r="FE516" s="19"/>
      <c r="FF516" s="19"/>
      <c r="FG516" s="19"/>
      <c r="FH516" s="19"/>
      <c r="FI516" s="19"/>
      <c r="FJ516" s="19"/>
      <c r="FK516" s="19"/>
      <c r="FL516" s="19"/>
      <c r="FM516" s="19"/>
      <c r="FN516" s="19"/>
      <c r="FO516" s="19"/>
      <c r="FP516" s="19"/>
      <c r="FQ516" s="19"/>
      <c r="FR516" s="19"/>
      <c r="FS516" s="19"/>
      <c r="FT516" s="19"/>
      <c r="FU516" s="19"/>
      <c r="FV516" s="19"/>
      <c r="FW516" s="19"/>
      <c r="FX516" s="19"/>
      <c r="FY516" s="19"/>
      <c r="FZ516" s="19"/>
      <c r="GA516" s="19"/>
      <c r="GB516" s="19"/>
      <c r="GC516" s="19"/>
      <c r="GD516" s="19"/>
      <c r="GE516" s="19"/>
      <c r="GF516" s="19"/>
      <c r="GG516" s="19"/>
      <c r="GH516" s="19"/>
      <c r="GI516" s="19"/>
      <c r="GJ516" s="19"/>
      <c r="GK516" s="19"/>
      <c r="GL516" s="19"/>
      <c r="GM516" s="19"/>
      <c r="GN516" s="19"/>
      <c r="GO516" s="19"/>
      <c r="GP516" s="19"/>
      <c r="GQ516" s="19"/>
      <c r="GR516" s="19"/>
      <c r="GS516" s="19"/>
      <c r="GT516" s="19"/>
      <c r="GU516" s="19"/>
      <c r="GV516" s="19"/>
      <c r="GW516" s="19"/>
      <c r="GX516" s="19"/>
      <c r="GY516" s="19"/>
      <c r="GZ516" s="19"/>
      <c r="HA516" s="19"/>
      <c r="HB516" s="19"/>
    </row>
    <row r="517" spans="1:210" x14ac:dyDescent="0.25">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c r="BE517" s="19"/>
      <c r="BF517" s="19"/>
      <c r="BG517" s="19"/>
      <c r="BH517" s="19"/>
      <c r="BI517" s="19"/>
      <c r="BJ517" s="19"/>
      <c r="BK517" s="19"/>
      <c r="BL517" s="19"/>
      <c r="BM517" s="19"/>
      <c r="BN517" s="19"/>
      <c r="BO517" s="19"/>
      <c r="BP517" s="19"/>
      <c r="BQ517" s="19"/>
      <c r="BR517" s="19"/>
      <c r="BS517" s="19"/>
      <c r="BT517" s="19"/>
      <c r="BU517" s="19"/>
      <c r="BV517" s="19"/>
      <c r="BW517" s="19"/>
      <c r="BX517" s="19"/>
      <c r="BY517" s="19"/>
      <c r="BZ517" s="19"/>
      <c r="CA517" s="19"/>
      <c r="CB517" s="19"/>
      <c r="CC517" s="19"/>
      <c r="CD517" s="19"/>
      <c r="CE517" s="19"/>
      <c r="CF517" s="19"/>
      <c r="CG517" s="19"/>
      <c r="CH517" s="19"/>
      <c r="CI517" s="19"/>
      <c r="CJ517" s="19"/>
      <c r="CK517" s="19"/>
      <c r="CL517" s="19"/>
      <c r="CM517" s="19"/>
      <c r="CN517" s="19"/>
      <c r="CO517" s="19"/>
      <c r="CP517" s="19"/>
      <c r="CQ517" s="19"/>
      <c r="CR517" s="19"/>
      <c r="CS517" s="19"/>
      <c r="CT517" s="19"/>
      <c r="CU517" s="19"/>
      <c r="CV517" s="19"/>
      <c r="CW517" s="19"/>
      <c r="CX517" s="19"/>
      <c r="CY517" s="19"/>
      <c r="CZ517" s="19"/>
      <c r="DA517" s="19"/>
      <c r="DB517" s="19"/>
      <c r="DC517" s="19"/>
      <c r="DD517" s="19"/>
      <c r="DE517" s="19"/>
      <c r="DF517" s="19"/>
      <c r="DG517" s="19"/>
      <c r="DH517" s="19"/>
      <c r="DI517" s="19"/>
      <c r="DJ517" s="19"/>
      <c r="DK517" s="19"/>
      <c r="DL517" s="19"/>
      <c r="DM517" s="19"/>
      <c r="DN517" s="19"/>
      <c r="DO517" s="19"/>
      <c r="DP517" s="19"/>
      <c r="DQ517" s="19"/>
      <c r="DR517" s="19"/>
      <c r="DS517" s="19"/>
      <c r="DT517" s="19"/>
      <c r="DU517" s="19"/>
      <c r="DV517" s="19"/>
      <c r="DW517" s="19"/>
      <c r="DX517" s="19"/>
      <c r="DY517" s="19"/>
      <c r="DZ517" s="19"/>
      <c r="EA517" s="19"/>
      <c r="EB517" s="19"/>
      <c r="EC517" s="19"/>
      <c r="ED517" s="19"/>
      <c r="EE517" s="19"/>
      <c r="EF517" s="19"/>
      <c r="EG517" s="19"/>
      <c r="EH517" s="19"/>
      <c r="EI517" s="19"/>
      <c r="EJ517" s="19"/>
      <c r="EK517" s="19"/>
      <c r="EL517" s="19"/>
      <c r="EM517" s="19"/>
      <c r="EN517" s="19"/>
      <c r="EO517" s="19"/>
      <c r="EP517" s="19"/>
      <c r="EQ517" s="19"/>
      <c r="ER517" s="19"/>
      <c r="ES517" s="19"/>
      <c r="ET517" s="19"/>
      <c r="EU517" s="19"/>
      <c r="EV517" s="19"/>
      <c r="EW517" s="19"/>
      <c r="EX517" s="19"/>
      <c r="EY517" s="19"/>
      <c r="EZ517" s="19"/>
      <c r="FA517" s="19"/>
      <c r="FB517" s="19"/>
      <c r="FC517" s="19"/>
      <c r="FD517" s="19"/>
      <c r="FE517" s="19"/>
      <c r="FF517" s="19"/>
      <c r="FG517" s="19"/>
      <c r="FH517" s="19"/>
      <c r="FI517" s="19"/>
      <c r="FJ517" s="19"/>
      <c r="FK517" s="19"/>
      <c r="FL517" s="19"/>
      <c r="FM517" s="19"/>
      <c r="FN517" s="19"/>
      <c r="FO517" s="19"/>
      <c r="FP517" s="19"/>
      <c r="FQ517" s="19"/>
      <c r="FR517" s="19"/>
      <c r="FS517" s="19"/>
      <c r="FT517" s="19"/>
      <c r="FU517" s="19"/>
      <c r="FV517" s="19"/>
      <c r="FW517" s="19"/>
      <c r="FX517" s="19"/>
      <c r="FY517" s="19"/>
      <c r="FZ517" s="19"/>
      <c r="GA517" s="19"/>
      <c r="GB517" s="19"/>
      <c r="GC517" s="19"/>
      <c r="GD517" s="19"/>
      <c r="GE517" s="19"/>
      <c r="GF517" s="19"/>
      <c r="GG517" s="19"/>
      <c r="GH517" s="19"/>
      <c r="GI517" s="19"/>
      <c r="GJ517" s="19"/>
      <c r="GK517" s="19"/>
      <c r="GL517" s="19"/>
      <c r="GM517" s="19"/>
      <c r="GN517" s="19"/>
      <c r="GO517" s="19"/>
      <c r="GP517" s="19"/>
      <c r="GQ517" s="19"/>
      <c r="GR517" s="19"/>
      <c r="GS517" s="19"/>
      <c r="GT517" s="19"/>
      <c r="GU517" s="19"/>
      <c r="GV517" s="19"/>
      <c r="GW517" s="19"/>
      <c r="GX517" s="19"/>
      <c r="GY517" s="19"/>
      <c r="GZ517" s="19"/>
      <c r="HA517" s="19"/>
      <c r="HB517" s="19"/>
    </row>
    <row r="518" spans="1:210" x14ac:dyDescent="0.25">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c r="BE518" s="19"/>
      <c r="BF518" s="19"/>
      <c r="BG518" s="19"/>
      <c r="BH518" s="19"/>
      <c r="BI518" s="19"/>
      <c r="BJ518" s="19"/>
      <c r="BK518" s="19"/>
      <c r="BL518" s="19"/>
      <c r="BM518" s="19"/>
      <c r="BN518" s="19"/>
      <c r="BO518" s="19"/>
      <c r="BP518" s="19"/>
      <c r="BQ518" s="19"/>
      <c r="BR518" s="19"/>
      <c r="BS518" s="19"/>
      <c r="BT518" s="19"/>
      <c r="BU518" s="19"/>
      <c r="BV518" s="19"/>
      <c r="BW518" s="19"/>
      <c r="BX518" s="19"/>
      <c r="BY518" s="19"/>
      <c r="BZ518" s="19"/>
      <c r="CA518" s="19"/>
      <c r="CB518" s="19"/>
      <c r="CC518" s="19"/>
      <c r="CD518" s="19"/>
      <c r="CE518" s="19"/>
      <c r="CF518" s="19"/>
      <c r="CG518" s="19"/>
      <c r="CH518" s="19"/>
      <c r="CI518" s="19"/>
      <c r="CJ518" s="19"/>
      <c r="CK518" s="19"/>
      <c r="CL518" s="19"/>
      <c r="CM518" s="19"/>
      <c r="CN518" s="19"/>
      <c r="CO518" s="19"/>
      <c r="CP518" s="19"/>
      <c r="CQ518" s="19"/>
      <c r="CR518" s="19"/>
      <c r="CS518" s="19"/>
      <c r="CT518" s="19"/>
      <c r="CU518" s="19"/>
      <c r="CV518" s="19"/>
      <c r="CW518" s="19"/>
      <c r="CX518" s="19"/>
      <c r="CY518" s="19"/>
      <c r="CZ518" s="19"/>
      <c r="DA518" s="19"/>
      <c r="DB518" s="19"/>
      <c r="DC518" s="19"/>
      <c r="DD518" s="19"/>
      <c r="DE518" s="19"/>
      <c r="DF518" s="19"/>
      <c r="DG518" s="19"/>
      <c r="DH518" s="19"/>
      <c r="DI518" s="19"/>
      <c r="DJ518" s="19"/>
      <c r="DK518" s="19"/>
      <c r="DL518" s="19"/>
      <c r="DM518" s="19"/>
      <c r="DN518" s="19"/>
      <c r="DO518" s="19"/>
      <c r="DP518" s="19"/>
      <c r="DQ518" s="19"/>
      <c r="DR518" s="19"/>
      <c r="DS518" s="19"/>
      <c r="DT518" s="19"/>
      <c r="DU518" s="19"/>
      <c r="DV518" s="19"/>
      <c r="DW518" s="19"/>
      <c r="DX518" s="19"/>
      <c r="DY518" s="19"/>
      <c r="DZ518" s="19"/>
      <c r="EA518" s="19"/>
      <c r="EB518" s="19"/>
      <c r="EC518" s="19"/>
      <c r="ED518" s="19"/>
      <c r="EE518" s="19"/>
      <c r="EF518" s="19"/>
      <c r="EG518" s="19"/>
      <c r="EH518" s="19"/>
      <c r="EI518" s="19"/>
      <c r="EJ518" s="19"/>
      <c r="EK518" s="19"/>
      <c r="EL518" s="19"/>
      <c r="EM518" s="19"/>
      <c r="EN518" s="19"/>
      <c r="EO518" s="19"/>
      <c r="EP518" s="19"/>
      <c r="EQ518" s="19"/>
      <c r="ER518" s="19"/>
      <c r="ES518" s="19"/>
      <c r="ET518" s="19"/>
      <c r="EU518" s="19"/>
      <c r="EV518" s="19"/>
      <c r="EW518" s="19"/>
      <c r="EX518" s="19"/>
      <c r="EY518" s="19"/>
      <c r="EZ518" s="19"/>
      <c r="FA518" s="19"/>
      <c r="FB518" s="19"/>
      <c r="FC518" s="19"/>
      <c r="FD518" s="19"/>
      <c r="FE518" s="19"/>
      <c r="FF518" s="19"/>
      <c r="FG518" s="19"/>
      <c r="FH518" s="19"/>
      <c r="FI518" s="19"/>
      <c r="FJ518" s="19"/>
      <c r="FK518" s="19"/>
      <c r="FL518" s="19"/>
      <c r="FM518" s="19"/>
      <c r="FN518" s="19"/>
      <c r="FO518" s="19"/>
      <c r="FP518" s="19"/>
      <c r="FQ518" s="19"/>
      <c r="FR518" s="19"/>
      <c r="FS518" s="19"/>
      <c r="FT518" s="19"/>
      <c r="FU518" s="19"/>
      <c r="FV518" s="19"/>
      <c r="FW518" s="19"/>
      <c r="FX518" s="19"/>
      <c r="FY518" s="19"/>
      <c r="FZ518" s="19"/>
      <c r="GA518" s="19"/>
      <c r="GB518" s="19"/>
      <c r="GC518" s="19"/>
      <c r="GD518" s="19"/>
      <c r="GE518" s="19"/>
      <c r="GF518" s="19"/>
      <c r="GG518" s="19"/>
      <c r="GH518" s="19"/>
      <c r="GI518" s="19"/>
      <c r="GJ518" s="19"/>
      <c r="GK518" s="19"/>
      <c r="GL518" s="19"/>
      <c r="GM518" s="19"/>
      <c r="GN518" s="19"/>
      <c r="GO518" s="19"/>
      <c r="GP518" s="19"/>
      <c r="GQ518" s="19"/>
      <c r="GR518" s="19"/>
      <c r="GS518" s="19"/>
      <c r="GT518" s="19"/>
      <c r="GU518" s="19"/>
      <c r="GV518" s="19"/>
      <c r="GW518" s="19"/>
      <c r="GX518" s="19"/>
      <c r="GY518" s="19"/>
      <c r="GZ518" s="19"/>
      <c r="HA518" s="19"/>
      <c r="HB518" s="19"/>
    </row>
    <row r="519" spans="1:210" x14ac:dyDescent="0.25">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c r="BE519" s="19"/>
      <c r="BF519" s="19"/>
      <c r="BG519" s="19"/>
      <c r="BH519" s="19"/>
      <c r="BI519" s="19"/>
      <c r="BJ519" s="19"/>
      <c r="BK519" s="19"/>
      <c r="BL519" s="19"/>
      <c r="BM519" s="19"/>
      <c r="BN519" s="19"/>
      <c r="BO519" s="19"/>
      <c r="BP519" s="19"/>
      <c r="BQ519" s="19"/>
      <c r="BR519" s="19"/>
      <c r="BS519" s="19"/>
      <c r="BT519" s="19"/>
      <c r="BU519" s="19"/>
      <c r="BV519" s="19"/>
      <c r="BW519" s="19"/>
      <c r="BX519" s="19"/>
      <c r="BY519" s="19"/>
      <c r="BZ519" s="19"/>
      <c r="CA519" s="19"/>
      <c r="CB519" s="19"/>
      <c r="CC519" s="19"/>
      <c r="CD519" s="19"/>
      <c r="CE519" s="19"/>
      <c r="CF519" s="19"/>
      <c r="CG519" s="19"/>
      <c r="CH519" s="19"/>
      <c r="CI519" s="19"/>
      <c r="CJ519" s="19"/>
      <c r="CK519" s="19"/>
      <c r="CL519" s="19"/>
      <c r="CM519" s="19"/>
      <c r="CN519" s="19"/>
      <c r="CO519" s="19"/>
      <c r="CP519" s="19"/>
      <c r="CQ519" s="19"/>
      <c r="CR519" s="19"/>
      <c r="CS519" s="19"/>
      <c r="CT519" s="19"/>
      <c r="CU519" s="19"/>
      <c r="CV519" s="19"/>
      <c r="CW519" s="19"/>
      <c r="CX519" s="19"/>
      <c r="CY519" s="19"/>
      <c r="CZ519" s="19"/>
      <c r="DA519" s="19"/>
      <c r="DB519" s="19"/>
      <c r="DC519" s="19"/>
      <c r="DD519" s="19"/>
      <c r="DE519" s="19"/>
      <c r="DF519" s="19"/>
      <c r="DG519" s="19"/>
      <c r="DH519" s="19"/>
      <c r="DI519" s="19"/>
      <c r="DJ519" s="19"/>
      <c r="DK519" s="19"/>
      <c r="DL519" s="19"/>
      <c r="DM519" s="19"/>
      <c r="DN519" s="19"/>
      <c r="DO519" s="19"/>
      <c r="DP519" s="19"/>
      <c r="DQ519" s="19"/>
      <c r="DR519" s="19"/>
      <c r="DS519" s="19"/>
      <c r="DT519" s="19"/>
      <c r="DU519" s="19"/>
      <c r="DV519" s="19"/>
      <c r="DW519" s="19"/>
      <c r="DX519" s="19"/>
      <c r="DY519" s="19"/>
      <c r="DZ519" s="19"/>
      <c r="EA519" s="19"/>
      <c r="EB519" s="19"/>
      <c r="EC519" s="19"/>
      <c r="ED519" s="19"/>
      <c r="EE519" s="19"/>
      <c r="EF519" s="19"/>
      <c r="EG519" s="19"/>
      <c r="EH519" s="19"/>
      <c r="EI519" s="19"/>
      <c r="EJ519" s="19"/>
      <c r="EK519" s="19"/>
      <c r="EL519" s="19"/>
      <c r="EM519" s="19"/>
      <c r="EN519" s="19"/>
      <c r="EO519" s="19"/>
      <c r="EP519" s="19"/>
      <c r="EQ519" s="19"/>
      <c r="ER519" s="19"/>
      <c r="ES519" s="19"/>
      <c r="ET519" s="19"/>
      <c r="EU519" s="19"/>
      <c r="EV519" s="19"/>
      <c r="EW519" s="19"/>
      <c r="EX519" s="19"/>
      <c r="EY519" s="19"/>
      <c r="EZ519" s="19"/>
      <c r="FA519" s="19"/>
      <c r="FB519" s="19"/>
      <c r="FC519" s="19"/>
      <c r="FD519" s="19"/>
      <c r="FE519" s="19"/>
      <c r="FF519" s="19"/>
      <c r="FG519" s="19"/>
      <c r="FH519" s="19"/>
      <c r="FI519" s="19"/>
      <c r="FJ519" s="19"/>
      <c r="FK519" s="19"/>
      <c r="FL519" s="19"/>
      <c r="FM519" s="19"/>
      <c r="FN519" s="19"/>
      <c r="FO519" s="19"/>
      <c r="FP519" s="19"/>
      <c r="FQ519" s="19"/>
      <c r="FR519" s="19"/>
      <c r="FS519" s="19"/>
      <c r="FT519" s="19"/>
      <c r="FU519" s="19"/>
      <c r="FV519" s="19"/>
      <c r="FW519" s="19"/>
      <c r="FX519" s="19"/>
      <c r="FY519" s="19"/>
      <c r="FZ519" s="19"/>
      <c r="GA519" s="19"/>
      <c r="GB519" s="19"/>
      <c r="GC519" s="19"/>
      <c r="GD519" s="19"/>
      <c r="GE519" s="19"/>
      <c r="GF519" s="19"/>
      <c r="GG519" s="19"/>
      <c r="GH519" s="19"/>
      <c r="GI519" s="19"/>
      <c r="GJ519" s="19"/>
      <c r="GK519" s="19"/>
      <c r="GL519" s="19"/>
      <c r="GM519" s="19"/>
      <c r="GN519" s="19"/>
      <c r="GO519" s="19"/>
      <c r="GP519" s="19"/>
      <c r="GQ519" s="19"/>
      <c r="GR519" s="19"/>
      <c r="GS519" s="19"/>
      <c r="GT519" s="19"/>
      <c r="GU519" s="19"/>
      <c r="GV519" s="19"/>
      <c r="GW519" s="19"/>
      <c r="GX519" s="19"/>
      <c r="GY519" s="19"/>
      <c r="GZ519" s="19"/>
      <c r="HA519" s="19"/>
      <c r="HB519" s="19"/>
    </row>
    <row r="520" spans="1:210" x14ac:dyDescent="0.25">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c r="BE520" s="19"/>
      <c r="BF520" s="19"/>
      <c r="BG520" s="19"/>
      <c r="BH520" s="19"/>
      <c r="BI520" s="19"/>
      <c r="BJ520" s="19"/>
      <c r="BK520" s="19"/>
      <c r="BL520" s="19"/>
      <c r="BM520" s="19"/>
      <c r="BN520" s="19"/>
      <c r="BO520" s="19"/>
      <c r="BP520" s="19"/>
      <c r="BQ520" s="19"/>
      <c r="BR520" s="19"/>
      <c r="BS520" s="19"/>
      <c r="BT520" s="19"/>
      <c r="BU520" s="19"/>
      <c r="BV520" s="19"/>
      <c r="BW520" s="19"/>
      <c r="BX520" s="19"/>
      <c r="BY520" s="19"/>
      <c r="BZ520" s="19"/>
      <c r="CA520" s="19"/>
      <c r="CB520" s="19"/>
      <c r="CC520" s="19"/>
      <c r="CD520" s="19"/>
      <c r="CE520" s="19"/>
      <c r="CF520" s="19"/>
      <c r="CG520" s="19"/>
      <c r="CH520" s="19"/>
      <c r="CI520" s="19"/>
      <c r="CJ520" s="19"/>
      <c r="CK520" s="19"/>
      <c r="CL520" s="19"/>
      <c r="CM520" s="19"/>
      <c r="CN520" s="19"/>
      <c r="CO520" s="19"/>
      <c r="CP520" s="19"/>
      <c r="CQ520" s="19"/>
      <c r="CR520" s="19"/>
      <c r="CS520" s="19"/>
      <c r="CT520" s="19"/>
      <c r="CU520" s="19"/>
      <c r="CV520" s="19"/>
      <c r="CW520" s="19"/>
      <c r="CX520" s="19"/>
      <c r="CY520" s="19"/>
      <c r="CZ520" s="19"/>
      <c r="DA520" s="19"/>
      <c r="DB520" s="19"/>
      <c r="DC520" s="19"/>
      <c r="DD520" s="19"/>
      <c r="DE520" s="19"/>
      <c r="DF520" s="19"/>
      <c r="DG520" s="19"/>
      <c r="DH520" s="19"/>
      <c r="DI520" s="19"/>
      <c r="DJ520" s="19"/>
      <c r="DK520" s="19"/>
      <c r="DL520" s="19"/>
      <c r="DM520" s="19"/>
      <c r="DN520" s="19"/>
      <c r="DO520" s="19"/>
      <c r="DP520" s="19"/>
      <c r="DQ520" s="19"/>
      <c r="DR520" s="19"/>
      <c r="DS520" s="19"/>
      <c r="DT520" s="19"/>
      <c r="DU520" s="19"/>
      <c r="DV520" s="19"/>
      <c r="DW520" s="19"/>
      <c r="DX520" s="19"/>
      <c r="DY520" s="19"/>
      <c r="DZ520" s="19"/>
      <c r="EA520" s="19"/>
      <c r="EB520" s="19"/>
      <c r="EC520" s="19"/>
      <c r="ED520" s="19"/>
      <c r="EE520" s="19"/>
      <c r="EF520" s="19"/>
      <c r="EG520" s="19"/>
      <c r="EH520" s="19"/>
      <c r="EI520" s="19"/>
      <c r="EJ520" s="19"/>
      <c r="EK520" s="19"/>
      <c r="EL520" s="19"/>
      <c r="EM520" s="19"/>
      <c r="EN520" s="19"/>
      <c r="EO520" s="19"/>
      <c r="EP520" s="19"/>
      <c r="EQ520" s="19"/>
      <c r="ER520" s="19"/>
      <c r="ES520" s="19"/>
      <c r="ET520" s="19"/>
      <c r="EU520" s="19"/>
      <c r="EV520" s="19"/>
      <c r="EW520" s="19"/>
      <c r="EX520" s="19"/>
      <c r="EY520" s="19"/>
      <c r="EZ520" s="19"/>
      <c r="FA520" s="19"/>
      <c r="FB520" s="19"/>
      <c r="FC520" s="19"/>
      <c r="FD520" s="19"/>
      <c r="FE520" s="19"/>
      <c r="FF520" s="19"/>
      <c r="FG520" s="19"/>
      <c r="FH520" s="19"/>
      <c r="FI520" s="19"/>
      <c r="FJ520" s="19"/>
      <c r="FK520" s="19"/>
      <c r="FL520" s="19"/>
      <c r="FM520" s="19"/>
      <c r="FN520" s="19"/>
      <c r="FO520" s="19"/>
      <c r="FP520" s="19"/>
      <c r="FQ520" s="19"/>
      <c r="FR520" s="19"/>
      <c r="FS520" s="19"/>
      <c r="FT520" s="19"/>
      <c r="FU520" s="19"/>
      <c r="FV520" s="19"/>
      <c r="FW520" s="19"/>
      <c r="FX520" s="19"/>
      <c r="FY520" s="19"/>
      <c r="FZ520" s="19"/>
      <c r="GA520" s="19"/>
      <c r="GB520" s="19"/>
      <c r="GC520" s="19"/>
      <c r="GD520" s="19"/>
      <c r="GE520" s="19"/>
      <c r="GF520" s="19"/>
      <c r="GG520" s="19"/>
      <c r="GH520" s="19"/>
      <c r="GI520" s="19"/>
      <c r="GJ520" s="19"/>
      <c r="GK520" s="19"/>
      <c r="GL520" s="19"/>
      <c r="GM520" s="19"/>
      <c r="GN520" s="19"/>
      <c r="GO520" s="19"/>
      <c r="GP520" s="19"/>
      <c r="GQ520" s="19"/>
      <c r="GR520" s="19"/>
      <c r="GS520" s="19"/>
      <c r="GT520" s="19"/>
      <c r="GU520" s="19"/>
      <c r="GV520" s="19"/>
      <c r="GW520" s="19"/>
      <c r="GX520" s="19"/>
      <c r="GY520" s="19"/>
      <c r="GZ520" s="19"/>
      <c r="HA520" s="19"/>
      <c r="HB520" s="19"/>
    </row>
    <row r="521" spans="1:210" x14ac:dyDescent="0.25">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c r="BE521" s="19"/>
      <c r="BF521" s="19"/>
      <c r="BG521" s="19"/>
      <c r="BH521" s="19"/>
      <c r="BI521" s="19"/>
      <c r="BJ521" s="19"/>
      <c r="BK521" s="19"/>
      <c r="BL521" s="19"/>
      <c r="BM521" s="19"/>
      <c r="BN521" s="19"/>
      <c r="BO521" s="19"/>
      <c r="BP521" s="19"/>
      <c r="BQ521" s="19"/>
      <c r="BR521" s="19"/>
      <c r="BS521" s="19"/>
      <c r="BT521" s="19"/>
      <c r="BU521" s="19"/>
      <c r="BV521" s="19"/>
      <c r="BW521" s="19"/>
      <c r="BX521" s="19"/>
      <c r="BY521" s="19"/>
      <c r="BZ521" s="19"/>
      <c r="CA521" s="19"/>
      <c r="CB521" s="19"/>
      <c r="CC521" s="19"/>
      <c r="CD521" s="19"/>
      <c r="CE521" s="19"/>
      <c r="CF521" s="19"/>
      <c r="CG521" s="19"/>
      <c r="CH521" s="19"/>
      <c r="CI521" s="19"/>
      <c r="CJ521" s="19"/>
      <c r="CK521" s="19"/>
      <c r="CL521" s="19"/>
      <c r="CM521" s="19"/>
      <c r="CN521" s="19"/>
      <c r="CO521" s="19"/>
      <c r="CP521" s="19"/>
      <c r="CQ521" s="19"/>
      <c r="CR521" s="19"/>
      <c r="CS521" s="19"/>
      <c r="CT521" s="19"/>
      <c r="CU521" s="19"/>
      <c r="CV521" s="19"/>
      <c r="CW521" s="19"/>
      <c r="CX521" s="19"/>
      <c r="CY521" s="19"/>
      <c r="CZ521" s="19"/>
      <c r="DA521" s="19"/>
      <c r="DB521" s="19"/>
      <c r="DC521" s="19"/>
      <c r="DD521" s="19"/>
      <c r="DE521" s="19"/>
      <c r="DF521" s="19"/>
      <c r="DG521" s="19"/>
      <c r="DH521" s="19"/>
      <c r="DI521" s="19"/>
      <c r="DJ521" s="19"/>
      <c r="DK521" s="19"/>
      <c r="DL521" s="19"/>
      <c r="DM521" s="19"/>
      <c r="DN521" s="19"/>
      <c r="DO521" s="19"/>
      <c r="DP521" s="19"/>
      <c r="DQ521" s="19"/>
      <c r="DR521" s="19"/>
      <c r="DS521" s="19"/>
      <c r="DT521" s="19"/>
      <c r="DU521" s="19"/>
      <c r="DV521" s="19"/>
      <c r="DW521" s="19"/>
      <c r="DX521" s="19"/>
      <c r="DY521" s="19"/>
      <c r="DZ521" s="19"/>
      <c r="EA521" s="19"/>
      <c r="EB521" s="19"/>
      <c r="EC521" s="19"/>
      <c r="ED521" s="19"/>
      <c r="EE521" s="19"/>
      <c r="EF521" s="19"/>
      <c r="EG521" s="19"/>
      <c r="EH521" s="19"/>
      <c r="EI521" s="19"/>
      <c r="EJ521" s="19"/>
      <c r="EK521" s="19"/>
      <c r="EL521" s="19"/>
      <c r="EM521" s="19"/>
      <c r="EN521" s="19"/>
      <c r="EO521" s="19"/>
      <c r="EP521" s="19"/>
      <c r="EQ521" s="19"/>
      <c r="ER521" s="19"/>
      <c r="ES521" s="19"/>
      <c r="ET521" s="19"/>
      <c r="EU521" s="19"/>
      <c r="EV521" s="19"/>
      <c r="EW521" s="19"/>
      <c r="EX521" s="19"/>
      <c r="EY521" s="19"/>
      <c r="EZ521" s="19"/>
      <c r="FA521" s="19"/>
      <c r="FB521" s="19"/>
      <c r="FC521" s="19"/>
      <c r="FD521" s="19"/>
      <c r="FE521" s="19"/>
      <c r="FF521" s="19"/>
      <c r="FG521" s="19"/>
      <c r="FH521" s="19"/>
      <c r="FI521" s="19"/>
      <c r="FJ521" s="19"/>
      <c r="FK521" s="19"/>
      <c r="FL521" s="19"/>
      <c r="FM521" s="19"/>
      <c r="FN521" s="19"/>
      <c r="FO521" s="19"/>
      <c r="FP521" s="19"/>
      <c r="FQ521" s="19"/>
      <c r="FR521" s="19"/>
      <c r="FS521" s="19"/>
      <c r="FT521" s="19"/>
      <c r="FU521" s="19"/>
      <c r="FV521" s="19"/>
      <c r="FW521" s="19"/>
      <c r="FX521" s="19"/>
      <c r="FY521" s="19"/>
      <c r="FZ521" s="19"/>
      <c r="GA521" s="19"/>
      <c r="GB521" s="19"/>
      <c r="GC521" s="19"/>
      <c r="GD521" s="19"/>
      <c r="GE521" s="19"/>
      <c r="GF521" s="19"/>
      <c r="GG521" s="19"/>
      <c r="GH521" s="19"/>
      <c r="GI521" s="19"/>
      <c r="GJ521" s="19"/>
      <c r="GK521" s="19"/>
      <c r="GL521" s="19"/>
      <c r="GM521" s="19"/>
      <c r="GN521" s="19"/>
      <c r="GO521" s="19"/>
      <c r="GP521" s="19"/>
      <c r="GQ521" s="19"/>
      <c r="GR521" s="19"/>
      <c r="GS521" s="19"/>
      <c r="GT521" s="19"/>
      <c r="GU521" s="19"/>
      <c r="GV521" s="19"/>
      <c r="GW521" s="19"/>
      <c r="GX521" s="19"/>
      <c r="GY521" s="19"/>
      <c r="GZ521" s="19"/>
      <c r="HA521" s="19"/>
      <c r="HB521" s="19"/>
    </row>
    <row r="522" spans="1:210" x14ac:dyDescent="0.25">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c r="BE522" s="19"/>
      <c r="BF522" s="19"/>
      <c r="BG522" s="19"/>
      <c r="BH522" s="19"/>
      <c r="BI522" s="19"/>
      <c r="BJ522" s="19"/>
      <c r="BK522" s="19"/>
      <c r="BL522" s="19"/>
      <c r="BM522" s="19"/>
      <c r="BN522" s="19"/>
      <c r="BO522" s="19"/>
      <c r="BP522" s="19"/>
      <c r="BQ522" s="19"/>
      <c r="BR522" s="19"/>
      <c r="BS522" s="19"/>
      <c r="BT522" s="19"/>
      <c r="BU522" s="19"/>
      <c r="BV522" s="19"/>
      <c r="BW522" s="19"/>
      <c r="BX522" s="19"/>
      <c r="BY522" s="19"/>
      <c r="BZ522" s="19"/>
      <c r="CA522" s="19"/>
      <c r="CB522" s="19"/>
      <c r="CC522" s="19"/>
      <c r="CD522" s="19"/>
      <c r="CE522" s="19"/>
      <c r="CF522" s="19"/>
      <c r="CG522" s="19"/>
      <c r="CH522" s="19"/>
      <c r="CI522" s="19"/>
      <c r="CJ522" s="19"/>
      <c r="CK522" s="19"/>
      <c r="CL522" s="19"/>
      <c r="CM522" s="19"/>
      <c r="CN522" s="19"/>
      <c r="CO522" s="19"/>
      <c r="CP522" s="19"/>
      <c r="CQ522" s="19"/>
      <c r="CR522" s="19"/>
      <c r="CS522" s="19"/>
      <c r="CT522" s="19"/>
      <c r="CU522" s="19"/>
      <c r="CV522" s="19"/>
      <c r="CW522" s="19"/>
      <c r="CX522" s="19"/>
      <c r="CY522" s="19"/>
      <c r="CZ522" s="19"/>
      <c r="DA522" s="19"/>
      <c r="DB522" s="19"/>
      <c r="DC522" s="19"/>
      <c r="DD522" s="19"/>
      <c r="DE522" s="19"/>
      <c r="DF522" s="19"/>
      <c r="DG522" s="19"/>
      <c r="DH522" s="19"/>
      <c r="DI522" s="19"/>
      <c r="DJ522" s="19"/>
      <c r="DK522" s="19"/>
      <c r="DL522" s="19"/>
      <c r="DM522" s="19"/>
      <c r="DN522" s="19"/>
      <c r="DO522" s="19"/>
      <c r="DP522" s="19"/>
      <c r="DQ522" s="19"/>
      <c r="DR522" s="19"/>
      <c r="DS522" s="19"/>
      <c r="DT522" s="19"/>
      <c r="DU522" s="19"/>
      <c r="DV522" s="19"/>
      <c r="DW522" s="19"/>
      <c r="DX522" s="19"/>
      <c r="DY522" s="19"/>
      <c r="DZ522" s="19"/>
      <c r="EA522" s="19"/>
      <c r="EB522" s="19"/>
      <c r="EC522" s="19"/>
      <c r="ED522" s="19"/>
      <c r="EE522" s="19"/>
      <c r="EF522" s="19"/>
      <c r="EG522" s="19"/>
      <c r="EH522" s="19"/>
      <c r="EI522" s="19"/>
      <c r="EJ522" s="19"/>
      <c r="EK522" s="19"/>
      <c r="EL522" s="19"/>
      <c r="EM522" s="19"/>
      <c r="EN522" s="19"/>
      <c r="EO522" s="19"/>
      <c r="EP522" s="19"/>
      <c r="EQ522" s="19"/>
      <c r="ER522" s="19"/>
      <c r="ES522" s="19"/>
      <c r="ET522" s="19"/>
      <c r="EU522" s="19"/>
      <c r="EV522" s="19"/>
      <c r="EW522" s="19"/>
      <c r="EX522" s="19"/>
      <c r="EY522" s="19"/>
      <c r="EZ522" s="19"/>
      <c r="FA522" s="19"/>
      <c r="FB522" s="19"/>
      <c r="FC522" s="19"/>
      <c r="FD522" s="19"/>
      <c r="FE522" s="19"/>
      <c r="FF522" s="19"/>
      <c r="FG522" s="19"/>
      <c r="FH522" s="19"/>
      <c r="FI522" s="19"/>
      <c r="FJ522" s="19"/>
      <c r="FK522" s="19"/>
      <c r="FL522" s="19"/>
      <c r="FM522" s="19"/>
      <c r="FN522" s="19"/>
      <c r="FO522" s="19"/>
      <c r="FP522" s="19"/>
      <c r="FQ522" s="19"/>
      <c r="FR522" s="19"/>
      <c r="FS522" s="19"/>
      <c r="FT522" s="19"/>
      <c r="FU522" s="19"/>
      <c r="FV522" s="19"/>
      <c r="FW522" s="19"/>
      <c r="FX522" s="19"/>
      <c r="FY522" s="19"/>
      <c r="FZ522" s="19"/>
      <c r="GA522" s="19"/>
      <c r="GB522" s="19"/>
      <c r="GC522" s="19"/>
      <c r="GD522" s="19"/>
      <c r="GE522" s="19"/>
      <c r="GF522" s="19"/>
      <c r="GG522" s="19"/>
      <c r="GH522" s="19"/>
      <c r="GI522" s="19"/>
      <c r="GJ522" s="19"/>
      <c r="GK522" s="19"/>
      <c r="GL522" s="19"/>
      <c r="GM522" s="19"/>
      <c r="GN522" s="19"/>
      <c r="GO522" s="19"/>
      <c r="GP522" s="19"/>
      <c r="GQ522" s="19"/>
      <c r="GR522" s="19"/>
      <c r="GS522" s="19"/>
      <c r="GT522" s="19"/>
      <c r="GU522" s="19"/>
      <c r="GV522" s="19"/>
      <c r="GW522" s="19"/>
      <c r="GX522" s="19"/>
      <c r="GY522" s="19"/>
      <c r="GZ522" s="19"/>
      <c r="HA522" s="19"/>
      <c r="HB522" s="19"/>
    </row>
    <row r="523" spans="1:210" x14ac:dyDescent="0.25">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c r="BE523" s="19"/>
      <c r="BF523" s="19"/>
      <c r="BG523" s="19"/>
      <c r="BH523" s="19"/>
      <c r="BI523" s="19"/>
      <c r="BJ523" s="19"/>
      <c r="BK523" s="19"/>
      <c r="BL523" s="19"/>
      <c r="BM523" s="19"/>
      <c r="BN523" s="19"/>
      <c r="BO523" s="19"/>
      <c r="BP523" s="19"/>
      <c r="BQ523" s="19"/>
      <c r="BR523" s="19"/>
      <c r="BS523" s="19"/>
      <c r="BT523" s="19"/>
      <c r="BU523" s="19"/>
      <c r="BV523" s="19"/>
      <c r="BW523" s="19"/>
      <c r="BX523" s="19"/>
      <c r="BY523" s="19"/>
      <c r="BZ523" s="19"/>
      <c r="CA523" s="19"/>
      <c r="CB523" s="19"/>
      <c r="CC523" s="19"/>
      <c r="CD523" s="19"/>
      <c r="CE523" s="19"/>
      <c r="CF523" s="19"/>
      <c r="CG523" s="19"/>
      <c r="CH523" s="19"/>
      <c r="CI523" s="19"/>
      <c r="CJ523" s="19"/>
      <c r="CK523" s="19"/>
      <c r="CL523" s="19"/>
      <c r="CM523" s="19"/>
      <c r="CN523" s="19"/>
      <c r="CO523" s="19"/>
      <c r="CP523" s="19"/>
      <c r="CQ523" s="19"/>
      <c r="CR523" s="19"/>
      <c r="CS523" s="19"/>
      <c r="CT523" s="19"/>
      <c r="CU523" s="19"/>
      <c r="CV523" s="19"/>
      <c r="CW523" s="19"/>
      <c r="CX523" s="19"/>
      <c r="CY523" s="19"/>
      <c r="CZ523" s="19"/>
      <c r="DA523" s="19"/>
      <c r="DB523" s="19"/>
      <c r="DC523" s="19"/>
      <c r="DD523" s="19"/>
      <c r="DE523" s="19"/>
      <c r="DF523" s="19"/>
      <c r="DG523" s="19"/>
      <c r="DH523" s="19"/>
      <c r="DI523" s="19"/>
      <c r="DJ523" s="19"/>
      <c r="DK523" s="19"/>
      <c r="DL523" s="19"/>
      <c r="DM523" s="19"/>
      <c r="DN523" s="19"/>
      <c r="DO523" s="19"/>
      <c r="DP523" s="19"/>
      <c r="DQ523" s="19"/>
      <c r="DR523" s="19"/>
      <c r="DS523" s="19"/>
      <c r="DT523" s="19"/>
      <c r="DU523" s="19"/>
      <c r="DV523" s="19"/>
      <c r="DW523" s="19"/>
      <c r="DX523" s="19"/>
      <c r="DY523" s="19"/>
      <c r="DZ523" s="19"/>
      <c r="EA523" s="19"/>
      <c r="EB523" s="19"/>
      <c r="EC523" s="19"/>
      <c r="ED523" s="19"/>
      <c r="EE523" s="19"/>
      <c r="EF523" s="19"/>
      <c r="EG523" s="19"/>
      <c r="EH523" s="19"/>
      <c r="EI523" s="19"/>
      <c r="EJ523" s="19"/>
      <c r="EK523" s="19"/>
      <c r="EL523" s="19"/>
      <c r="EM523" s="19"/>
      <c r="EN523" s="19"/>
      <c r="EO523" s="19"/>
      <c r="EP523" s="19"/>
      <c r="EQ523" s="19"/>
      <c r="ER523" s="19"/>
      <c r="ES523" s="19"/>
      <c r="ET523" s="19"/>
      <c r="EU523" s="19"/>
      <c r="EV523" s="19"/>
      <c r="EW523" s="19"/>
      <c r="EX523" s="19"/>
      <c r="EY523" s="19"/>
      <c r="EZ523" s="19"/>
      <c r="FA523" s="19"/>
      <c r="FB523" s="19"/>
      <c r="FC523" s="19"/>
      <c r="FD523" s="19"/>
      <c r="FE523" s="19"/>
      <c r="FF523" s="19"/>
      <c r="FG523" s="19"/>
      <c r="FH523" s="19"/>
      <c r="FI523" s="19"/>
      <c r="FJ523" s="19"/>
      <c r="FK523" s="19"/>
      <c r="FL523" s="19"/>
      <c r="FM523" s="19"/>
      <c r="FN523" s="19"/>
      <c r="FO523" s="19"/>
      <c r="FP523" s="19"/>
      <c r="FQ523" s="19"/>
      <c r="FR523" s="19"/>
      <c r="FS523" s="19"/>
      <c r="FT523" s="19"/>
      <c r="FU523" s="19"/>
      <c r="FV523" s="19"/>
      <c r="FW523" s="19"/>
      <c r="FX523" s="19"/>
      <c r="FY523" s="19"/>
      <c r="FZ523" s="19"/>
      <c r="GA523" s="19"/>
      <c r="GB523" s="19"/>
      <c r="GC523" s="19"/>
      <c r="GD523" s="19"/>
      <c r="GE523" s="19"/>
      <c r="GF523" s="19"/>
      <c r="GG523" s="19"/>
      <c r="GH523" s="19"/>
      <c r="GI523" s="19"/>
      <c r="GJ523" s="19"/>
      <c r="GK523" s="19"/>
      <c r="GL523" s="19"/>
      <c r="GM523" s="19"/>
      <c r="GN523" s="19"/>
      <c r="GO523" s="19"/>
      <c r="GP523" s="19"/>
      <c r="GQ523" s="19"/>
      <c r="GR523" s="19"/>
      <c r="GS523" s="19"/>
      <c r="GT523" s="19"/>
      <c r="GU523" s="19"/>
      <c r="GV523" s="19"/>
      <c r="GW523" s="19"/>
      <c r="GX523" s="19"/>
      <c r="GY523" s="19"/>
      <c r="GZ523" s="19"/>
      <c r="HA523" s="19"/>
      <c r="HB523" s="19"/>
    </row>
    <row r="524" spans="1:210" x14ac:dyDescent="0.25">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c r="BE524" s="19"/>
      <c r="BF524" s="19"/>
      <c r="BG524" s="19"/>
      <c r="BH524" s="19"/>
      <c r="BI524" s="19"/>
      <c r="BJ524" s="19"/>
      <c r="BK524" s="19"/>
      <c r="BL524" s="19"/>
      <c r="BM524" s="19"/>
      <c r="BN524" s="19"/>
      <c r="BO524" s="19"/>
      <c r="BP524" s="19"/>
      <c r="BQ524" s="19"/>
      <c r="BR524" s="19"/>
      <c r="BS524" s="19"/>
      <c r="BT524" s="19"/>
      <c r="BU524" s="19"/>
      <c r="BV524" s="19"/>
      <c r="BW524" s="19"/>
      <c r="BX524" s="19"/>
      <c r="BY524" s="19"/>
      <c r="BZ524" s="19"/>
      <c r="CA524" s="19"/>
      <c r="CB524" s="19"/>
      <c r="CC524" s="19"/>
      <c r="CD524" s="19"/>
      <c r="CE524" s="19"/>
      <c r="CF524" s="19"/>
      <c r="CG524" s="19"/>
      <c r="CH524" s="19"/>
      <c r="CI524" s="19"/>
      <c r="CJ524" s="19"/>
      <c r="CK524" s="19"/>
      <c r="CL524" s="19"/>
      <c r="CM524" s="19"/>
      <c r="CN524" s="19"/>
      <c r="CO524" s="19"/>
      <c r="CP524" s="19"/>
      <c r="CQ524" s="19"/>
      <c r="CR524" s="19"/>
      <c r="CS524" s="19"/>
      <c r="CT524" s="19"/>
      <c r="CU524" s="19"/>
      <c r="CV524" s="19"/>
      <c r="CW524" s="19"/>
      <c r="CX524" s="19"/>
      <c r="CY524" s="19"/>
      <c r="CZ524" s="19"/>
      <c r="DA524" s="19"/>
      <c r="DB524" s="19"/>
      <c r="DC524" s="19"/>
      <c r="DD524" s="19"/>
      <c r="DE524" s="19"/>
      <c r="DF524" s="19"/>
      <c r="DG524" s="19"/>
      <c r="DH524" s="19"/>
      <c r="DI524" s="19"/>
      <c r="DJ524" s="19"/>
      <c r="DK524" s="19"/>
      <c r="DL524" s="19"/>
      <c r="DM524" s="19"/>
      <c r="DN524" s="19"/>
      <c r="DO524" s="19"/>
      <c r="DP524" s="19"/>
      <c r="DQ524" s="19"/>
      <c r="DR524" s="19"/>
      <c r="DS524" s="19"/>
      <c r="DT524" s="19"/>
      <c r="DU524" s="19"/>
      <c r="DV524" s="19"/>
      <c r="DW524" s="19"/>
      <c r="DX524" s="19"/>
      <c r="DY524" s="19"/>
      <c r="DZ524" s="19"/>
      <c r="EA524" s="19"/>
      <c r="EB524" s="19"/>
      <c r="EC524" s="19"/>
      <c r="ED524" s="19"/>
      <c r="EE524" s="19"/>
      <c r="EF524" s="19"/>
      <c r="EG524" s="19"/>
      <c r="EH524" s="19"/>
      <c r="EI524" s="19"/>
      <c r="EJ524" s="19"/>
      <c r="EK524" s="19"/>
      <c r="EL524" s="19"/>
      <c r="EM524" s="19"/>
      <c r="EN524" s="19"/>
      <c r="EO524" s="19"/>
      <c r="EP524" s="19"/>
      <c r="EQ524" s="19"/>
      <c r="ER524" s="19"/>
      <c r="ES524" s="19"/>
      <c r="ET524" s="19"/>
      <c r="EU524" s="19"/>
      <c r="EV524" s="19"/>
      <c r="EW524" s="19"/>
      <c r="EX524" s="19"/>
      <c r="EY524" s="19"/>
      <c r="EZ524" s="19"/>
      <c r="FA524" s="19"/>
      <c r="FB524" s="19"/>
      <c r="FC524" s="19"/>
      <c r="FD524" s="19"/>
      <c r="FE524" s="19"/>
      <c r="FF524" s="19"/>
      <c r="FG524" s="19"/>
      <c r="FH524" s="19"/>
      <c r="FI524" s="19"/>
      <c r="FJ524" s="19"/>
      <c r="FK524" s="19"/>
      <c r="FL524" s="19"/>
      <c r="FM524" s="19"/>
      <c r="FN524" s="19"/>
      <c r="FO524" s="19"/>
      <c r="FP524" s="19"/>
      <c r="FQ524" s="19"/>
      <c r="FR524" s="19"/>
      <c r="FS524" s="19"/>
      <c r="FT524" s="19"/>
      <c r="FU524" s="19"/>
      <c r="FV524" s="19"/>
      <c r="FW524" s="19"/>
      <c r="FX524" s="19"/>
      <c r="FY524" s="19"/>
      <c r="FZ524" s="19"/>
      <c r="GA524" s="19"/>
      <c r="GB524" s="19"/>
      <c r="GC524" s="19"/>
      <c r="GD524" s="19"/>
      <c r="GE524" s="19"/>
      <c r="GF524" s="19"/>
      <c r="GG524" s="19"/>
      <c r="GH524" s="19"/>
      <c r="GI524" s="19"/>
      <c r="GJ524" s="19"/>
      <c r="GK524" s="19"/>
      <c r="GL524" s="19"/>
      <c r="GM524" s="19"/>
      <c r="GN524" s="19"/>
      <c r="GO524" s="19"/>
      <c r="GP524" s="19"/>
      <c r="GQ524" s="19"/>
      <c r="GR524" s="19"/>
      <c r="GS524" s="19"/>
      <c r="GT524" s="19"/>
      <c r="GU524" s="19"/>
      <c r="GV524" s="19"/>
      <c r="GW524" s="19"/>
      <c r="GX524" s="19"/>
      <c r="GY524" s="19"/>
      <c r="GZ524" s="19"/>
      <c r="HA524" s="19"/>
      <c r="HB524" s="19"/>
    </row>
    <row r="525" spans="1:210" x14ac:dyDescent="0.25">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c r="BE525" s="19"/>
      <c r="BF525" s="19"/>
      <c r="BG525" s="19"/>
      <c r="BH525" s="19"/>
      <c r="BI525" s="19"/>
      <c r="BJ525" s="19"/>
      <c r="BK525" s="19"/>
      <c r="BL525" s="19"/>
      <c r="BM525" s="19"/>
      <c r="BN525" s="19"/>
      <c r="BO525" s="19"/>
      <c r="BP525" s="19"/>
      <c r="BQ525" s="19"/>
      <c r="BR525" s="19"/>
      <c r="BS525" s="19"/>
      <c r="BT525" s="19"/>
      <c r="BU525" s="19"/>
      <c r="BV525" s="19"/>
      <c r="BW525" s="19"/>
      <c r="BX525" s="19"/>
      <c r="BY525" s="19"/>
      <c r="BZ525" s="19"/>
      <c r="CA525" s="19"/>
      <c r="CB525" s="19"/>
      <c r="CC525" s="19"/>
      <c r="CD525" s="19"/>
      <c r="CE525" s="19"/>
      <c r="CF525" s="19"/>
      <c r="CG525" s="19"/>
      <c r="CH525" s="19"/>
      <c r="CI525" s="19"/>
      <c r="CJ525" s="19"/>
      <c r="CK525" s="19"/>
      <c r="CL525" s="19"/>
      <c r="CM525" s="19"/>
      <c r="CN525" s="19"/>
      <c r="CO525" s="19"/>
      <c r="CP525" s="19"/>
      <c r="CQ525" s="19"/>
      <c r="CR525" s="19"/>
      <c r="CS525" s="19"/>
      <c r="CT525" s="19"/>
      <c r="CU525" s="19"/>
      <c r="CV525" s="19"/>
      <c r="CW525" s="19"/>
      <c r="CX525" s="19"/>
      <c r="CY525" s="19"/>
      <c r="CZ525" s="19"/>
      <c r="DA525" s="19"/>
      <c r="DB525" s="19"/>
      <c r="DC525" s="19"/>
      <c r="DD525" s="19"/>
      <c r="DE525" s="19"/>
      <c r="DF525" s="19"/>
      <c r="DG525" s="19"/>
      <c r="DH525" s="19"/>
      <c r="DI525" s="19"/>
      <c r="DJ525" s="19"/>
      <c r="DK525" s="19"/>
      <c r="DL525" s="19"/>
      <c r="DM525" s="19"/>
      <c r="DN525" s="19"/>
      <c r="DO525" s="19"/>
      <c r="DP525" s="19"/>
      <c r="DQ525" s="19"/>
      <c r="DR525" s="19"/>
      <c r="DS525" s="19"/>
      <c r="DT525" s="19"/>
      <c r="DU525" s="19"/>
      <c r="DV525" s="19"/>
      <c r="DW525" s="19"/>
      <c r="DX525" s="19"/>
      <c r="DY525" s="19"/>
      <c r="DZ525" s="19"/>
      <c r="EA525" s="19"/>
      <c r="EB525" s="19"/>
      <c r="EC525" s="19"/>
      <c r="ED525" s="19"/>
      <c r="EE525" s="19"/>
      <c r="EF525" s="19"/>
      <c r="EG525" s="19"/>
      <c r="EH525" s="19"/>
      <c r="EI525" s="19"/>
      <c r="EJ525" s="19"/>
      <c r="EK525" s="19"/>
      <c r="EL525" s="19"/>
      <c r="EM525" s="19"/>
      <c r="EN525" s="19"/>
      <c r="EO525" s="19"/>
      <c r="EP525" s="19"/>
      <c r="EQ525" s="19"/>
      <c r="ER525" s="19"/>
      <c r="ES525" s="19"/>
      <c r="ET525" s="19"/>
      <c r="EU525" s="19"/>
      <c r="EV525" s="19"/>
      <c r="EW525" s="19"/>
      <c r="EX525" s="19"/>
      <c r="EY525" s="19"/>
      <c r="EZ525" s="19"/>
      <c r="FA525" s="19"/>
      <c r="FB525" s="19"/>
      <c r="FC525" s="19"/>
      <c r="FD525" s="19"/>
      <c r="FE525" s="19"/>
      <c r="FF525" s="19"/>
      <c r="FG525" s="19"/>
      <c r="FH525" s="19"/>
      <c r="FI525" s="19"/>
      <c r="FJ525" s="19"/>
      <c r="FK525" s="19"/>
      <c r="FL525" s="19"/>
      <c r="FM525" s="19"/>
      <c r="FN525" s="19"/>
      <c r="FO525" s="19"/>
      <c r="FP525" s="19"/>
      <c r="FQ525" s="19"/>
      <c r="FR525" s="19"/>
      <c r="FS525" s="19"/>
      <c r="FT525" s="19"/>
      <c r="FU525" s="19"/>
      <c r="FV525" s="19"/>
      <c r="FW525" s="19"/>
      <c r="FX525" s="19"/>
      <c r="FY525" s="19"/>
      <c r="FZ525" s="19"/>
      <c r="GA525" s="19"/>
      <c r="GB525" s="19"/>
      <c r="GC525" s="19"/>
      <c r="GD525" s="19"/>
      <c r="GE525" s="19"/>
      <c r="GF525" s="19"/>
      <c r="GG525" s="19"/>
      <c r="GH525" s="19"/>
      <c r="GI525" s="19"/>
      <c r="GJ525" s="19"/>
      <c r="GK525" s="19"/>
      <c r="GL525" s="19"/>
      <c r="GM525" s="19"/>
      <c r="GN525" s="19"/>
      <c r="GO525" s="19"/>
      <c r="GP525" s="19"/>
      <c r="GQ525" s="19"/>
      <c r="GR525" s="19"/>
      <c r="GS525" s="19"/>
      <c r="GT525" s="19"/>
      <c r="GU525" s="19"/>
      <c r="GV525" s="19"/>
      <c r="GW525" s="19"/>
      <c r="GX525" s="19"/>
      <c r="GY525" s="19"/>
      <c r="GZ525" s="19"/>
      <c r="HA525" s="19"/>
      <c r="HB525" s="19"/>
    </row>
    <row r="526" spans="1:210" x14ac:dyDescent="0.25">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c r="BE526" s="19"/>
      <c r="BF526" s="19"/>
      <c r="BG526" s="19"/>
      <c r="BH526" s="19"/>
      <c r="BI526" s="19"/>
      <c r="BJ526" s="19"/>
      <c r="BK526" s="19"/>
      <c r="BL526" s="19"/>
      <c r="BM526" s="19"/>
      <c r="BN526" s="19"/>
      <c r="BO526" s="19"/>
      <c r="BP526" s="19"/>
      <c r="BQ526" s="19"/>
      <c r="BR526" s="19"/>
      <c r="BS526" s="19"/>
      <c r="BT526" s="19"/>
      <c r="BU526" s="19"/>
      <c r="BV526" s="19"/>
      <c r="BW526" s="19"/>
      <c r="BX526" s="19"/>
      <c r="BY526" s="19"/>
      <c r="BZ526" s="19"/>
      <c r="CA526" s="19"/>
      <c r="CB526" s="19"/>
      <c r="CC526" s="19"/>
      <c r="CD526" s="19"/>
      <c r="CE526" s="19"/>
      <c r="CF526" s="19"/>
      <c r="CG526" s="19"/>
      <c r="CH526" s="19"/>
      <c r="CI526" s="19"/>
      <c r="CJ526" s="19"/>
      <c r="CK526" s="19"/>
      <c r="CL526" s="19"/>
      <c r="CM526" s="19"/>
      <c r="CN526" s="19"/>
      <c r="CO526" s="19"/>
      <c r="CP526" s="19"/>
      <c r="CQ526" s="19"/>
      <c r="CR526" s="19"/>
      <c r="CS526" s="19"/>
      <c r="CT526" s="19"/>
      <c r="CU526" s="19"/>
      <c r="CV526" s="19"/>
      <c r="CW526" s="19"/>
      <c r="CX526" s="19"/>
      <c r="CY526" s="19"/>
      <c r="CZ526" s="19"/>
      <c r="DA526" s="19"/>
      <c r="DB526" s="19"/>
      <c r="DC526" s="19"/>
      <c r="DD526" s="19"/>
      <c r="DE526" s="19"/>
      <c r="DF526" s="19"/>
      <c r="DG526" s="19"/>
      <c r="DH526" s="19"/>
      <c r="DI526" s="19"/>
      <c r="DJ526" s="19"/>
      <c r="DK526" s="19"/>
      <c r="DL526" s="19"/>
      <c r="DM526" s="19"/>
      <c r="DN526" s="19"/>
      <c r="DO526" s="19"/>
      <c r="DP526" s="19"/>
      <c r="DQ526" s="19"/>
      <c r="DR526" s="19"/>
      <c r="DS526" s="19"/>
      <c r="DT526" s="19"/>
      <c r="DU526" s="19"/>
      <c r="DV526" s="19"/>
      <c r="DW526" s="19"/>
      <c r="DX526" s="19"/>
      <c r="DY526" s="19"/>
      <c r="DZ526" s="19"/>
      <c r="EA526" s="19"/>
      <c r="EB526" s="19"/>
      <c r="EC526" s="19"/>
      <c r="ED526" s="19"/>
      <c r="EE526" s="19"/>
      <c r="EF526" s="19"/>
      <c r="EG526" s="19"/>
      <c r="EH526" s="19"/>
      <c r="EI526" s="19"/>
      <c r="EJ526" s="19"/>
      <c r="EK526" s="19"/>
      <c r="EL526" s="19"/>
      <c r="EM526" s="19"/>
      <c r="EN526" s="19"/>
      <c r="EO526" s="19"/>
      <c r="EP526" s="19"/>
      <c r="EQ526" s="19"/>
      <c r="ER526" s="19"/>
      <c r="ES526" s="19"/>
      <c r="ET526" s="19"/>
      <c r="EU526" s="19"/>
      <c r="EV526" s="19"/>
      <c r="EW526" s="19"/>
      <c r="EX526" s="19"/>
      <c r="EY526" s="19"/>
      <c r="EZ526" s="19"/>
      <c r="FA526" s="19"/>
      <c r="FB526" s="19"/>
      <c r="FC526" s="19"/>
      <c r="FD526" s="19"/>
      <c r="FE526" s="19"/>
      <c r="FF526" s="19"/>
      <c r="FG526" s="19"/>
      <c r="FH526" s="19"/>
      <c r="FI526" s="19"/>
      <c r="FJ526" s="19"/>
      <c r="FK526" s="19"/>
      <c r="FL526" s="19"/>
      <c r="FM526" s="19"/>
      <c r="FN526" s="19"/>
      <c r="FO526" s="19"/>
      <c r="FP526" s="19"/>
      <c r="FQ526" s="19"/>
      <c r="FR526" s="19"/>
      <c r="FS526" s="19"/>
      <c r="FT526" s="19"/>
      <c r="FU526" s="19"/>
      <c r="FV526" s="19"/>
      <c r="FW526" s="19"/>
      <c r="FX526" s="19"/>
      <c r="FY526" s="19"/>
      <c r="FZ526" s="19"/>
      <c r="GA526" s="19"/>
      <c r="GB526" s="19"/>
      <c r="GC526" s="19"/>
      <c r="GD526" s="19"/>
      <c r="GE526" s="19"/>
      <c r="GF526" s="19"/>
      <c r="GG526" s="19"/>
      <c r="GH526" s="19"/>
      <c r="GI526" s="19"/>
      <c r="GJ526" s="19"/>
      <c r="GK526" s="19"/>
      <c r="GL526" s="19"/>
      <c r="GM526" s="19"/>
      <c r="GN526" s="19"/>
      <c r="GO526" s="19"/>
      <c r="GP526" s="19"/>
      <c r="GQ526" s="19"/>
      <c r="GR526" s="19"/>
      <c r="GS526" s="19"/>
      <c r="GT526" s="19"/>
      <c r="GU526" s="19"/>
      <c r="GV526" s="19"/>
      <c r="GW526" s="19"/>
      <c r="GX526" s="19"/>
      <c r="GY526" s="19"/>
      <c r="GZ526" s="19"/>
      <c r="HA526" s="19"/>
      <c r="HB526" s="19"/>
    </row>
    <row r="527" spans="1:210" x14ac:dyDescent="0.25">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c r="BE527" s="19"/>
      <c r="BF527" s="19"/>
      <c r="BG527" s="19"/>
      <c r="BH527" s="19"/>
      <c r="BI527" s="19"/>
      <c r="BJ527" s="19"/>
      <c r="BK527" s="19"/>
      <c r="BL527" s="19"/>
      <c r="BM527" s="19"/>
      <c r="BN527" s="19"/>
      <c r="BO527" s="19"/>
      <c r="BP527" s="19"/>
      <c r="BQ527" s="19"/>
      <c r="BR527" s="19"/>
      <c r="BS527" s="19"/>
      <c r="BT527" s="19"/>
      <c r="BU527" s="19"/>
      <c r="BV527" s="19"/>
      <c r="BW527" s="19"/>
      <c r="BX527" s="19"/>
      <c r="BY527" s="19"/>
      <c r="BZ527" s="19"/>
      <c r="CA527" s="19"/>
      <c r="CB527" s="19"/>
      <c r="CC527" s="19"/>
      <c r="CD527" s="19"/>
      <c r="CE527" s="19"/>
      <c r="CF527" s="19"/>
      <c r="CG527" s="19"/>
      <c r="CH527" s="19"/>
      <c r="CI527" s="19"/>
      <c r="CJ527" s="19"/>
      <c r="CK527" s="19"/>
      <c r="CL527" s="19"/>
      <c r="CM527" s="19"/>
      <c r="CN527" s="19"/>
      <c r="CO527" s="19"/>
      <c r="CP527" s="19"/>
      <c r="CQ527" s="19"/>
      <c r="CR527" s="19"/>
      <c r="CS527" s="19"/>
      <c r="CT527" s="19"/>
      <c r="CU527" s="19"/>
      <c r="CV527" s="19"/>
      <c r="CW527" s="19"/>
      <c r="CX527" s="19"/>
      <c r="CY527" s="19"/>
      <c r="CZ527" s="19"/>
      <c r="DA527" s="19"/>
      <c r="DB527" s="19"/>
      <c r="DC527" s="19"/>
      <c r="DD527" s="19"/>
      <c r="DE527" s="19"/>
      <c r="DF527" s="19"/>
      <c r="DG527" s="19"/>
      <c r="DH527" s="19"/>
      <c r="DI527" s="19"/>
      <c r="DJ527" s="19"/>
      <c r="DK527" s="19"/>
      <c r="DL527" s="19"/>
      <c r="DM527" s="19"/>
      <c r="DN527" s="19"/>
      <c r="DO527" s="19"/>
      <c r="DP527" s="19"/>
      <c r="DQ527" s="19"/>
      <c r="DR527" s="19"/>
      <c r="DS527" s="19"/>
      <c r="DT527" s="19"/>
      <c r="DU527" s="19"/>
      <c r="DV527" s="19"/>
      <c r="DW527" s="19"/>
      <c r="DX527" s="19"/>
      <c r="DY527" s="19"/>
      <c r="DZ527" s="19"/>
      <c r="EA527" s="19"/>
      <c r="EB527" s="19"/>
      <c r="EC527" s="19"/>
      <c r="ED527" s="19"/>
      <c r="EE527" s="19"/>
      <c r="EF527" s="19"/>
      <c r="EG527" s="19"/>
      <c r="EH527" s="19"/>
      <c r="EI527" s="19"/>
      <c r="EJ527" s="19"/>
      <c r="EK527" s="19"/>
      <c r="EL527" s="19"/>
      <c r="EM527" s="19"/>
      <c r="EN527" s="19"/>
      <c r="EO527" s="19"/>
      <c r="EP527" s="19"/>
      <c r="EQ527" s="19"/>
      <c r="ER527" s="19"/>
      <c r="ES527" s="19"/>
      <c r="ET527" s="19"/>
      <c r="EU527" s="19"/>
      <c r="EV527" s="19"/>
      <c r="EW527" s="19"/>
      <c r="EX527" s="19"/>
      <c r="EY527" s="19"/>
      <c r="EZ527" s="19"/>
      <c r="FA527" s="19"/>
      <c r="FB527" s="19"/>
      <c r="FC527" s="19"/>
      <c r="FD527" s="19"/>
      <c r="FE527" s="19"/>
      <c r="FF527" s="19"/>
      <c r="FG527" s="19"/>
      <c r="FH527" s="19"/>
      <c r="FI527" s="19"/>
      <c r="FJ527" s="19"/>
      <c r="FK527" s="19"/>
      <c r="FL527" s="19"/>
      <c r="FM527" s="19"/>
      <c r="FN527" s="19"/>
      <c r="FO527" s="19"/>
      <c r="FP527" s="19"/>
      <c r="FQ527" s="19"/>
      <c r="FR527" s="19"/>
      <c r="FS527" s="19"/>
      <c r="FT527" s="19"/>
      <c r="FU527" s="19"/>
      <c r="FV527" s="19"/>
      <c r="FW527" s="19"/>
      <c r="FX527" s="19"/>
      <c r="FY527" s="19"/>
      <c r="FZ527" s="19"/>
      <c r="GA527" s="19"/>
      <c r="GB527" s="19"/>
      <c r="GC527" s="19"/>
      <c r="GD527" s="19"/>
      <c r="GE527" s="19"/>
      <c r="GF527" s="19"/>
      <c r="GG527" s="19"/>
      <c r="GH527" s="19"/>
      <c r="GI527" s="19"/>
      <c r="GJ527" s="19"/>
      <c r="GK527" s="19"/>
      <c r="GL527" s="19"/>
      <c r="GM527" s="19"/>
      <c r="GN527" s="19"/>
      <c r="GO527" s="19"/>
      <c r="GP527" s="19"/>
      <c r="GQ527" s="19"/>
      <c r="GR527" s="19"/>
      <c r="GS527" s="19"/>
      <c r="GT527" s="19"/>
      <c r="GU527" s="19"/>
      <c r="GV527" s="19"/>
      <c r="GW527" s="19"/>
      <c r="GX527" s="19"/>
      <c r="GY527" s="19"/>
      <c r="GZ527" s="19"/>
      <c r="HA527" s="19"/>
      <c r="HB527" s="19"/>
    </row>
    <row r="528" spans="1:210" x14ac:dyDescent="0.25">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c r="BE528" s="19"/>
      <c r="BF528" s="19"/>
      <c r="BG528" s="19"/>
      <c r="BH528" s="19"/>
      <c r="BI528" s="19"/>
      <c r="BJ528" s="19"/>
      <c r="BK528" s="19"/>
      <c r="BL528" s="19"/>
      <c r="BM528" s="19"/>
      <c r="BN528" s="19"/>
      <c r="BO528" s="19"/>
      <c r="BP528" s="19"/>
      <c r="BQ528" s="19"/>
      <c r="BR528" s="19"/>
      <c r="BS528" s="19"/>
      <c r="BT528" s="19"/>
      <c r="BU528" s="19"/>
      <c r="BV528" s="19"/>
      <c r="BW528" s="19"/>
      <c r="BX528" s="19"/>
      <c r="BY528" s="19"/>
      <c r="BZ528" s="19"/>
      <c r="CA528" s="19"/>
      <c r="CB528" s="19"/>
      <c r="CC528" s="19"/>
      <c r="CD528" s="19"/>
      <c r="CE528" s="19"/>
      <c r="CF528" s="19"/>
      <c r="CG528" s="19"/>
      <c r="CH528" s="19"/>
      <c r="CI528" s="19"/>
      <c r="CJ528" s="19"/>
      <c r="CK528" s="19"/>
      <c r="CL528" s="19"/>
      <c r="CM528" s="19"/>
      <c r="CN528" s="19"/>
      <c r="CO528" s="19"/>
      <c r="CP528" s="19"/>
      <c r="CQ528" s="19"/>
      <c r="CR528" s="19"/>
      <c r="CS528" s="19"/>
      <c r="CT528" s="19"/>
      <c r="CU528" s="19"/>
      <c r="CV528" s="19"/>
      <c r="CW528" s="19"/>
      <c r="CX528" s="19"/>
      <c r="CY528" s="19"/>
      <c r="CZ528" s="19"/>
      <c r="DA528" s="19"/>
      <c r="DB528" s="19"/>
      <c r="DC528" s="19"/>
      <c r="DD528" s="19"/>
      <c r="DE528" s="19"/>
      <c r="DF528" s="19"/>
      <c r="DG528" s="19"/>
      <c r="DH528" s="19"/>
      <c r="DI528" s="19"/>
      <c r="DJ528" s="19"/>
      <c r="DK528" s="19"/>
      <c r="DL528" s="19"/>
      <c r="DM528" s="19"/>
      <c r="DN528" s="19"/>
      <c r="DO528" s="19"/>
      <c r="DP528" s="19"/>
      <c r="DQ528" s="19"/>
      <c r="DR528" s="19"/>
      <c r="DS528" s="19"/>
      <c r="DT528" s="19"/>
      <c r="DU528" s="19"/>
      <c r="DV528" s="19"/>
      <c r="DW528" s="19"/>
      <c r="DX528" s="19"/>
      <c r="DY528" s="19"/>
      <c r="DZ528" s="19"/>
      <c r="EA528" s="19"/>
      <c r="EB528" s="19"/>
      <c r="EC528" s="19"/>
      <c r="ED528" s="19"/>
      <c r="EE528" s="19"/>
      <c r="EF528" s="19"/>
      <c r="EG528" s="19"/>
      <c r="EH528" s="19"/>
      <c r="EI528" s="19"/>
      <c r="EJ528" s="19"/>
      <c r="EK528" s="19"/>
      <c r="EL528" s="19"/>
      <c r="EM528" s="19"/>
      <c r="EN528" s="19"/>
      <c r="EO528" s="19"/>
      <c r="EP528" s="19"/>
      <c r="EQ528" s="19"/>
      <c r="ER528" s="19"/>
      <c r="ES528" s="19"/>
      <c r="ET528" s="19"/>
      <c r="EU528" s="19"/>
      <c r="EV528" s="19"/>
      <c r="EW528" s="19"/>
      <c r="EX528" s="19"/>
      <c r="EY528" s="19"/>
      <c r="EZ528" s="19"/>
      <c r="FA528" s="19"/>
      <c r="FB528" s="19"/>
      <c r="FC528" s="19"/>
      <c r="FD528" s="19"/>
      <c r="FE528" s="19"/>
      <c r="FF528" s="19"/>
      <c r="FG528" s="19"/>
      <c r="FH528" s="19"/>
      <c r="FI528" s="19"/>
      <c r="FJ528" s="19"/>
      <c r="FK528" s="19"/>
      <c r="FL528" s="19"/>
      <c r="FM528" s="19"/>
      <c r="FN528" s="19"/>
      <c r="FO528" s="19"/>
      <c r="FP528" s="19"/>
      <c r="FQ528" s="19"/>
      <c r="FR528" s="19"/>
      <c r="FS528" s="19"/>
      <c r="FT528" s="19"/>
      <c r="FU528" s="19"/>
      <c r="FV528" s="19"/>
      <c r="FW528" s="19"/>
      <c r="FX528" s="19"/>
      <c r="FY528" s="19"/>
      <c r="FZ528" s="19"/>
      <c r="GA528" s="19"/>
      <c r="GB528" s="19"/>
      <c r="GC528" s="19"/>
      <c r="GD528" s="19"/>
      <c r="GE528" s="19"/>
      <c r="GF528" s="19"/>
      <c r="GG528" s="19"/>
      <c r="GH528" s="19"/>
      <c r="GI528" s="19"/>
      <c r="GJ528" s="19"/>
      <c r="GK528" s="19"/>
      <c r="GL528" s="19"/>
      <c r="GM528" s="19"/>
      <c r="GN528" s="19"/>
      <c r="GO528" s="19"/>
      <c r="GP528" s="19"/>
      <c r="GQ528" s="19"/>
      <c r="GR528" s="19"/>
      <c r="GS528" s="19"/>
      <c r="GT528" s="19"/>
      <c r="GU528" s="19"/>
      <c r="GV528" s="19"/>
      <c r="GW528" s="19"/>
      <c r="GX528" s="19"/>
      <c r="GY528" s="19"/>
      <c r="GZ528" s="19"/>
      <c r="HA528" s="19"/>
      <c r="HB528" s="19"/>
    </row>
    <row r="529" spans="1:210" x14ac:dyDescent="0.25">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c r="BE529" s="19"/>
      <c r="BF529" s="19"/>
      <c r="BG529" s="19"/>
      <c r="BH529" s="19"/>
      <c r="BI529" s="19"/>
      <c r="BJ529" s="19"/>
      <c r="BK529" s="19"/>
      <c r="BL529" s="19"/>
      <c r="BM529" s="19"/>
      <c r="BN529" s="19"/>
      <c r="BO529" s="19"/>
      <c r="BP529" s="19"/>
      <c r="BQ529" s="19"/>
      <c r="BR529" s="19"/>
      <c r="BS529" s="19"/>
      <c r="BT529" s="19"/>
      <c r="BU529" s="19"/>
      <c r="BV529" s="19"/>
      <c r="BW529" s="19"/>
      <c r="BX529" s="19"/>
      <c r="BY529" s="19"/>
      <c r="BZ529" s="19"/>
      <c r="CA529" s="19"/>
      <c r="CB529" s="19"/>
      <c r="CC529" s="19"/>
      <c r="CD529" s="19"/>
      <c r="CE529" s="19"/>
      <c r="CF529" s="19"/>
      <c r="CG529" s="19"/>
      <c r="CH529" s="19"/>
      <c r="CI529" s="19"/>
      <c r="CJ529" s="19"/>
      <c r="CK529" s="19"/>
      <c r="CL529" s="19"/>
      <c r="CM529" s="19"/>
      <c r="CN529" s="19"/>
      <c r="CO529" s="19"/>
      <c r="CP529" s="19"/>
      <c r="CQ529" s="19"/>
      <c r="CR529" s="19"/>
      <c r="CS529" s="19"/>
      <c r="CT529" s="19"/>
      <c r="CU529" s="19"/>
      <c r="CV529" s="19"/>
      <c r="CW529" s="19"/>
      <c r="CX529" s="19"/>
      <c r="CY529" s="19"/>
      <c r="CZ529" s="19"/>
      <c r="DA529" s="19"/>
      <c r="DB529" s="19"/>
      <c r="DC529" s="19"/>
      <c r="DD529" s="19"/>
      <c r="DE529" s="19"/>
      <c r="DF529" s="19"/>
      <c r="DG529" s="19"/>
      <c r="DH529" s="19"/>
      <c r="DI529" s="19"/>
      <c r="DJ529" s="19"/>
      <c r="DK529" s="19"/>
      <c r="DL529" s="19"/>
      <c r="DM529" s="19"/>
      <c r="DN529" s="19"/>
      <c r="DO529" s="19"/>
      <c r="DP529" s="19"/>
      <c r="DQ529" s="19"/>
      <c r="DR529" s="19"/>
      <c r="DS529" s="19"/>
      <c r="DT529" s="19"/>
      <c r="DU529" s="19"/>
      <c r="DV529" s="19"/>
      <c r="DW529" s="19"/>
      <c r="DX529" s="19"/>
      <c r="DY529" s="19"/>
      <c r="DZ529" s="19"/>
      <c r="EA529" s="19"/>
      <c r="EB529" s="19"/>
      <c r="EC529" s="19"/>
      <c r="ED529" s="19"/>
      <c r="EE529" s="19"/>
      <c r="EF529" s="19"/>
      <c r="EG529" s="19"/>
      <c r="EH529" s="19"/>
      <c r="EI529" s="19"/>
      <c r="EJ529" s="19"/>
      <c r="EK529" s="19"/>
      <c r="EL529" s="19"/>
      <c r="EM529" s="19"/>
      <c r="EN529" s="19"/>
      <c r="EO529" s="19"/>
      <c r="EP529" s="19"/>
      <c r="EQ529" s="19"/>
      <c r="ER529" s="19"/>
      <c r="ES529" s="19"/>
      <c r="ET529" s="19"/>
      <c r="EU529" s="19"/>
      <c r="EV529" s="19"/>
      <c r="EW529" s="19"/>
      <c r="EX529" s="19"/>
      <c r="EY529" s="19"/>
      <c r="EZ529" s="19"/>
      <c r="FA529" s="19"/>
      <c r="FB529" s="19"/>
      <c r="FC529" s="19"/>
      <c r="FD529" s="19"/>
      <c r="FE529" s="19"/>
      <c r="FF529" s="19"/>
      <c r="FG529" s="19"/>
      <c r="FH529" s="19"/>
      <c r="FI529" s="19"/>
      <c r="FJ529" s="19"/>
      <c r="FK529" s="19"/>
      <c r="FL529" s="19"/>
      <c r="FM529" s="19"/>
      <c r="FN529" s="19"/>
      <c r="FO529" s="19"/>
      <c r="FP529" s="19"/>
      <c r="FQ529" s="19"/>
      <c r="FR529" s="19"/>
      <c r="FS529" s="19"/>
      <c r="FT529" s="19"/>
      <c r="FU529" s="19"/>
      <c r="FV529" s="19"/>
      <c r="FW529" s="19"/>
      <c r="FX529" s="19"/>
      <c r="FY529" s="19"/>
      <c r="FZ529" s="19"/>
      <c r="GA529" s="19"/>
      <c r="GB529" s="19"/>
      <c r="GC529" s="19"/>
      <c r="GD529" s="19"/>
      <c r="GE529" s="19"/>
      <c r="GF529" s="19"/>
      <c r="GG529" s="19"/>
      <c r="GH529" s="19"/>
      <c r="GI529" s="19"/>
      <c r="GJ529" s="19"/>
      <c r="GK529" s="19"/>
      <c r="GL529" s="19"/>
      <c r="GM529" s="19"/>
      <c r="GN529" s="19"/>
      <c r="GO529" s="19"/>
      <c r="GP529" s="19"/>
      <c r="GQ529" s="19"/>
      <c r="GR529" s="19"/>
      <c r="GS529" s="19"/>
      <c r="GT529" s="19"/>
      <c r="GU529" s="19"/>
      <c r="GV529" s="19"/>
      <c r="GW529" s="19"/>
      <c r="GX529" s="19"/>
      <c r="GY529" s="19"/>
      <c r="GZ529" s="19"/>
      <c r="HA529" s="19"/>
      <c r="HB529" s="19"/>
    </row>
    <row r="530" spans="1:210" x14ac:dyDescent="0.25">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c r="BE530" s="19"/>
      <c r="BF530" s="19"/>
      <c r="BG530" s="19"/>
      <c r="BH530" s="19"/>
      <c r="BI530" s="19"/>
      <c r="BJ530" s="19"/>
      <c r="BK530" s="19"/>
      <c r="BL530" s="19"/>
      <c r="BM530" s="19"/>
      <c r="BN530" s="19"/>
      <c r="BO530" s="19"/>
      <c r="BP530" s="19"/>
      <c r="BQ530" s="19"/>
      <c r="BR530" s="19"/>
      <c r="BS530" s="19"/>
      <c r="BT530" s="19"/>
      <c r="BU530" s="19"/>
      <c r="BV530" s="19"/>
      <c r="BW530" s="19"/>
      <c r="BX530" s="19"/>
      <c r="BY530" s="19"/>
      <c r="BZ530" s="19"/>
      <c r="CA530" s="19"/>
      <c r="CB530" s="19"/>
      <c r="CC530" s="19"/>
      <c r="CD530" s="19"/>
      <c r="CE530" s="19"/>
      <c r="CF530" s="19"/>
      <c r="CG530" s="19"/>
      <c r="CH530" s="19"/>
      <c r="CI530" s="19"/>
      <c r="CJ530" s="19"/>
      <c r="CK530" s="19"/>
      <c r="CL530" s="19"/>
      <c r="CM530" s="19"/>
      <c r="CN530" s="19"/>
      <c r="CO530" s="19"/>
      <c r="CP530" s="19"/>
      <c r="CQ530" s="19"/>
      <c r="CR530" s="19"/>
      <c r="CS530" s="19"/>
      <c r="CT530" s="19"/>
      <c r="CU530" s="19"/>
      <c r="CV530" s="19"/>
      <c r="CW530" s="19"/>
      <c r="CX530" s="19"/>
      <c r="CY530" s="19"/>
      <c r="CZ530" s="19"/>
      <c r="DA530" s="19"/>
      <c r="DB530" s="19"/>
      <c r="DC530" s="19"/>
      <c r="DD530" s="19"/>
      <c r="DE530" s="19"/>
      <c r="DF530" s="19"/>
      <c r="DG530" s="19"/>
      <c r="DH530" s="19"/>
      <c r="DI530" s="19"/>
      <c r="DJ530" s="19"/>
      <c r="DK530" s="19"/>
      <c r="DL530" s="19"/>
      <c r="DM530" s="19"/>
      <c r="DN530" s="19"/>
      <c r="DO530" s="19"/>
      <c r="DP530" s="19"/>
      <c r="DQ530" s="19"/>
      <c r="DR530" s="19"/>
      <c r="DS530" s="19"/>
      <c r="DT530" s="19"/>
      <c r="DU530" s="19"/>
      <c r="DV530" s="19"/>
      <c r="DW530" s="19"/>
      <c r="DX530" s="19"/>
      <c r="DY530" s="19"/>
      <c r="DZ530" s="19"/>
      <c r="EA530" s="19"/>
      <c r="EB530" s="19"/>
      <c r="EC530" s="19"/>
      <c r="ED530" s="19"/>
      <c r="EE530" s="19"/>
      <c r="EF530" s="19"/>
      <c r="EG530" s="19"/>
      <c r="EH530" s="19"/>
      <c r="EI530" s="19"/>
      <c r="EJ530" s="19"/>
      <c r="EK530" s="19"/>
      <c r="EL530" s="19"/>
      <c r="EM530" s="19"/>
      <c r="EN530" s="19"/>
      <c r="EO530" s="19"/>
      <c r="EP530" s="19"/>
      <c r="EQ530" s="19"/>
      <c r="ER530" s="19"/>
      <c r="ES530" s="19"/>
      <c r="ET530" s="19"/>
      <c r="EU530" s="19"/>
      <c r="EV530" s="19"/>
      <c r="EW530" s="19"/>
      <c r="EX530" s="19"/>
      <c r="EY530" s="19"/>
      <c r="EZ530" s="19"/>
      <c r="FA530" s="19"/>
      <c r="FB530" s="19"/>
      <c r="FC530" s="19"/>
      <c r="FD530" s="19"/>
      <c r="FE530" s="19"/>
      <c r="FF530" s="19"/>
      <c r="FG530" s="19"/>
      <c r="FH530" s="19"/>
      <c r="FI530" s="19"/>
      <c r="FJ530" s="19"/>
      <c r="FK530" s="19"/>
      <c r="FL530" s="19"/>
      <c r="FM530" s="19"/>
      <c r="FN530" s="19"/>
      <c r="FO530" s="19"/>
      <c r="FP530" s="19"/>
      <c r="FQ530" s="19"/>
      <c r="FR530" s="19"/>
      <c r="FS530" s="19"/>
      <c r="FT530" s="19"/>
      <c r="FU530" s="19"/>
      <c r="FV530" s="19"/>
      <c r="FW530" s="19"/>
      <c r="FX530" s="19"/>
      <c r="FY530" s="19"/>
      <c r="FZ530" s="19"/>
      <c r="GA530" s="19"/>
      <c r="GB530" s="19"/>
      <c r="GC530" s="19"/>
      <c r="GD530" s="19"/>
      <c r="GE530" s="19"/>
      <c r="GF530" s="19"/>
      <c r="GG530" s="19"/>
      <c r="GH530" s="19"/>
      <c r="GI530" s="19"/>
      <c r="GJ530" s="19"/>
      <c r="GK530" s="19"/>
      <c r="GL530" s="19"/>
      <c r="GM530" s="19"/>
      <c r="GN530" s="19"/>
      <c r="GO530" s="19"/>
      <c r="GP530" s="19"/>
      <c r="GQ530" s="19"/>
      <c r="GR530" s="19"/>
      <c r="GS530" s="19"/>
      <c r="GT530" s="19"/>
      <c r="GU530" s="19"/>
      <c r="GV530" s="19"/>
      <c r="GW530" s="19"/>
      <c r="GX530" s="19"/>
      <c r="GY530" s="19"/>
      <c r="GZ530" s="19"/>
      <c r="HA530" s="19"/>
      <c r="HB530" s="19"/>
    </row>
    <row r="531" spans="1:210" x14ac:dyDescent="0.25">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c r="BE531" s="19"/>
      <c r="BF531" s="19"/>
      <c r="BG531" s="19"/>
      <c r="BH531" s="19"/>
      <c r="BI531" s="19"/>
      <c r="BJ531" s="19"/>
      <c r="BK531" s="19"/>
      <c r="BL531" s="19"/>
      <c r="BM531" s="19"/>
      <c r="BN531" s="19"/>
      <c r="BO531" s="19"/>
      <c r="BP531" s="19"/>
      <c r="BQ531" s="19"/>
      <c r="BR531" s="19"/>
      <c r="BS531" s="19"/>
      <c r="BT531" s="19"/>
      <c r="BU531" s="19"/>
      <c r="BV531" s="19"/>
      <c r="BW531" s="19"/>
      <c r="BX531" s="19"/>
      <c r="BY531" s="19"/>
      <c r="BZ531" s="19"/>
      <c r="CA531" s="19"/>
      <c r="CB531" s="19"/>
      <c r="CC531" s="19"/>
      <c r="CD531" s="19"/>
      <c r="CE531" s="19"/>
      <c r="CF531" s="19"/>
      <c r="CG531" s="19"/>
      <c r="CH531" s="19"/>
      <c r="CI531" s="19"/>
      <c r="CJ531" s="19"/>
      <c r="CK531" s="19"/>
      <c r="CL531" s="19"/>
      <c r="CM531" s="19"/>
      <c r="CN531" s="19"/>
      <c r="CO531" s="19"/>
      <c r="CP531" s="19"/>
      <c r="CQ531" s="19"/>
      <c r="CR531" s="19"/>
      <c r="CS531" s="19"/>
      <c r="CT531" s="19"/>
      <c r="CU531" s="19"/>
      <c r="CV531" s="19"/>
      <c r="CW531" s="19"/>
      <c r="CX531" s="19"/>
      <c r="CY531" s="19"/>
      <c r="CZ531" s="19"/>
      <c r="DA531" s="19"/>
      <c r="DB531" s="19"/>
      <c r="DC531" s="19"/>
      <c r="DD531" s="19"/>
      <c r="DE531" s="19"/>
      <c r="DF531" s="19"/>
      <c r="DG531" s="19"/>
      <c r="DH531" s="19"/>
      <c r="DI531" s="19"/>
      <c r="DJ531" s="19"/>
      <c r="DK531" s="19"/>
      <c r="DL531" s="19"/>
      <c r="DM531" s="19"/>
      <c r="DN531" s="19"/>
      <c r="DO531" s="19"/>
      <c r="DP531" s="19"/>
      <c r="DQ531" s="19"/>
      <c r="DR531" s="19"/>
      <c r="DS531" s="19"/>
      <c r="DT531" s="19"/>
      <c r="DU531" s="19"/>
      <c r="DV531" s="19"/>
      <c r="DW531" s="19"/>
      <c r="DX531" s="19"/>
      <c r="DY531" s="19"/>
      <c r="DZ531" s="19"/>
      <c r="EA531" s="19"/>
      <c r="EB531" s="19"/>
      <c r="EC531" s="19"/>
      <c r="ED531" s="19"/>
      <c r="EE531" s="19"/>
      <c r="EF531" s="19"/>
      <c r="EG531" s="19"/>
      <c r="EH531" s="19"/>
      <c r="EI531" s="19"/>
      <c r="EJ531" s="19"/>
      <c r="EK531" s="19"/>
      <c r="EL531" s="19"/>
      <c r="EM531" s="19"/>
      <c r="EN531" s="19"/>
      <c r="EO531" s="19"/>
      <c r="EP531" s="19"/>
      <c r="EQ531" s="19"/>
      <c r="ER531" s="19"/>
      <c r="ES531" s="19"/>
      <c r="ET531" s="19"/>
      <c r="EU531" s="19"/>
      <c r="EV531" s="19"/>
      <c r="EW531" s="19"/>
      <c r="EX531" s="19"/>
      <c r="EY531" s="19"/>
      <c r="EZ531" s="19"/>
      <c r="FA531" s="19"/>
      <c r="FB531" s="19"/>
      <c r="FC531" s="19"/>
      <c r="FD531" s="19"/>
      <c r="FE531" s="19"/>
      <c r="FF531" s="19"/>
      <c r="FG531" s="19"/>
      <c r="FH531" s="19"/>
      <c r="FI531" s="19"/>
      <c r="FJ531" s="19"/>
      <c r="FK531" s="19"/>
      <c r="FL531" s="19"/>
      <c r="FM531" s="19"/>
      <c r="FN531" s="19"/>
      <c r="FO531" s="19"/>
      <c r="FP531" s="19"/>
      <c r="FQ531" s="19"/>
      <c r="FR531" s="19"/>
      <c r="FS531" s="19"/>
      <c r="FT531" s="19"/>
      <c r="FU531" s="19"/>
      <c r="FV531" s="19"/>
      <c r="FW531" s="19"/>
      <c r="FX531" s="19"/>
      <c r="FY531" s="19"/>
      <c r="FZ531" s="19"/>
      <c r="GA531" s="19"/>
      <c r="GB531" s="19"/>
      <c r="GC531" s="19"/>
      <c r="GD531" s="19"/>
      <c r="GE531" s="19"/>
      <c r="GF531" s="19"/>
      <c r="GG531" s="19"/>
      <c r="GH531" s="19"/>
      <c r="GI531" s="19"/>
      <c r="GJ531" s="19"/>
      <c r="GK531" s="19"/>
      <c r="GL531" s="19"/>
      <c r="GM531" s="19"/>
      <c r="GN531" s="19"/>
      <c r="GO531" s="19"/>
      <c r="GP531" s="19"/>
      <c r="GQ531" s="19"/>
      <c r="GR531" s="19"/>
      <c r="GS531" s="19"/>
      <c r="GT531" s="19"/>
      <c r="GU531" s="19"/>
      <c r="GV531" s="19"/>
      <c r="GW531" s="19"/>
      <c r="GX531" s="19"/>
      <c r="GY531" s="19"/>
      <c r="GZ531" s="19"/>
      <c r="HA531" s="19"/>
      <c r="HB531" s="19"/>
    </row>
    <row r="532" spans="1:210" x14ac:dyDescent="0.25">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c r="BE532" s="19"/>
      <c r="BF532" s="19"/>
      <c r="BG532" s="19"/>
      <c r="BH532" s="19"/>
      <c r="BI532" s="19"/>
      <c r="BJ532" s="19"/>
      <c r="BK532" s="19"/>
      <c r="BL532" s="19"/>
      <c r="BM532" s="19"/>
      <c r="BN532" s="19"/>
      <c r="BO532" s="19"/>
      <c r="BP532" s="19"/>
      <c r="BQ532" s="19"/>
      <c r="BR532" s="19"/>
      <c r="BS532" s="19"/>
      <c r="BT532" s="19"/>
      <c r="BU532" s="19"/>
      <c r="BV532" s="19"/>
      <c r="BW532" s="19"/>
      <c r="BX532" s="19"/>
      <c r="BY532" s="19"/>
      <c r="BZ532" s="19"/>
      <c r="CA532" s="19"/>
      <c r="CB532" s="19"/>
      <c r="CC532" s="19"/>
      <c r="CD532" s="19"/>
      <c r="CE532" s="19"/>
      <c r="CF532" s="19"/>
      <c r="CG532" s="19"/>
      <c r="CH532" s="19"/>
      <c r="CI532" s="19"/>
      <c r="CJ532" s="19"/>
      <c r="CK532" s="19"/>
      <c r="CL532" s="19"/>
      <c r="CM532" s="19"/>
      <c r="CN532" s="19"/>
      <c r="CO532" s="19"/>
      <c r="CP532" s="19"/>
      <c r="CQ532" s="19"/>
      <c r="CR532" s="19"/>
      <c r="CS532" s="19"/>
      <c r="CT532" s="19"/>
      <c r="CU532" s="19"/>
      <c r="CV532" s="19"/>
      <c r="CW532" s="19"/>
      <c r="CX532" s="19"/>
      <c r="CY532" s="19"/>
      <c r="CZ532" s="19"/>
      <c r="DA532" s="19"/>
      <c r="DB532" s="19"/>
      <c r="DC532" s="19"/>
      <c r="DD532" s="19"/>
      <c r="DE532" s="19"/>
      <c r="DF532" s="19"/>
      <c r="DG532" s="19"/>
      <c r="DH532" s="19"/>
      <c r="DI532" s="19"/>
      <c r="DJ532" s="19"/>
      <c r="DK532" s="19"/>
      <c r="DL532" s="19"/>
      <c r="DM532" s="19"/>
      <c r="DN532" s="19"/>
      <c r="DO532" s="19"/>
      <c r="DP532" s="19"/>
      <c r="DQ532" s="19"/>
      <c r="DR532" s="19"/>
      <c r="DS532" s="19"/>
      <c r="DT532" s="19"/>
      <c r="DU532" s="19"/>
      <c r="DV532" s="19"/>
      <c r="DW532" s="19"/>
      <c r="DX532" s="19"/>
      <c r="DY532" s="19"/>
      <c r="DZ532" s="19"/>
      <c r="EA532" s="19"/>
      <c r="EB532" s="19"/>
      <c r="EC532" s="19"/>
      <c r="ED532" s="19"/>
      <c r="EE532" s="19"/>
      <c r="EF532" s="19"/>
      <c r="EG532" s="19"/>
      <c r="EH532" s="19"/>
      <c r="EI532" s="19"/>
      <c r="EJ532" s="19"/>
      <c r="EK532" s="19"/>
      <c r="EL532" s="19"/>
      <c r="EM532" s="19"/>
      <c r="EN532" s="19"/>
      <c r="EO532" s="19"/>
      <c r="EP532" s="19"/>
      <c r="EQ532" s="19"/>
      <c r="ER532" s="19"/>
      <c r="ES532" s="19"/>
      <c r="ET532" s="19"/>
      <c r="EU532" s="19"/>
      <c r="EV532" s="19"/>
      <c r="EW532" s="19"/>
      <c r="EX532" s="19"/>
      <c r="EY532" s="19"/>
      <c r="EZ532" s="19"/>
      <c r="FA532" s="19"/>
      <c r="FB532" s="19"/>
      <c r="FC532" s="19"/>
      <c r="FD532" s="19"/>
      <c r="FE532" s="19"/>
      <c r="FF532" s="19"/>
      <c r="FG532" s="19"/>
      <c r="FH532" s="19"/>
      <c r="FI532" s="19"/>
      <c r="FJ532" s="19"/>
      <c r="FK532" s="19"/>
      <c r="FL532" s="19"/>
      <c r="FM532" s="19"/>
      <c r="FN532" s="19"/>
      <c r="FO532" s="19"/>
      <c r="FP532" s="19"/>
      <c r="FQ532" s="19"/>
      <c r="FR532" s="19"/>
      <c r="FS532" s="19"/>
      <c r="FT532" s="19"/>
      <c r="FU532" s="19"/>
      <c r="FV532" s="19"/>
      <c r="FW532" s="19"/>
      <c r="FX532" s="19"/>
      <c r="FY532" s="19"/>
      <c r="FZ532" s="19"/>
      <c r="GA532" s="19"/>
      <c r="GB532" s="19"/>
      <c r="GC532" s="19"/>
      <c r="GD532" s="19"/>
      <c r="GE532" s="19"/>
      <c r="GF532" s="19"/>
      <c r="GG532" s="19"/>
      <c r="GH532" s="19"/>
      <c r="GI532" s="19"/>
      <c r="GJ532" s="19"/>
      <c r="GK532" s="19"/>
      <c r="GL532" s="19"/>
      <c r="GM532" s="19"/>
      <c r="GN532" s="19"/>
      <c r="GO532" s="19"/>
      <c r="GP532" s="19"/>
      <c r="GQ532" s="19"/>
      <c r="GR532" s="19"/>
      <c r="GS532" s="19"/>
      <c r="GT532" s="19"/>
      <c r="GU532" s="19"/>
      <c r="GV532" s="19"/>
      <c r="GW532" s="19"/>
      <c r="GX532" s="19"/>
      <c r="GY532" s="19"/>
      <c r="GZ532" s="19"/>
      <c r="HA532" s="19"/>
      <c r="HB532" s="19"/>
    </row>
    <row r="533" spans="1:210" x14ac:dyDescent="0.25">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c r="BE533" s="19"/>
      <c r="BF533" s="19"/>
      <c r="BG533" s="19"/>
      <c r="BH533" s="19"/>
      <c r="BI533" s="19"/>
      <c r="BJ533" s="19"/>
      <c r="BK533" s="19"/>
      <c r="BL533" s="19"/>
      <c r="BM533" s="19"/>
      <c r="BN533" s="19"/>
      <c r="BO533" s="19"/>
      <c r="BP533" s="19"/>
      <c r="BQ533" s="19"/>
      <c r="BR533" s="19"/>
      <c r="BS533" s="19"/>
      <c r="BT533" s="19"/>
      <c r="BU533" s="19"/>
      <c r="BV533" s="19"/>
      <c r="BW533" s="19"/>
      <c r="BX533" s="19"/>
      <c r="BY533" s="19"/>
      <c r="BZ533" s="19"/>
      <c r="CA533" s="19"/>
      <c r="CB533" s="19"/>
      <c r="CC533" s="19"/>
      <c r="CD533" s="19"/>
      <c r="CE533" s="19"/>
      <c r="CF533" s="19"/>
      <c r="CG533" s="19"/>
      <c r="CH533" s="19"/>
      <c r="CI533" s="19"/>
      <c r="CJ533" s="19"/>
      <c r="CK533" s="19"/>
      <c r="CL533" s="19"/>
      <c r="CM533" s="19"/>
      <c r="CN533" s="19"/>
      <c r="CO533" s="19"/>
      <c r="CP533" s="19"/>
      <c r="CQ533" s="19"/>
      <c r="CR533" s="19"/>
      <c r="CS533" s="19"/>
      <c r="CT533" s="19"/>
      <c r="CU533" s="19"/>
      <c r="CV533" s="19"/>
      <c r="CW533" s="19"/>
      <c r="CX533" s="19"/>
      <c r="CY533" s="19"/>
      <c r="CZ533" s="19"/>
      <c r="DA533" s="19"/>
      <c r="DB533" s="19"/>
      <c r="DC533" s="19"/>
      <c r="DD533" s="19"/>
      <c r="DE533" s="19"/>
      <c r="DF533" s="19"/>
      <c r="DG533" s="19"/>
      <c r="DH533" s="19"/>
      <c r="DI533" s="19"/>
      <c r="DJ533" s="19"/>
      <c r="DK533" s="19"/>
      <c r="DL533" s="19"/>
      <c r="DM533" s="19"/>
      <c r="DN533" s="19"/>
      <c r="DO533" s="19"/>
      <c r="DP533" s="19"/>
      <c r="DQ533" s="19"/>
      <c r="DR533" s="19"/>
      <c r="DS533" s="19"/>
      <c r="DT533" s="19"/>
      <c r="DU533" s="19"/>
      <c r="DV533" s="19"/>
      <c r="DW533" s="19"/>
      <c r="DX533" s="19"/>
      <c r="DY533" s="19"/>
      <c r="DZ533" s="19"/>
      <c r="EA533" s="19"/>
      <c r="EB533" s="19"/>
      <c r="EC533" s="19"/>
      <c r="ED533" s="19"/>
      <c r="EE533" s="19"/>
      <c r="EF533" s="19"/>
      <c r="EG533" s="19"/>
      <c r="EH533" s="19"/>
      <c r="EI533" s="19"/>
      <c r="EJ533" s="19"/>
      <c r="EK533" s="19"/>
      <c r="EL533" s="19"/>
      <c r="EM533" s="19"/>
      <c r="EN533" s="19"/>
      <c r="EO533" s="19"/>
      <c r="EP533" s="19"/>
      <c r="EQ533" s="19"/>
      <c r="ER533" s="19"/>
      <c r="ES533" s="19"/>
      <c r="ET533" s="19"/>
      <c r="EU533" s="19"/>
      <c r="EV533" s="19"/>
      <c r="EW533" s="19"/>
      <c r="EX533" s="19"/>
      <c r="EY533" s="19"/>
      <c r="EZ533" s="19"/>
      <c r="FA533" s="19"/>
      <c r="FB533" s="19"/>
      <c r="FC533" s="19"/>
      <c r="FD533" s="19"/>
      <c r="FE533" s="19"/>
      <c r="FF533" s="19"/>
      <c r="FG533" s="19"/>
      <c r="FH533" s="19"/>
      <c r="FI533" s="19"/>
      <c r="FJ533" s="19"/>
      <c r="FK533" s="19"/>
      <c r="FL533" s="19"/>
      <c r="FM533" s="19"/>
      <c r="FN533" s="19"/>
      <c r="FO533" s="19"/>
      <c r="FP533" s="19"/>
      <c r="FQ533" s="19"/>
      <c r="FR533" s="19"/>
      <c r="FS533" s="19"/>
      <c r="FT533" s="19"/>
      <c r="FU533" s="19"/>
      <c r="FV533" s="19"/>
      <c r="FW533" s="19"/>
      <c r="FX533" s="19"/>
      <c r="FY533" s="19"/>
      <c r="FZ533" s="19"/>
      <c r="GA533" s="19"/>
      <c r="GB533" s="19"/>
      <c r="GC533" s="19"/>
      <c r="GD533" s="19"/>
      <c r="GE533" s="19"/>
      <c r="GF533" s="19"/>
      <c r="GG533" s="19"/>
      <c r="GH533" s="19"/>
      <c r="GI533" s="19"/>
      <c r="GJ533" s="19"/>
      <c r="GK533" s="19"/>
      <c r="GL533" s="19"/>
      <c r="GM533" s="19"/>
      <c r="GN533" s="19"/>
      <c r="GO533" s="19"/>
      <c r="GP533" s="19"/>
      <c r="GQ533" s="19"/>
      <c r="GR533" s="19"/>
      <c r="GS533" s="19"/>
      <c r="GT533" s="19"/>
      <c r="GU533" s="19"/>
      <c r="GV533" s="19"/>
      <c r="GW533" s="19"/>
      <c r="GX533" s="19"/>
      <c r="GY533" s="19"/>
      <c r="GZ533" s="19"/>
      <c r="HA533" s="19"/>
      <c r="HB533" s="19"/>
    </row>
    <row r="534" spans="1:210" x14ac:dyDescent="0.25">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c r="BE534" s="19"/>
      <c r="BF534" s="19"/>
      <c r="BG534" s="19"/>
      <c r="BH534" s="19"/>
      <c r="BI534" s="19"/>
      <c r="BJ534" s="19"/>
      <c r="BK534" s="19"/>
      <c r="BL534" s="19"/>
      <c r="BM534" s="19"/>
      <c r="BN534" s="19"/>
      <c r="BO534" s="19"/>
      <c r="BP534" s="19"/>
      <c r="BQ534" s="19"/>
      <c r="BR534" s="19"/>
      <c r="BS534" s="19"/>
      <c r="BT534" s="19"/>
      <c r="BU534" s="19"/>
      <c r="BV534" s="19"/>
      <c r="BW534" s="19"/>
      <c r="BX534" s="19"/>
      <c r="BY534" s="19"/>
      <c r="BZ534" s="19"/>
      <c r="CA534" s="19"/>
      <c r="CB534" s="19"/>
      <c r="CC534" s="19"/>
      <c r="CD534" s="19"/>
      <c r="CE534" s="19"/>
      <c r="CF534" s="19"/>
      <c r="CG534" s="19"/>
      <c r="CH534" s="19"/>
      <c r="CI534" s="19"/>
      <c r="CJ534" s="19"/>
      <c r="CK534" s="19"/>
      <c r="CL534" s="19"/>
      <c r="CM534" s="19"/>
      <c r="CN534" s="19"/>
      <c r="CO534" s="19"/>
      <c r="CP534" s="19"/>
      <c r="CQ534" s="19"/>
      <c r="CR534" s="19"/>
      <c r="CS534" s="19"/>
      <c r="CT534" s="19"/>
      <c r="CU534" s="19"/>
      <c r="CV534" s="19"/>
      <c r="CW534" s="19"/>
      <c r="CX534" s="19"/>
      <c r="CY534" s="19"/>
      <c r="CZ534" s="19"/>
      <c r="DA534" s="19"/>
      <c r="DB534" s="19"/>
      <c r="DC534" s="19"/>
      <c r="DD534" s="19"/>
      <c r="DE534" s="19"/>
      <c r="DF534" s="19"/>
      <c r="DG534" s="19"/>
      <c r="DH534" s="19"/>
      <c r="DI534" s="19"/>
      <c r="DJ534" s="19"/>
      <c r="DK534" s="19"/>
      <c r="DL534" s="19"/>
      <c r="DM534" s="19"/>
      <c r="DN534" s="19"/>
      <c r="DO534" s="19"/>
      <c r="DP534" s="19"/>
      <c r="DQ534" s="19"/>
      <c r="DR534" s="19"/>
      <c r="DS534" s="19"/>
      <c r="DT534" s="19"/>
      <c r="DU534" s="19"/>
      <c r="DV534" s="19"/>
      <c r="DW534" s="19"/>
      <c r="DX534" s="19"/>
      <c r="DY534" s="19"/>
      <c r="DZ534" s="19"/>
      <c r="EA534" s="19"/>
      <c r="EB534" s="19"/>
      <c r="EC534" s="19"/>
      <c r="ED534" s="19"/>
      <c r="EE534" s="19"/>
      <c r="EF534" s="19"/>
      <c r="EG534" s="19"/>
      <c r="EH534" s="19"/>
      <c r="EI534" s="19"/>
      <c r="EJ534" s="19"/>
      <c r="EK534" s="19"/>
      <c r="EL534" s="19"/>
      <c r="EM534" s="19"/>
      <c r="EN534" s="19"/>
      <c r="EO534" s="19"/>
      <c r="EP534" s="19"/>
      <c r="EQ534" s="19"/>
      <c r="ER534" s="19"/>
      <c r="ES534" s="19"/>
      <c r="ET534" s="19"/>
      <c r="EU534" s="19"/>
      <c r="EV534" s="19"/>
      <c r="EW534" s="19"/>
      <c r="EX534" s="19"/>
      <c r="EY534" s="19"/>
      <c r="EZ534" s="19"/>
      <c r="FA534" s="19"/>
      <c r="FB534" s="19"/>
      <c r="FC534" s="19"/>
      <c r="FD534" s="19"/>
      <c r="FE534" s="19"/>
      <c r="FF534" s="19"/>
      <c r="FG534" s="19"/>
      <c r="FH534" s="19"/>
      <c r="FI534" s="19"/>
      <c r="FJ534" s="19"/>
      <c r="FK534" s="19"/>
      <c r="FL534" s="19"/>
      <c r="FM534" s="19"/>
      <c r="FN534" s="19"/>
      <c r="FO534" s="19"/>
      <c r="FP534" s="19"/>
      <c r="FQ534" s="19"/>
      <c r="FR534" s="19"/>
      <c r="FS534" s="19"/>
      <c r="FT534" s="19"/>
      <c r="FU534" s="19"/>
      <c r="FV534" s="19"/>
      <c r="FW534" s="19"/>
      <c r="FX534" s="19"/>
      <c r="FY534" s="19"/>
      <c r="FZ534" s="19"/>
      <c r="GA534" s="19"/>
      <c r="GB534" s="19"/>
      <c r="GC534" s="19"/>
      <c r="GD534" s="19"/>
      <c r="GE534" s="19"/>
      <c r="GF534" s="19"/>
      <c r="GG534" s="19"/>
      <c r="GH534" s="19"/>
      <c r="GI534" s="19"/>
      <c r="GJ534" s="19"/>
      <c r="GK534" s="19"/>
      <c r="GL534" s="19"/>
      <c r="GM534" s="19"/>
      <c r="GN534" s="19"/>
      <c r="GO534" s="19"/>
      <c r="GP534" s="19"/>
      <c r="GQ534" s="19"/>
      <c r="GR534" s="19"/>
      <c r="GS534" s="19"/>
      <c r="GT534" s="19"/>
      <c r="GU534" s="19"/>
      <c r="GV534" s="19"/>
      <c r="GW534" s="19"/>
      <c r="GX534" s="19"/>
      <c r="GY534" s="19"/>
      <c r="GZ534" s="19"/>
      <c r="HA534" s="19"/>
      <c r="HB534" s="19"/>
    </row>
    <row r="535" spans="1:210" x14ac:dyDescent="0.25">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c r="BE535" s="19"/>
      <c r="BF535" s="19"/>
      <c r="BG535" s="19"/>
      <c r="BH535" s="19"/>
      <c r="BI535" s="19"/>
      <c r="BJ535" s="19"/>
      <c r="BK535" s="19"/>
      <c r="BL535" s="19"/>
      <c r="BM535" s="19"/>
      <c r="BN535" s="19"/>
      <c r="BO535" s="19"/>
      <c r="BP535" s="19"/>
      <c r="BQ535" s="19"/>
      <c r="BR535" s="19"/>
      <c r="BS535" s="19"/>
      <c r="BT535" s="19"/>
      <c r="BU535" s="19"/>
      <c r="BV535" s="19"/>
      <c r="BW535" s="19"/>
      <c r="BX535" s="19"/>
      <c r="BY535" s="19"/>
      <c r="BZ535" s="19"/>
      <c r="CA535" s="19"/>
      <c r="CB535" s="19"/>
      <c r="CC535" s="19"/>
      <c r="CD535" s="19"/>
      <c r="CE535" s="19"/>
      <c r="CF535" s="19"/>
      <c r="CG535" s="19"/>
      <c r="CH535" s="19"/>
      <c r="CI535" s="19"/>
      <c r="CJ535" s="19"/>
      <c r="CK535" s="19"/>
      <c r="CL535" s="19"/>
      <c r="CM535" s="19"/>
      <c r="CN535" s="19"/>
      <c r="CO535" s="19"/>
      <c r="CP535" s="19"/>
      <c r="CQ535" s="19"/>
      <c r="CR535" s="19"/>
      <c r="CS535" s="19"/>
      <c r="CT535" s="19"/>
      <c r="CU535" s="19"/>
      <c r="CV535" s="19"/>
      <c r="CW535" s="19"/>
      <c r="CX535" s="19"/>
      <c r="CY535" s="19"/>
      <c r="CZ535" s="19"/>
      <c r="DA535" s="19"/>
      <c r="DB535" s="19"/>
      <c r="DC535" s="19"/>
      <c r="DD535" s="19"/>
      <c r="DE535" s="19"/>
      <c r="DF535" s="19"/>
      <c r="DG535" s="19"/>
      <c r="DH535" s="19"/>
      <c r="DI535" s="19"/>
      <c r="DJ535" s="19"/>
      <c r="DK535" s="19"/>
      <c r="DL535" s="19"/>
      <c r="DM535" s="19"/>
      <c r="DN535" s="19"/>
      <c r="DO535" s="19"/>
      <c r="DP535" s="19"/>
      <c r="DQ535" s="19"/>
      <c r="DR535" s="19"/>
      <c r="DS535" s="19"/>
      <c r="DT535" s="19"/>
      <c r="DU535" s="19"/>
      <c r="DV535" s="19"/>
      <c r="DW535" s="19"/>
      <c r="DX535" s="19"/>
      <c r="DY535" s="19"/>
      <c r="DZ535" s="19"/>
      <c r="EA535" s="19"/>
      <c r="EB535" s="19"/>
      <c r="EC535" s="19"/>
      <c r="ED535" s="19"/>
      <c r="EE535" s="19"/>
      <c r="EF535" s="19"/>
      <c r="EG535" s="19"/>
      <c r="EH535" s="19"/>
      <c r="EI535" s="19"/>
      <c r="EJ535" s="19"/>
      <c r="EK535" s="19"/>
      <c r="EL535" s="19"/>
      <c r="EM535" s="19"/>
      <c r="EN535" s="19"/>
      <c r="EO535" s="19"/>
      <c r="EP535" s="19"/>
      <c r="EQ535" s="19"/>
      <c r="ER535" s="19"/>
      <c r="ES535" s="19"/>
      <c r="ET535" s="19"/>
      <c r="EU535" s="19"/>
      <c r="EV535" s="19"/>
      <c r="EW535" s="19"/>
      <c r="EX535" s="19"/>
      <c r="EY535" s="19"/>
      <c r="EZ535" s="19"/>
      <c r="FA535" s="19"/>
      <c r="FB535" s="19"/>
      <c r="FC535" s="19"/>
      <c r="FD535" s="19"/>
      <c r="FE535" s="19"/>
      <c r="FF535" s="19"/>
      <c r="FG535" s="19"/>
      <c r="FH535" s="19"/>
      <c r="FI535" s="19"/>
      <c r="FJ535" s="19"/>
      <c r="FK535" s="19"/>
      <c r="FL535" s="19"/>
      <c r="FM535" s="19"/>
      <c r="FN535" s="19"/>
      <c r="FO535" s="19"/>
      <c r="FP535" s="19"/>
      <c r="FQ535" s="19"/>
      <c r="FR535" s="19"/>
      <c r="FS535" s="19"/>
      <c r="FT535" s="19"/>
      <c r="FU535" s="19"/>
      <c r="FV535" s="19"/>
      <c r="FW535" s="19"/>
      <c r="FX535" s="19"/>
      <c r="FY535" s="19"/>
      <c r="FZ535" s="19"/>
      <c r="GA535" s="19"/>
      <c r="GB535" s="19"/>
      <c r="GC535" s="19"/>
      <c r="GD535" s="19"/>
      <c r="GE535" s="19"/>
      <c r="GF535" s="19"/>
      <c r="GG535" s="19"/>
      <c r="GH535" s="19"/>
      <c r="GI535" s="19"/>
      <c r="GJ535" s="19"/>
      <c r="GK535" s="19"/>
      <c r="GL535" s="19"/>
      <c r="GM535" s="19"/>
      <c r="GN535" s="19"/>
      <c r="GO535" s="19"/>
      <c r="GP535" s="19"/>
      <c r="GQ535" s="19"/>
      <c r="GR535" s="19"/>
      <c r="GS535" s="19"/>
      <c r="GT535" s="19"/>
      <c r="GU535" s="19"/>
      <c r="GV535" s="19"/>
      <c r="GW535" s="19"/>
      <c r="GX535" s="19"/>
      <c r="GY535" s="19"/>
      <c r="GZ535" s="19"/>
      <c r="HA535" s="19"/>
      <c r="HB535" s="19"/>
    </row>
    <row r="536" spans="1:210" x14ac:dyDescent="0.25">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c r="BE536" s="19"/>
      <c r="BF536" s="19"/>
      <c r="BG536" s="19"/>
      <c r="BH536" s="19"/>
      <c r="BI536" s="19"/>
      <c r="BJ536" s="19"/>
      <c r="BK536" s="19"/>
      <c r="BL536" s="19"/>
      <c r="BM536" s="19"/>
      <c r="BN536" s="19"/>
      <c r="BO536" s="19"/>
      <c r="BP536" s="19"/>
      <c r="BQ536" s="19"/>
      <c r="BR536" s="19"/>
      <c r="BS536" s="19"/>
      <c r="BT536" s="19"/>
      <c r="BU536" s="19"/>
      <c r="BV536" s="19"/>
      <c r="BW536" s="19"/>
      <c r="BX536" s="19"/>
      <c r="BY536" s="19"/>
      <c r="BZ536" s="19"/>
      <c r="CA536" s="19"/>
      <c r="CB536" s="19"/>
      <c r="CC536" s="19"/>
      <c r="CD536" s="19"/>
      <c r="CE536" s="19"/>
      <c r="CF536" s="19"/>
      <c r="CG536" s="19"/>
      <c r="CH536" s="19"/>
      <c r="CI536" s="19"/>
      <c r="CJ536" s="19"/>
      <c r="CK536" s="19"/>
      <c r="CL536" s="19"/>
      <c r="CM536" s="19"/>
      <c r="CN536" s="19"/>
      <c r="CO536" s="19"/>
      <c r="CP536" s="19"/>
      <c r="CQ536" s="19"/>
      <c r="CR536" s="19"/>
      <c r="CS536" s="19"/>
      <c r="CT536" s="19"/>
      <c r="CU536" s="19"/>
      <c r="CV536" s="19"/>
      <c r="CW536" s="19"/>
      <c r="CX536" s="19"/>
      <c r="CY536" s="19"/>
      <c r="CZ536" s="19"/>
      <c r="DA536" s="19"/>
      <c r="DB536" s="19"/>
      <c r="DC536" s="19"/>
      <c r="DD536" s="19"/>
      <c r="DE536" s="19"/>
      <c r="DF536" s="19"/>
      <c r="DG536" s="19"/>
      <c r="DH536" s="19"/>
      <c r="DI536" s="19"/>
      <c r="DJ536" s="19"/>
      <c r="DK536" s="19"/>
      <c r="DL536" s="19"/>
      <c r="DM536" s="19"/>
      <c r="DN536" s="19"/>
      <c r="DO536" s="19"/>
      <c r="DP536" s="19"/>
      <c r="DQ536" s="19"/>
      <c r="DR536" s="19"/>
      <c r="DS536" s="19"/>
      <c r="DT536" s="19"/>
      <c r="DU536" s="19"/>
      <c r="DV536" s="19"/>
      <c r="DW536" s="19"/>
      <c r="DX536" s="19"/>
      <c r="DY536" s="19"/>
      <c r="DZ536" s="19"/>
      <c r="EA536" s="19"/>
      <c r="EB536" s="19"/>
      <c r="EC536" s="19"/>
      <c r="ED536" s="19"/>
      <c r="EE536" s="19"/>
      <c r="EF536" s="19"/>
      <c r="EG536" s="19"/>
      <c r="EH536" s="19"/>
      <c r="EI536" s="19"/>
      <c r="EJ536" s="19"/>
      <c r="EK536" s="19"/>
      <c r="EL536" s="19"/>
      <c r="EM536" s="19"/>
      <c r="EN536" s="19"/>
      <c r="EO536" s="19"/>
      <c r="EP536" s="19"/>
      <c r="EQ536" s="19"/>
      <c r="ER536" s="19"/>
      <c r="ES536" s="19"/>
      <c r="ET536" s="19"/>
      <c r="EU536" s="19"/>
      <c r="EV536" s="19"/>
      <c r="EW536" s="19"/>
      <c r="EX536" s="19"/>
      <c r="EY536" s="19"/>
      <c r="EZ536" s="19"/>
      <c r="FA536" s="19"/>
      <c r="FB536" s="19"/>
      <c r="FC536" s="19"/>
      <c r="FD536" s="19"/>
      <c r="FE536" s="19"/>
      <c r="FF536" s="19"/>
      <c r="FG536" s="19"/>
      <c r="FH536" s="19"/>
      <c r="FI536" s="19"/>
      <c r="FJ536" s="19"/>
      <c r="FK536" s="19"/>
      <c r="FL536" s="19"/>
      <c r="FM536" s="19"/>
      <c r="FN536" s="19"/>
      <c r="FO536" s="19"/>
      <c r="FP536" s="19"/>
      <c r="FQ536" s="19"/>
      <c r="FR536" s="19"/>
      <c r="FS536" s="19"/>
      <c r="FT536" s="19"/>
      <c r="FU536" s="19"/>
      <c r="FV536" s="19"/>
      <c r="FW536" s="19"/>
      <c r="FX536" s="19"/>
      <c r="FY536" s="19"/>
      <c r="FZ536" s="19"/>
      <c r="GA536" s="19"/>
      <c r="GB536" s="19"/>
      <c r="GC536" s="19"/>
      <c r="GD536" s="19"/>
      <c r="GE536" s="19"/>
      <c r="GF536" s="19"/>
      <c r="GG536" s="19"/>
      <c r="GH536" s="19"/>
      <c r="GI536" s="19"/>
      <c r="GJ536" s="19"/>
      <c r="GK536" s="19"/>
      <c r="GL536" s="19"/>
      <c r="GM536" s="19"/>
      <c r="GN536" s="19"/>
      <c r="GO536" s="19"/>
      <c r="GP536" s="19"/>
      <c r="GQ536" s="19"/>
      <c r="GR536" s="19"/>
      <c r="GS536" s="19"/>
      <c r="GT536" s="19"/>
      <c r="GU536" s="19"/>
      <c r="GV536" s="19"/>
      <c r="GW536" s="19"/>
      <c r="GX536" s="19"/>
      <c r="GY536" s="19"/>
      <c r="GZ536" s="19"/>
      <c r="HA536" s="19"/>
      <c r="HB536" s="19"/>
    </row>
    <row r="537" spans="1:210" x14ac:dyDescent="0.25">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c r="BE537" s="19"/>
      <c r="BF537" s="19"/>
      <c r="BG537" s="19"/>
      <c r="BH537" s="19"/>
      <c r="BI537" s="19"/>
      <c r="BJ537" s="19"/>
      <c r="BK537" s="19"/>
      <c r="BL537" s="19"/>
      <c r="BM537" s="19"/>
      <c r="BN537" s="19"/>
      <c r="BO537" s="19"/>
      <c r="BP537" s="19"/>
      <c r="BQ537" s="19"/>
      <c r="BR537" s="19"/>
      <c r="BS537" s="19"/>
      <c r="BT537" s="19"/>
      <c r="BU537" s="19"/>
      <c r="BV537" s="19"/>
      <c r="BW537" s="19"/>
      <c r="BX537" s="19"/>
      <c r="BY537" s="19"/>
      <c r="BZ537" s="19"/>
      <c r="CA537" s="19"/>
      <c r="CB537" s="19"/>
      <c r="CC537" s="19"/>
      <c r="CD537" s="19"/>
      <c r="CE537" s="19"/>
      <c r="CF537" s="19"/>
      <c r="CG537" s="19"/>
      <c r="CH537" s="19"/>
      <c r="CI537" s="19"/>
      <c r="CJ537" s="19"/>
      <c r="CK537" s="19"/>
      <c r="CL537" s="19"/>
      <c r="CM537" s="19"/>
      <c r="CN537" s="19"/>
      <c r="CO537" s="19"/>
      <c r="CP537" s="19"/>
      <c r="CQ537" s="19"/>
      <c r="CR537" s="19"/>
      <c r="CS537" s="19"/>
      <c r="CT537" s="19"/>
      <c r="CU537" s="19"/>
      <c r="CV537" s="19"/>
      <c r="CW537" s="19"/>
      <c r="CX537" s="19"/>
      <c r="CY537" s="19"/>
      <c r="CZ537" s="19"/>
      <c r="DA537" s="19"/>
      <c r="DB537" s="19"/>
      <c r="DC537" s="19"/>
      <c r="DD537" s="19"/>
      <c r="DE537" s="19"/>
      <c r="DF537" s="19"/>
      <c r="DG537" s="19"/>
      <c r="DH537" s="19"/>
      <c r="DI537" s="19"/>
      <c r="DJ537" s="19"/>
      <c r="DK537" s="19"/>
      <c r="DL537" s="19"/>
      <c r="DM537" s="19"/>
      <c r="DN537" s="19"/>
      <c r="DO537" s="19"/>
      <c r="DP537" s="19"/>
      <c r="DQ537" s="19"/>
      <c r="DR537" s="19"/>
      <c r="DS537" s="19"/>
      <c r="DT537" s="19"/>
      <c r="DU537" s="19"/>
      <c r="DV537" s="19"/>
      <c r="DW537" s="19"/>
      <c r="DX537" s="19"/>
      <c r="DY537" s="19"/>
      <c r="DZ537" s="19"/>
      <c r="EA537" s="19"/>
      <c r="EB537" s="19"/>
      <c r="EC537" s="19"/>
      <c r="ED537" s="19"/>
      <c r="EE537" s="19"/>
      <c r="EF537" s="19"/>
      <c r="EG537" s="19"/>
      <c r="EH537" s="19"/>
      <c r="EI537" s="19"/>
      <c r="EJ537" s="19"/>
      <c r="EK537" s="19"/>
      <c r="EL537" s="19"/>
      <c r="EM537" s="19"/>
      <c r="EN537" s="19"/>
      <c r="EO537" s="19"/>
      <c r="EP537" s="19"/>
      <c r="EQ537" s="19"/>
      <c r="ER537" s="19"/>
      <c r="ES537" s="19"/>
      <c r="ET537" s="19"/>
      <c r="EU537" s="19"/>
      <c r="EV537" s="19"/>
      <c r="EW537" s="19"/>
      <c r="EX537" s="19"/>
      <c r="EY537" s="19"/>
      <c r="EZ537" s="19"/>
      <c r="FA537" s="19"/>
      <c r="FB537" s="19"/>
      <c r="FC537" s="19"/>
      <c r="FD537" s="19"/>
      <c r="FE537" s="19"/>
      <c r="FF537" s="19"/>
      <c r="FG537" s="19"/>
      <c r="FH537" s="19"/>
      <c r="FI537" s="19"/>
      <c r="FJ537" s="19"/>
      <c r="FK537" s="19"/>
      <c r="FL537" s="19"/>
      <c r="FM537" s="19"/>
      <c r="FN537" s="19"/>
      <c r="FO537" s="19"/>
      <c r="FP537" s="19"/>
      <c r="FQ537" s="19"/>
      <c r="FR537" s="19"/>
      <c r="FS537" s="19"/>
      <c r="FT537" s="19"/>
      <c r="FU537" s="19"/>
      <c r="FV537" s="19"/>
      <c r="FW537" s="19"/>
      <c r="FX537" s="19"/>
      <c r="FY537" s="19"/>
      <c r="FZ537" s="19"/>
      <c r="GA537" s="19"/>
      <c r="GB537" s="19"/>
      <c r="GC537" s="19"/>
      <c r="GD537" s="19"/>
      <c r="GE537" s="19"/>
      <c r="GF537" s="19"/>
      <c r="GG537" s="19"/>
      <c r="GH537" s="19"/>
      <c r="GI537" s="19"/>
      <c r="GJ537" s="19"/>
      <c r="GK537" s="19"/>
      <c r="GL537" s="19"/>
      <c r="GM537" s="19"/>
      <c r="GN537" s="19"/>
      <c r="GO537" s="19"/>
      <c r="GP537" s="19"/>
      <c r="GQ537" s="19"/>
      <c r="GR537" s="19"/>
      <c r="GS537" s="19"/>
      <c r="GT537" s="19"/>
      <c r="GU537" s="19"/>
      <c r="GV537" s="19"/>
      <c r="GW537" s="19"/>
      <c r="GX537" s="19"/>
      <c r="GY537" s="19"/>
      <c r="GZ537" s="19"/>
      <c r="HA537" s="19"/>
      <c r="HB537" s="19"/>
    </row>
    <row r="538" spans="1:210" x14ac:dyDescent="0.25">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c r="BE538" s="19"/>
      <c r="BF538" s="19"/>
      <c r="BG538" s="19"/>
      <c r="BH538" s="19"/>
      <c r="BI538" s="19"/>
      <c r="BJ538" s="19"/>
      <c r="BK538" s="19"/>
      <c r="BL538" s="19"/>
      <c r="BM538" s="19"/>
      <c r="BN538" s="19"/>
      <c r="BO538" s="19"/>
      <c r="BP538" s="19"/>
      <c r="BQ538" s="19"/>
      <c r="BR538" s="19"/>
      <c r="BS538" s="19"/>
      <c r="BT538" s="19"/>
      <c r="BU538" s="19"/>
      <c r="BV538" s="19"/>
      <c r="BW538" s="19"/>
      <c r="BX538" s="19"/>
      <c r="BY538" s="19"/>
      <c r="BZ538" s="19"/>
      <c r="CA538" s="19"/>
      <c r="CB538" s="19"/>
      <c r="CC538" s="19"/>
      <c r="CD538" s="19"/>
      <c r="CE538" s="19"/>
      <c r="CF538" s="19"/>
      <c r="CG538" s="19"/>
      <c r="CH538" s="19"/>
      <c r="CI538" s="19"/>
      <c r="CJ538" s="19"/>
      <c r="CK538" s="19"/>
      <c r="CL538" s="19"/>
      <c r="CM538" s="19"/>
      <c r="CN538" s="19"/>
      <c r="CO538" s="19"/>
      <c r="CP538" s="19"/>
      <c r="CQ538" s="19"/>
      <c r="CR538" s="19"/>
      <c r="CS538" s="19"/>
      <c r="CT538" s="19"/>
      <c r="CU538" s="19"/>
      <c r="CV538" s="19"/>
      <c r="CW538" s="19"/>
      <c r="CX538" s="19"/>
      <c r="CY538" s="19"/>
      <c r="CZ538" s="19"/>
      <c r="DA538" s="19"/>
      <c r="DB538" s="19"/>
      <c r="DC538" s="19"/>
      <c r="DD538" s="19"/>
      <c r="DE538" s="19"/>
      <c r="DF538" s="19"/>
      <c r="DG538" s="19"/>
      <c r="DH538" s="19"/>
      <c r="DI538" s="19"/>
      <c r="DJ538" s="19"/>
      <c r="DK538" s="19"/>
      <c r="DL538" s="19"/>
      <c r="DM538" s="19"/>
      <c r="DN538" s="19"/>
      <c r="DO538" s="19"/>
      <c r="DP538" s="19"/>
      <c r="DQ538" s="19"/>
      <c r="DR538" s="19"/>
      <c r="DS538" s="19"/>
      <c r="DT538" s="19"/>
      <c r="DU538" s="19"/>
      <c r="DV538" s="19"/>
      <c r="DW538" s="19"/>
      <c r="DX538" s="19"/>
      <c r="DY538" s="19"/>
      <c r="DZ538" s="19"/>
      <c r="EA538" s="19"/>
      <c r="EB538" s="19"/>
      <c r="EC538" s="19"/>
      <c r="ED538" s="19"/>
      <c r="EE538" s="19"/>
      <c r="EF538" s="19"/>
      <c r="EG538" s="19"/>
      <c r="EH538" s="19"/>
      <c r="EI538" s="19"/>
      <c r="EJ538" s="19"/>
      <c r="EK538" s="19"/>
      <c r="EL538" s="19"/>
      <c r="EM538" s="19"/>
      <c r="EN538" s="19"/>
      <c r="EO538" s="19"/>
      <c r="EP538" s="19"/>
      <c r="EQ538" s="19"/>
      <c r="ER538" s="19"/>
      <c r="ES538" s="19"/>
      <c r="ET538" s="19"/>
      <c r="EU538" s="19"/>
      <c r="EV538" s="19"/>
      <c r="EW538" s="19"/>
      <c r="EX538" s="19"/>
      <c r="EY538" s="19"/>
      <c r="EZ538" s="19"/>
      <c r="FA538" s="19"/>
      <c r="FB538" s="19"/>
      <c r="FC538" s="19"/>
      <c r="FD538" s="19"/>
      <c r="FE538" s="19"/>
      <c r="FF538" s="19"/>
      <c r="FG538" s="19"/>
      <c r="FH538" s="19"/>
      <c r="FI538" s="19"/>
      <c r="FJ538" s="19"/>
      <c r="FK538" s="19"/>
      <c r="FL538" s="19"/>
      <c r="FM538" s="19"/>
      <c r="FN538" s="19"/>
      <c r="FO538" s="19"/>
      <c r="FP538" s="19"/>
      <c r="FQ538" s="19"/>
      <c r="FR538" s="19"/>
      <c r="FS538" s="19"/>
      <c r="FT538" s="19"/>
      <c r="FU538" s="19"/>
      <c r="FV538" s="19"/>
      <c r="FW538" s="19"/>
      <c r="FX538" s="19"/>
      <c r="FY538" s="19"/>
      <c r="FZ538" s="19"/>
      <c r="GA538" s="19"/>
      <c r="GB538" s="19"/>
      <c r="GC538" s="19"/>
      <c r="GD538" s="19"/>
      <c r="GE538" s="19"/>
      <c r="GF538" s="19"/>
      <c r="GG538" s="19"/>
      <c r="GH538" s="19"/>
      <c r="GI538" s="19"/>
      <c r="GJ538" s="19"/>
      <c r="GK538" s="19"/>
      <c r="GL538" s="19"/>
      <c r="GM538" s="19"/>
      <c r="GN538" s="19"/>
      <c r="GO538" s="19"/>
      <c r="GP538" s="19"/>
      <c r="GQ538" s="19"/>
      <c r="GR538" s="19"/>
      <c r="GS538" s="19"/>
      <c r="GT538" s="19"/>
      <c r="GU538" s="19"/>
      <c r="GV538" s="19"/>
      <c r="GW538" s="19"/>
      <c r="GX538" s="19"/>
      <c r="GY538" s="19"/>
      <c r="GZ538" s="19"/>
      <c r="HA538" s="19"/>
      <c r="HB538" s="19"/>
    </row>
    <row r="539" spans="1:210" x14ac:dyDescent="0.25">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c r="BE539" s="19"/>
      <c r="BF539" s="19"/>
      <c r="BG539" s="19"/>
      <c r="BH539" s="19"/>
      <c r="BI539" s="19"/>
      <c r="BJ539" s="19"/>
      <c r="BK539" s="19"/>
      <c r="BL539" s="19"/>
      <c r="BM539" s="19"/>
      <c r="BN539" s="19"/>
      <c r="BO539" s="19"/>
      <c r="BP539" s="19"/>
      <c r="BQ539" s="19"/>
      <c r="BR539" s="19"/>
      <c r="BS539" s="19"/>
      <c r="BT539" s="19"/>
      <c r="BU539" s="19"/>
      <c r="BV539" s="19"/>
      <c r="BW539" s="19"/>
      <c r="BX539" s="19"/>
      <c r="BY539" s="19"/>
      <c r="BZ539" s="19"/>
      <c r="CA539" s="19"/>
      <c r="CB539" s="19"/>
      <c r="CC539" s="19"/>
      <c r="CD539" s="19"/>
      <c r="CE539" s="19"/>
      <c r="CF539" s="19"/>
      <c r="CG539" s="19"/>
      <c r="CH539" s="19"/>
      <c r="CI539" s="19"/>
      <c r="CJ539" s="19"/>
      <c r="CK539" s="19"/>
      <c r="CL539" s="19"/>
      <c r="CM539" s="19"/>
      <c r="CN539" s="19"/>
      <c r="CO539" s="19"/>
      <c r="CP539" s="19"/>
      <c r="CQ539" s="19"/>
      <c r="CR539" s="19"/>
      <c r="CS539" s="19"/>
      <c r="CT539" s="19"/>
      <c r="CU539" s="19"/>
      <c r="CV539" s="19"/>
      <c r="CW539" s="19"/>
      <c r="CX539" s="19"/>
      <c r="CY539" s="19"/>
      <c r="CZ539" s="19"/>
      <c r="DA539" s="19"/>
      <c r="DB539" s="19"/>
      <c r="DC539" s="19"/>
      <c r="DD539" s="19"/>
      <c r="DE539" s="19"/>
      <c r="DF539" s="19"/>
      <c r="DG539" s="19"/>
      <c r="DH539" s="19"/>
      <c r="DI539" s="19"/>
      <c r="DJ539" s="19"/>
      <c r="DK539" s="19"/>
      <c r="DL539" s="19"/>
      <c r="DM539" s="19"/>
      <c r="DN539" s="19"/>
      <c r="DO539" s="19"/>
      <c r="DP539" s="19"/>
      <c r="DQ539" s="19"/>
      <c r="DR539" s="19"/>
      <c r="DS539" s="19"/>
      <c r="DT539" s="19"/>
      <c r="DU539" s="19"/>
      <c r="DV539" s="19"/>
      <c r="DW539" s="19"/>
      <c r="DX539" s="19"/>
      <c r="DY539" s="19"/>
      <c r="DZ539" s="19"/>
      <c r="EA539" s="19"/>
      <c r="EB539" s="19"/>
      <c r="EC539" s="19"/>
      <c r="ED539" s="19"/>
      <c r="EE539" s="19"/>
      <c r="EF539" s="19"/>
      <c r="EG539" s="19"/>
      <c r="EH539" s="19"/>
      <c r="EI539" s="19"/>
      <c r="EJ539" s="19"/>
      <c r="EK539" s="19"/>
      <c r="EL539" s="19"/>
      <c r="EM539" s="19"/>
      <c r="EN539" s="19"/>
      <c r="EO539" s="19"/>
      <c r="EP539" s="19"/>
      <c r="EQ539" s="19"/>
      <c r="ER539" s="19"/>
      <c r="ES539" s="19"/>
      <c r="ET539" s="19"/>
      <c r="EU539" s="19"/>
      <c r="EV539" s="19"/>
      <c r="EW539" s="19"/>
      <c r="EX539" s="19"/>
      <c r="EY539" s="19"/>
      <c r="EZ539" s="19"/>
      <c r="FA539" s="19"/>
      <c r="FB539" s="19"/>
      <c r="FC539" s="19"/>
      <c r="FD539" s="19"/>
      <c r="FE539" s="19"/>
      <c r="FF539" s="19"/>
      <c r="FG539" s="19"/>
      <c r="FH539" s="19"/>
      <c r="FI539" s="19"/>
      <c r="FJ539" s="19"/>
      <c r="FK539" s="19"/>
      <c r="FL539" s="19"/>
      <c r="FM539" s="19"/>
      <c r="FN539" s="19"/>
      <c r="FO539" s="19"/>
      <c r="FP539" s="19"/>
      <c r="FQ539" s="19"/>
      <c r="FR539" s="19"/>
      <c r="FS539" s="19"/>
      <c r="FT539" s="19"/>
      <c r="FU539" s="19"/>
      <c r="FV539" s="19"/>
      <c r="FW539" s="19"/>
      <c r="FX539" s="19"/>
      <c r="FY539" s="19"/>
      <c r="FZ539" s="19"/>
      <c r="GA539" s="19"/>
      <c r="GB539" s="19"/>
      <c r="GC539" s="19"/>
      <c r="GD539" s="19"/>
      <c r="GE539" s="19"/>
      <c r="GF539" s="19"/>
      <c r="GG539" s="19"/>
      <c r="GH539" s="19"/>
      <c r="GI539" s="19"/>
      <c r="GJ539" s="19"/>
      <c r="GK539" s="19"/>
      <c r="GL539" s="19"/>
      <c r="GM539" s="19"/>
      <c r="GN539" s="19"/>
      <c r="GO539" s="19"/>
      <c r="GP539" s="19"/>
      <c r="GQ539" s="19"/>
      <c r="GR539" s="19"/>
      <c r="GS539" s="19"/>
      <c r="GT539" s="19"/>
      <c r="GU539" s="19"/>
      <c r="GV539" s="19"/>
      <c r="GW539" s="19"/>
      <c r="GX539" s="19"/>
      <c r="GY539" s="19"/>
      <c r="GZ539" s="19"/>
      <c r="HA539" s="19"/>
      <c r="HB539" s="19"/>
    </row>
    <row r="540" spans="1:210" x14ac:dyDescent="0.25">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c r="BE540" s="19"/>
      <c r="BF540" s="19"/>
      <c r="BG540" s="19"/>
      <c r="BH540" s="19"/>
      <c r="BI540" s="19"/>
      <c r="BJ540" s="19"/>
      <c r="BK540" s="19"/>
      <c r="BL540" s="19"/>
      <c r="BM540" s="19"/>
      <c r="BN540" s="19"/>
      <c r="BO540" s="19"/>
      <c r="BP540" s="19"/>
      <c r="BQ540" s="19"/>
      <c r="BR540" s="19"/>
      <c r="BS540" s="19"/>
      <c r="BT540" s="19"/>
      <c r="BU540" s="19"/>
      <c r="BV540" s="19"/>
      <c r="BW540" s="19"/>
      <c r="BX540" s="19"/>
      <c r="BY540" s="19"/>
      <c r="BZ540" s="19"/>
      <c r="CA540" s="19"/>
      <c r="CB540" s="19"/>
      <c r="CC540" s="19"/>
      <c r="CD540" s="19"/>
      <c r="CE540" s="19"/>
      <c r="CF540" s="19"/>
      <c r="CG540" s="19"/>
      <c r="CH540" s="19"/>
      <c r="CI540" s="19"/>
      <c r="CJ540" s="19"/>
      <c r="CK540" s="19"/>
      <c r="CL540" s="19"/>
      <c r="CM540" s="19"/>
      <c r="CN540" s="19"/>
      <c r="CO540" s="19"/>
      <c r="CP540" s="19"/>
      <c r="CQ540" s="19"/>
      <c r="CR540" s="19"/>
      <c r="CS540" s="19"/>
      <c r="CT540" s="19"/>
      <c r="CU540" s="19"/>
      <c r="CV540" s="19"/>
      <c r="CW540" s="19"/>
      <c r="CX540" s="19"/>
      <c r="CY540" s="19"/>
      <c r="CZ540" s="19"/>
      <c r="DA540" s="19"/>
      <c r="DB540" s="19"/>
      <c r="DC540" s="19"/>
      <c r="DD540" s="19"/>
      <c r="DE540" s="19"/>
      <c r="DF540" s="19"/>
      <c r="DG540" s="19"/>
      <c r="DH540" s="19"/>
      <c r="DI540" s="19"/>
      <c r="DJ540" s="19"/>
      <c r="DK540" s="19"/>
      <c r="DL540" s="19"/>
      <c r="DM540" s="19"/>
      <c r="DN540" s="19"/>
      <c r="DO540" s="19"/>
      <c r="DP540" s="19"/>
      <c r="DQ540" s="19"/>
      <c r="DR540" s="19"/>
      <c r="DS540" s="19"/>
      <c r="DT540" s="19"/>
      <c r="DU540" s="19"/>
      <c r="DV540" s="19"/>
      <c r="DW540" s="19"/>
      <c r="DX540" s="19"/>
      <c r="DY540" s="19"/>
      <c r="DZ540" s="19"/>
      <c r="EA540" s="19"/>
      <c r="EB540" s="19"/>
      <c r="EC540" s="19"/>
      <c r="ED540" s="19"/>
      <c r="EE540" s="19"/>
      <c r="EF540" s="19"/>
      <c r="EG540" s="19"/>
      <c r="EH540" s="19"/>
      <c r="EI540" s="19"/>
      <c r="EJ540" s="19"/>
      <c r="EK540" s="19"/>
      <c r="EL540" s="19"/>
      <c r="EM540" s="19"/>
      <c r="EN540" s="19"/>
      <c r="EO540" s="19"/>
      <c r="EP540" s="19"/>
      <c r="EQ540" s="19"/>
      <c r="ER540" s="19"/>
      <c r="ES540" s="19"/>
      <c r="ET540" s="19"/>
      <c r="EU540" s="19"/>
      <c r="EV540" s="19"/>
      <c r="EW540" s="19"/>
      <c r="EX540" s="19"/>
      <c r="EY540" s="19"/>
      <c r="EZ540" s="19"/>
      <c r="FA540" s="19"/>
      <c r="FB540" s="19"/>
      <c r="FC540" s="19"/>
      <c r="FD540" s="19"/>
      <c r="FE540" s="19"/>
      <c r="FF540" s="19"/>
      <c r="FG540" s="19"/>
      <c r="FH540" s="19"/>
      <c r="FI540" s="19"/>
      <c r="FJ540" s="19"/>
      <c r="FK540" s="19"/>
      <c r="FL540" s="19"/>
      <c r="FM540" s="19"/>
      <c r="FN540" s="19"/>
      <c r="FO540" s="19"/>
      <c r="FP540" s="19"/>
      <c r="FQ540" s="19"/>
      <c r="FR540" s="19"/>
      <c r="FS540" s="19"/>
      <c r="FT540" s="19"/>
      <c r="FU540" s="19"/>
      <c r="FV540" s="19"/>
      <c r="FW540" s="19"/>
      <c r="FX540" s="19"/>
      <c r="FY540" s="19"/>
      <c r="FZ540" s="19"/>
      <c r="GA540" s="19"/>
      <c r="GB540" s="19"/>
      <c r="GC540" s="19"/>
      <c r="GD540" s="19"/>
      <c r="GE540" s="19"/>
      <c r="GF540" s="19"/>
      <c r="GG540" s="19"/>
      <c r="GH540" s="19"/>
      <c r="GI540" s="19"/>
      <c r="GJ540" s="19"/>
      <c r="GK540" s="19"/>
      <c r="GL540" s="19"/>
      <c r="GM540" s="19"/>
      <c r="GN540" s="19"/>
      <c r="GO540" s="19"/>
      <c r="GP540" s="19"/>
      <c r="GQ540" s="19"/>
      <c r="GR540" s="19"/>
      <c r="GS540" s="19"/>
      <c r="GT540" s="19"/>
      <c r="GU540" s="19"/>
      <c r="GV540" s="19"/>
      <c r="GW540" s="19"/>
      <c r="GX540" s="19"/>
      <c r="GY540" s="19"/>
      <c r="GZ540" s="19"/>
      <c r="HA540" s="19"/>
      <c r="HB540" s="19"/>
    </row>
    <row r="541" spans="1:210" x14ac:dyDescent="0.25">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c r="BE541" s="19"/>
      <c r="BF541" s="19"/>
      <c r="BG541" s="19"/>
      <c r="BH541" s="19"/>
      <c r="BI541" s="19"/>
      <c r="BJ541" s="19"/>
      <c r="BK541" s="19"/>
      <c r="BL541" s="19"/>
      <c r="BM541" s="19"/>
      <c r="BN541" s="19"/>
      <c r="BO541" s="19"/>
      <c r="BP541" s="19"/>
      <c r="BQ541" s="19"/>
      <c r="BR541" s="19"/>
      <c r="BS541" s="19"/>
      <c r="BT541" s="19"/>
      <c r="BU541" s="19"/>
      <c r="BV541" s="19"/>
      <c r="BW541" s="19"/>
      <c r="BX541" s="19"/>
      <c r="BY541" s="19"/>
      <c r="BZ541" s="19"/>
      <c r="CA541" s="19"/>
      <c r="CB541" s="19"/>
      <c r="CC541" s="19"/>
      <c r="CD541" s="19"/>
      <c r="CE541" s="19"/>
      <c r="CF541" s="19"/>
      <c r="CG541" s="19"/>
      <c r="CH541" s="19"/>
      <c r="CI541" s="19"/>
      <c r="CJ541" s="19"/>
      <c r="CK541" s="19"/>
      <c r="CL541" s="19"/>
      <c r="CM541" s="19"/>
      <c r="CN541" s="19"/>
      <c r="CO541" s="19"/>
      <c r="CP541" s="19"/>
      <c r="CQ541" s="19"/>
      <c r="CR541" s="19"/>
      <c r="CS541" s="19"/>
      <c r="CT541" s="19"/>
      <c r="CU541" s="19"/>
      <c r="CV541" s="19"/>
      <c r="CW541" s="19"/>
      <c r="CX541" s="19"/>
      <c r="CY541" s="19"/>
      <c r="CZ541" s="19"/>
      <c r="DA541" s="19"/>
      <c r="DB541" s="19"/>
      <c r="DC541" s="19"/>
      <c r="DD541" s="19"/>
      <c r="DE541" s="19"/>
      <c r="DF541" s="19"/>
      <c r="DG541" s="19"/>
      <c r="DH541" s="19"/>
      <c r="DI541" s="19"/>
      <c r="DJ541" s="19"/>
      <c r="DK541" s="19"/>
      <c r="DL541" s="19"/>
      <c r="DM541" s="19"/>
      <c r="DN541" s="19"/>
      <c r="DO541" s="19"/>
      <c r="DP541" s="19"/>
      <c r="DQ541" s="19"/>
      <c r="DR541" s="19"/>
      <c r="DS541" s="19"/>
      <c r="DT541" s="19"/>
      <c r="DU541" s="19"/>
      <c r="DV541" s="19"/>
      <c r="DW541" s="19"/>
      <c r="DX541" s="19"/>
      <c r="DY541" s="19"/>
      <c r="DZ541" s="19"/>
      <c r="EA541" s="19"/>
      <c r="EB541" s="19"/>
      <c r="EC541" s="19"/>
      <c r="ED541" s="19"/>
      <c r="EE541" s="19"/>
      <c r="EF541" s="19"/>
      <c r="EG541" s="19"/>
      <c r="EH541" s="19"/>
      <c r="EI541" s="19"/>
      <c r="EJ541" s="19"/>
      <c r="EK541" s="19"/>
      <c r="EL541" s="19"/>
      <c r="EM541" s="19"/>
      <c r="EN541" s="19"/>
      <c r="EO541" s="19"/>
      <c r="EP541" s="19"/>
      <c r="EQ541" s="19"/>
      <c r="ER541" s="19"/>
      <c r="ES541" s="19"/>
      <c r="ET541" s="19"/>
      <c r="EU541" s="19"/>
      <c r="EV541" s="19"/>
      <c r="EW541" s="19"/>
      <c r="EX541" s="19"/>
      <c r="EY541" s="19"/>
      <c r="EZ541" s="19"/>
      <c r="FA541" s="19"/>
      <c r="FB541" s="19"/>
      <c r="FC541" s="19"/>
      <c r="FD541" s="19"/>
      <c r="FE541" s="19"/>
      <c r="FF541" s="19"/>
      <c r="FG541" s="19"/>
      <c r="FH541" s="19"/>
      <c r="FI541" s="19"/>
      <c r="FJ541" s="19"/>
      <c r="FK541" s="19"/>
      <c r="FL541" s="19"/>
      <c r="FM541" s="19"/>
      <c r="FN541" s="19"/>
      <c r="FO541" s="19"/>
      <c r="FP541" s="19"/>
      <c r="FQ541" s="19"/>
      <c r="FR541" s="19"/>
      <c r="FS541" s="19"/>
      <c r="FT541" s="19"/>
      <c r="FU541" s="19"/>
      <c r="FV541" s="19"/>
      <c r="FW541" s="19"/>
      <c r="FX541" s="19"/>
      <c r="FY541" s="19"/>
      <c r="FZ541" s="19"/>
      <c r="GA541" s="19"/>
      <c r="GB541" s="19"/>
      <c r="GC541" s="19"/>
      <c r="GD541" s="19"/>
      <c r="GE541" s="19"/>
      <c r="GF541" s="19"/>
      <c r="GG541" s="19"/>
      <c r="GH541" s="19"/>
      <c r="GI541" s="19"/>
      <c r="GJ541" s="19"/>
      <c r="GK541" s="19"/>
      <c r="GL541" s="19"/>
      <c r="GM541" s="19"/>
      <c r="GN541" s="19"/>
      <c r="GO541" s="19"/>
      <c r="GP541" s="19"/>
      <c r="GQ541" s="19"/>
      <c r="GR541" s="19"/>
      <c r="GS541" s="19"/>
      <c r="GT541" s="19"/>
      <c r="GU541" s="19"/>
      <c r="GV541" s="19"/>
      <c r="GW541" s="19"/>
      <c r="GX541" s="19"/>
      <c r="GY541" s="19"/>
      <c r="GZ541" s="19"/>
      <c r="HA541" s="19"/>
      <c r="HB541" s="19"/>
    </row>
    <row r="542" spans="1:210" x14ac:dyDescent="0.25">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c r="BE542" s="19"/>
      <c r="BF542" s="19"/>
      <c r="BG542" s="19"/>
      <c r="BH542" s="19"/>
      <c r="BI542" s="19"/>
      <c r="BJ542" s="19"/>
      <c r="BK542" s="19"/>
      <c r="BL542" s="19"/>
      <c r="BM542" s="19"/>
      <c r="BN542" s="19"/>
      <c r="BO542" s="19"/>
      <c r="BP542" s="19"/>
      <c r="BQ542" s="19"/>
      <c r="BR542" s="19"/>
      <c r="BS542" s="19"/>
      <c r="BT542" s="19"/>
      <c r="BU542" s="19"/>
      <c r="BV542" s="19"/>
      <c r="BW542" s="19"/>
      <c r="BX542" s="19"/>
      <c r="BY542" s="19"/>
      <c r="BZ542" s="19"/>
      <c r="CA542" s="19"/>
      <c r="CB542" s="19"/>
      <c r="CC542" s="19"/>
      <c r="CD542" s="19"/>
      <c r="CE542" s="19"/>
      <c r="CF542" s="19"/>
      <c r="CG542" s="19"/>
      <c r="CH542" s="19"/>
      <c r="CI542" s="19"/>
      <c r="CJ542" s="19"/>
      <c r="CK542" s="19"/>
      <c r="CL542" s="19"/>
      <c r="CM542" s="19"/>
      <c r="CN542" s="19"/>
      <c r="CO542" s="19"/>
      <c r="CP542" s="19"/>
      <c r="CQ542" s="19"/>
      <c r="CR542" s="19"/>
      <c r="CS542" s="19"/>
      <c r="CT542" s="19"/>
      <c r="CU542" s="19"/>
      <c r="CV542" s="19"/>
      <c r="CW542" s="19"/>
      <c r="CX542" s="19"/>
      <c r="CY542" s="19"/>
      <c r="CZ542" s="19"/>
      <c r="DA542" s="19"/>
      <c r="DB542" s="19"/>
      <c r="DC542" s="19"/>
      <c r="DD542" s="19"/>
      <c r="DE542" s="19"/>
      <c r="DF542" s="19"/>
      <c r="DG542" s="19"/>
      <c r="DH542" s="19"/>
      <c r="DI542" s="19"/>
      <c r="DJ542" s="19"/>
      <c r="DK542" s="19"/>
      <c r="DL542" s="19"/>
      <c r="DM542" s="19"/>
      <c r="DN542" s="19"/>
      <c r="DO542" s="19"/>
      <c r="DP542" s="19"/>
      <c r="DQ542" s="19"/>
      <c r="DR542" s="19"/>
      <c r="DS542" s="19"/>
      <c r="DT542" s="19"/>
      <c r="DU542" s="19"/>
      <c r="DV542" s="19"/>
      <c r="DW542" s="19"/>
      <c r="DX542" s="19"/>
      <c r="DY542" s="19"/>
      <c r="DZ542" s="19"/>
      <c r="EA542" s="19"/>
      <c r="EB542" s="19"/>
      <c r="EC542" s="19"/>
      <c r="ED542" s="19"/>
      <c r="EE542" s="19"/>
      <c r="EF542" s="19"/>
      <c r="EG542" s="19"/>
      <c r="EH542" s="19"/>
      <c r="EI542" s="19"/>
      <c r="EJ542" s="19"/>
      <c r="EK542" s="19"/>
      <c r="EL542" s="19"/>
      <c r="EM542" s="19"/>
      <c r="EN542" s="19"/>
      <c r="EO542" s="19"/>
      <c r="EP542" s="19"/>
      <c r="EQ542" s="19"/>
      <c r="ER542" s="19"/>
      <c r="ES542" s="19"/>
      <c r="ET542" s="19"/>
      <c r="EU542" s="19"/>
      <c r="EV542" s="19"/>
      <c r="EW542" s="19"/>
      <c r="EX542" s="19"/>
      <c r="EY542" s="19"/>
      <c r="EZ542" s="19"/>
      <c r="FA542" s="19"/>
      <c r="FB542" s="19"/>
      <c r="FC542" s="19"/>
      <c r="FD542" s="19"/>
      <c r="FE542" s="19"/>
      <c r="FF542" s="19"/>
      <c r="FG542" s="19"/>
      <c r="FH542" s="19"/>
      <c r="FI542" s="19"/>
      <c r="FJ542" s="19"/>
      <c r="FK542" s="19"/>
      <c r="FL542" s="19"/>
      <c r="FM542" s="19"/>
      <c r="FN542" s="19"/>
      <c r="FO542" s="19"/>
      <c r="FP542" s="19"/>
      <c r="FQ542" s="19"/>
      <c r="FR542" s="19"/>
      <c r="FS542" s="19"/>
      <c r="FT542" s="19"/>
      <c r="FU542" s="19"/>
      <c r="FV542" s="19"/>
      <c r="FW542" s="19"/>
      <c r="FX542" s="19"/>
      <c r="FY542" s="19"/>
      <c r="FZ542" s="19"/>
      <c r="GA542" s="19"/>
      <c r="GB542" s="19"/>
      <c r="GC542" s="19"/>
      <c r="GD542" s="19"/>
      <c r="GE542" s="19"/>
      <c r="GF542" s="19"/>
      <c r="GG542" s="19"/>
      <c r="GH542" s="19"/>
      <c r="GI542" s="19"/>
      <c r="GJ542" s="19"/>
      <c r="GK542" s="19"/>
      <c r="GL542" s="19"/>
      <c r="GM542" s="19"/>
      <c r="GN542" s="19"/>
      <c r="GO542" s="19"/>
      <c r="GP542" s="19"/>
      <c r="GQ542" s="19"/>
      <c r="GR542" s="19"/>
      <c r="GS542" s="19"/>
      <c r="GT542" s="19"/>
      <c r="GU542" s="19"/>
      <c r="GV542" s="19"/>
      <c r="GW542" s="19"/>
      <c r="GX542" s="19"/>
      <c r="GY542" s="19"/>
      <c r="GZ542" s="19"/>
      <c r="HA542" s="19"/>
      <c r="HB542" s="19"/>
    </row>
    <row r="543" spans="1:210" x14ac:dyDescent="0.25">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c r="BE543" s="19"/>
      <c r="BF543" s="19"/>
      <c r="BG543" s="19"/>
      <c r="BH543" s="19"/>
      <c r="BI543" s="19"/>
      <c r="BJ543" s="19"/>
      <c r="BK543" s="19"/>
      <c r="BL543" s="19"/>
      <c r="BM543" s="19"/>
      <c r="BN543" s="19"/>
      <c r="BO543" s="19"/>
      <c r="BP543" s="19"/>
      <c r="BQ543" s="19"/>
      <c r="BR543" s="19"/>
      <c r="BS543" s="19"/>
      <c r="BT543" s="19"/>
      <c r="BU543" s="19"/>
      <c r="BV543" s="19"/>
      <c r="BW543" s="19"/>
      <c r="BX543" s="19"/>
      <c r="BY543" s="19"/>
      <c r="BZ543" s="19"/>
      <c r="CA543" s="19"/>
      <c r="CB543" s="19"/>
      <c r="CC543" s="19"/>
      <c r="CD543" s="19"/>
      <c r="CE543" s="19"/>
      <c r="CF543" s="19"/>
      <c r="CG543" s="19"/>
      <c r="CH543" s="19"/>
      <c r="CI543" s="19"/>
      <c r="CJ543" s="19"/>
      <c r="CK543" s="19"/>
      <c r="CL543" s="19"/>
      <c r="CM543" s="19"/>
      <c r="CN543" s="19"/>
      <c r="CO543" s="19"/>
      <c r="CP543" s="19"/>
      <c r="CQ543" s="19"/>
      <c r="CR543" s="19"/>
      <c r="CS543" s="19"/>
      <c r="CT543" s="19"/>
      <c r="CU543" s="19"/>
      <c r="CV543" s="19"/>
      <c r="CW543" s="19"/>
      <c r="CX543" s="19"/>
      <c r="CY543" s="19"/>
      <c r="CZ543" s="19"/>
      <c r="DA543" s="19"/>
      <c r="DB543" s="19"/>
      <c r="DC543" s="19"/>
      <c r="DD543" s="19"/>
      <c r="DE543" s="19"/>
      <c r="DF543" s="19"/>
      <c r="DG543" s="19"/>
      <c r="DH543" s="19"/>
      <c r="DI543" s="19"/>
      <c r="DJ543" s="19"/>
      <c r="DK543" s="19"/>
      <c r="DL543" s="19"/>
      <c r="DM543" s="19"/>
      <c r="DN543" s="19"/>
      <c r="DO543" s="19"/>
      <c r="DP543" s="19"/>
      <c r="DQ543" s="19"/>
      <c r="DR543" s="19"/>
      <c r="DS543" s="19"/>
      <c r="DT543" s="19"/>
      <c r="DU543" s="19"/>
      <c r="DV543" s="19"/>
      <c r="DW543" s="19"/>
      <c r="DX543" s="19"/>
      <c r="DY543" s="19"/>
      <c r="DZ543" s="19"/>
      <c r="EA543" s="19"/>
      <c r="EB543" s="19"/>
      <c r="EC543" s="19"/>
      <c r="ED543" s="19"/>
      <c r="EE543" s="19"/>
      <c r="EF543" s="19"/>
      <c r="EG543" s="19"/>
      <c r="EH543" s="19"/>
      <c r="EI543" s="19"/>
      <c r="EJ543" s="19"/>
      <c r="EK543" s="19"/>
      <c r="EL543" s="19"/>
      <c r="EM543" s="19"/>
      <c r="EN543" s="19"/>
      <c r="EO543" s="19"/>
      <c r="EP543" s="19"/>
      <c r="EQ543" s="19"/>
      <c r="ER543" s="19"/>
      <c r="ES543" s="19"/>
      <c r="ET543" s="19"/>
      <c r="EU543" s="19"/>
      <c r="EV543" s="19"/>
      <c r="EW543" s="19"/>
      <c r="EX543" s="19"/>
      <c r="EY543" s="19"/>
      <c r="EZ543" s="19"/>
      <c r="FA543" s="19"/>
      <c r="FB543" s="19"/>
      <c r="FC543" s="19"/>
      <c r="FD543" s="19"/>
      <c r="FE543" s="19"/>
      <c r="FF543" s="19"/>
      <c r="FG543" s="19"/>
      <c r="FH543" s="19"/>
      <c r="FI543" s="19"/>
      <c r="FJ543" s="19"/>
      <c r="FK543" s="19"/>
      <c r="FL543" s="19"/>
      <c r="FM543" s="19"/>
      <c r="FN543" s="19"/>
      <c r="FO543" s="19"/>
      <c r="FP543" s="19"/>
      <c r="FQ543" s="19"/>
      <c r="FR543" s="19"/>
      <c r="FS543" s="19"/>
      <c r="FT543" s="19"/>
      <c r="FU543" s="19"/>
      <c r="FV543" s="19"/>
      <c r="FW543" s="19"/>
      <c r="FX543" s="19"/>
      <c r="FY543" s="19"/>
      <c r="FZ543" s="19"/>
      <c r="GA543" s="19"/>
      <c r="GB543" s="19"/>
      <c r="GC543" s="19"/>
      <c r="GD543" s="19"/>
      <c r="GE543" s="19"/>
      <c r="GF543" s="19"/>
      <c r="GG543" s="19"/>
      <c r="GH543" s="19"/>
      <c r="GI543" s="19"/>
      <c r="GJ543" s="19"/>
      <c r="GK543" s="19"/>
      <c r="GL543" s="19"/>
      <c r="GM543" s="19"/>
      <c r="GN543" s="19"/>
      <c r="GO543" s="19"/>
      <c r="GP543" s="19"/>
      <c r="GQ543" s="19"/>
      <c r="GR543" s="19"/>
      <c r="GS543" s="19"/>
      <c r="GT543" s="19"/>
      <c r="GU543" s="19"/>
      <c r="GV543" s="19"/>
      <c r="GW543" s="19"/>
      <c r="GX543" s="19"/>
      <c r="GY543" s="19"/>
      <c r="GZ543" s="19"/>
      <c r="HA543" s="19"/>
      <c r="HB543" s="19"/>
    </row>
    <row r="544" spans="1:210" x14ac:dyDescent="0.25">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c r="BE544" s="19"/>
      <c r="BF544" s="19"/>
      <c r="BG544" s="19"/>
      <c r="BH544" s="19"/>
      <c r="BI544" s="19"/>
      <c r="BJ544" s="19"/>
      <c r="BK544" s="19"/>
      <c r="BL544" s="19"/>
      <c r="BM544" s="19"/>
      <c r="BN544" s="19"/>
      <c r="BO544" s="19"/>
      <c r="BP544" s="19"/>
      <c r="BQ544" s="19"/>
      <c r="BR544" s="19"/>
      <c r="BS544" s="19"/>
      <c r="BT544" s="19"/>
      <c r="BU544" s="19"/>
      <c r="BV544" s="19"/>
      <c r="BW544" s="19"/>
      <c r="BX544" s="19"/>
      <c r="BY544" s="19"/>
      <c r="BZ544" s="19"/>
      <c r="CA544" s="19"/>
      <c r="CB544" s="19"/>
      <c r="CC544" s="19"/>
      <c r="CD544" s="19"/>
      <c r="CE544" s="19"/>
      <c r="CF544" s="19"/>
      <c r="CG544" s="19"/>
      <c r="CH544" s="19"/>
      <c r="CI544" s="19"/>
      <c r="CJ544" s="19"/>
      <c r="CK544" s="19"/>
      <c r="CL544" s="19"/>
      <c r="CM544" s="19"/>
      <c r="CN544" s="19"/>
      <c r="CO544" s="19"/>
      <c r="CP544" s="19"/>
      <c r="CQ544" s="19"/>
      <c r="CR544" s="19"/>
      <c r="CS544" s="19"/>
      <c r="CT544" s="19"/>
      <c r="CU544" s="19"/>
      <c r="CV544" s="19"/>
      <c r="CW544" s="19"/>
      <c r="CX544" s="19"/>
      <c r="CY544" s="19"/>
      <c r="CZ544" s="19"/>
      <c r="DA544" s="19"/>
      <c r="DB544" s="19"/>
      <c r="DC544" s="19"/>
      <c r="DD544" s="19"/>
      <c r="DE544" s="19"/>
      <c r="DF544" s="19"/>
      <c r="DG544" s="19"/>
      <c r="DH544" s="19"/>
      <c r="DI544" s="19"/>
      <c r="DJ544" s="19"/>
      <c r="DK544" s="19"/>
      <c r="DL544" s="19"/>
      <c r="DM544" s="19"/>
      <c r="DN544" s="19"/>
      <c r="DO544" s="19"/>
      <c r="DP544" s="19"/>
      <c r="DQ544" s="19"/>
      <c r="DR544" s="19"/>
      <c r="DS544" s="19"/>
      <c r="DT544" s="19"/>
      <c r="DU544" s="19"/>
      <c r="DV544" s="19"/>
      <c r="DW544" s="19"/>
      <c r="DX544" s="19"/>
      <c r="DY544" s="19"/>
      <c r="DZ544" s="19"/>
      <c r="EA544" s="19"/>
      <c r="EB544" s="19"/>
      <c r="EC544" s="19"/>
      <c r="ED544" s="19"/>
      <c r="EE544" s="19"/>
      <c r="EF544" s="19"/>
      <c r="EG544" s="19"/>
      <c r="EH544" s="19"/>
      <c r="EI544" s="19"/>
      <c r="EJ544" s="19"/>
      <c r="EK544" s="19"/>
      <c r="EL544" s="19"/>
      <c r="EM544" s="19"/>
      <c r="EN544" s="19"/>
      <c r="EO544" s="19"/>
      <c r="EP544" s="19"/>
      <c r="EQ544" s="19"/>
      <c r="ER544" s="19"/>
      <c r="ES544" s="19"/>
      <c r="ET544" s="19"/>
      <c r="EU544" s="19"/>
      <c r="EV544" s="19"/>
      <c r="EW544" s="19"/>
      <c r="EX544" s="19"/>
      <c r="EY544" s="19"/>
      <c r="EZ544" s="19"/>
      <c r="FA544" s="19"/>
      <c r="FB544" s="19"/>
      <c r="FC544" s="19"/>
      <c r="FD544" s="19"/>
      <c r="FE544" s="19"/>
      <c r="FF544" s="19"/>
      <c r="FG544" s="19"/>
      <c r="FH544" s="19"/>
      <c r="FI544" s="19"/>
      <c r="FJ544" s="19"/>
      <c r="FK544" s="19"/>
      <c r="FL544" s="19"/>
      <c r="FM544" s="19"/>
      <c r="FN544" s="19"/>
      <c r="FO544" s="19"/>
      <c r="FP544" s="19"/>
      <c r="FQ544" s="19"/>
      <c r="FR544" s="19"/>
      <c r="FS544" s="19"/>
      <c r="FT544" s="19"/>
      <c r="FU544" s="19"/>
      <c r="FV544" s="19"/>
      <c r="FW544" s="19"/>
      <c r="FX544" s="19"/>
      <c r="FY544" s="19"/>
      <c r="FZ544" s="19"/>
      <c r="GA544" s="19"/>
      <c r="GB544" s="19"/>
      <c r="GC544" s="19"/>
      <c r="GD544" s="19"/>
      <c r="GE544" s="19"/>
      <c r="GF544" s="19"/>
      <c r="GG544" s="19"/>
      <c r="GH544" s="19"/>
      <c r="GI544" s="19"/>
      <c r="GJ544" s="19"/>
      <c r="GK544" s="19"/>
      <c r="GL544" s="19"/>
      <c r="GM544" s="19"/>
      <c r="GN544" s="19"/>
      <c r="GO544" s="19"/>
      <c r="GP544" s="19"/>
      <c r="GQ544" s="19"/>
      <c r="GR544" s="19"/>
      <c r="GS544" s="19"/>
      <c r="GT544" s="19"/>
      <c r="GU544" s="19"/>
      <c r="GV544" s="19"/>
      <c r="GW544" s="19"/>
      <c r="GX544" s="19"/>
      <c r="GY544" s="19"/>
      <c r="GZ544" s="19"/>
      <c r="HA544" s="19"/>
      <c r="HB544" s="19"/>
    </row>
    <row r="545" spans="1:210" x14ac:dyDescent="0.25">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c r="BE545" s="19"/>
      <c r="BF545" s="19"/>
      <c r="BG545" s="19"/>
      <c r="BH545" s="19"/>
      <c r="BI545" s="19"/>
      <c r="BJ545" s="19"/>
      <c r="BK545" s="19"/>
      <c r="BL545" s="19"/>
      <c r="BM545" s="19"/>
      <c r="BN545" s="19"/>
      <c r="BO545" s="19"/>
      <c r="BP545" s="19"/>
      <c r="BQ545" s="19"/>
      <c r="BR545" s="19"/>
      <c r="BS545" s="19"/>
      <c r="BT545" s="19"/>
      <c r="BU545" s="19"/>
      <c r="BV545" s="19"/>
      <c r="BW545" s="19"/>
      <c r="BX545" s="19"/>
      <c r="BY545" s="19"/>
      <c r="BZ545" s="19"/>
      <c r="CA545" s="19"/>
      <c r="CB545" s="19"/>
      <c r="CC545" s="19"/>
      <c r="CD545" s="19"/>
      <c r="CE545" s="19"/>
      <c r="CF545" s="19"/>
      <c r="CG545" s="19"/>
      <c r="CH545" s="19"/>
      <c r="CI545" s="19"/>
      <c r="CJ545" s="19"/>
      <c r="CK545" s="19"/>
      <c r="CL545" s="19"/>
      <c r="CM545" s="19"/>
      <c r="CN545" s="19"/>
      <c r="CO545" s="19"/>
      <c r="CP545" s="19"/>
      <c r="CQ545" s="19"/>
      <c r="CR545" s="19"/>
      <c r="CS545" s="19"/>
      <c r="CT545" s="19"/>
      <c r="CU545" s="19"/>
      <c r="CV545" s="19"/>
      <c r="CW545" s="19"/>
      <c r="CX545" s="19"/>
      <c r="CY545" s="19"/>
      <c r="CZ545" s="19"/>
      <c r="DA545" s="19"/>
      <c r="DB545" s="19"/>
      <c r="DC545" s="19"/>
      <c r="DD545" s="19"/>
      <c r="DE545" s="19"/>
      <c r="DF545" s="19"/>
      <c r="DG545" s="19"/>
      <c r="DH545" s="19"/>
      <c r="DI545" s="19"/>
      <c r="DJ545" s="19"/>
      <c r="DK545" s="19"/>
      <c r="DL545" s="19"/>
      <c r="DM545" s="19"/>
      <c r="DN545" s="19"/>
      <c r="DO545" s="19"/>
      <c r="DP545" s="19"/>
      <c r="DQ545" s="19"/>
      <c r="DR545" s="19"/>
      <c r="DS545" s="19"/>
      <c r="DT545" s="19"/>
      <c r="DU545" s="19"/>
      <c r="DV545" s="19"/>
      <c r="DW545" s="19"/>
      <c r="DX545" s="19"/>
      <c r="DY545" s="19"/>
      <c r="DZ545" s="19"/>
      <c r="EA545" s="19"/>
      <c r="EB545" s="19"/>
      <c r="EC545" s="19"/>
      <c r="ED545" s="19"/>
      <c r="EE545" s="19"/>
      <c r="EF545" s="19"/>
      <c r="EG545" s="19"/>
      <c r="EH545" s="19"/>
      <c r="EI545" s="19"/>
      <c r="EJ545" s="19"/>
      <c r="EK545" s="19"/>
      <c r="EL545" s="19"/>
      <c r="EM545" s="19"/>
      <c r="EN545" s="19"/>
      <c r="EO545" s="19"/>
      <c r="EP545" s="19"/>
      <c r="EQ545" s="19"/>
      <c r="ER545" s="19"/>
      <c r="ES545" s="19"/>
      <c r="ET545" s="19"/>
      <c r="EU545" s="19"/>
      <c r="EV545" s="19"/>
      <c r="EW545" s="19"/>
      <c r="EX545" s="19"/>
      <c r="EY545" s="19"/>
      <c r="EZ545" s="19"/>
      <c r="FA545" s="19"/>
      <c r="FB545" s="19"/>
      <c r="FC545" s="19"/>
      <c r="FD545" s="19"/>
      <c r="FE545" s="19"/>
      <c r="FF545" s="19"/>
      <c r="FG545" s="19"/>
      <c r="FH545" s="19"/>
      <c r="FI545" s="19"/>
      <c r="FJ545" s="19"/>
      <c r="FK545" s="19"/>
      <c r="FL545" s="19"/>
      <c r="FM545" s="19"/>
      <c r="FN545" s="19"/>
      <c r="FO545" s="19"/>
      <c r="FP545" s="19"/>
      <c r="FQ545" s="19"/>
      <c r="FR545" s="19"/>
      <c r="FS545" s="19"/>
      <c r="FT545" s="19"/>
      <c r="FU545" s="19"/>
      <c r="FV545" s="19"/>
      <c r="FW545" s="19"/>
      <c r="FX545" s="19"/>
      <c r="FY545" s="19"/>
      <c r="FZ545" s="19"/>
      <c r="GA545" s="19"/>
      <c r="GB545" s="19"/>
      <c r="GC545" s="19"/>
      <c r="GD545" s="19"/>
      <c r="GE545" s="19"/>
      <c r="GF545" s="19"/>
      <c r="GG545" s="19"/>
      <c r="GH545" s="19"/>
      <c r="GI545" s="19"/>
      <c r="GJ545" s="19"/>
      <c r="GK545" s="19"/>
      <c r="GL545" s="19"/>
      <c r="GM545" s="19"/>
      <c r="GN545" s="19"/>
      <c r="GO545" s="19"/>
      <c r="GP545" s="19"/>
      <c r="GQ545" s="19"/>
      <c r="GR545" s="19"/>
      <c r="GS545" s="19"/>
      <c r="GT545" s="19"/>
      <c r="GU545" s="19"/>
      <c r="GV545" s="19"/>
      <c r="GW545" s="19"/>
      <c r="GX545" s="19"/>
      <c r="GY545" s="19"/>
      <c r="GZ545" s="19"/>
      <c r="HA545" s="19"/>
      <c r="HB545" s="19"/>
    </row>
    <row r="546" spans="1:210" x14ac:dyDescent="0.25">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c r="BE546" s="19"/>
      <c r="BF546" s="19"/>
      <c r="BG546" s="19"/>
      <c r="BH546" s="19"/>
      <c r="BI546" s="19"/>
      <c r="BJ546" s="19"/>
      <c r="BK546" s="19"/>
      <c r="BL546" s="19"/>
      <c r="BM546" s="19"/>
      <c r="BN546" s="19"/>
      <c r="BO546" s="19"/>
      <c r="BP546" s="19"/>
      <c r="BQ546" s="19"/>
      <c r="BR546" s="19"/>
      <c r="BS546" s="19"/>
      <c r="BT546" s="19"/>
      <c r="BU546" s="19"/>
      <c r="BV546" s="19"/>
      <c r="BW546" s="19"/>
      <c r="BX546" s="19"/>
      <c r="BY546" s="19"/>
      <c r="BZ546" s="19"/>
      <c r="CA546" s="19"/>
      <c r="CB546" s="19"/>
      <c r="CC546" s="19"/>
      <c r="CD546" s="19"/>
      <c r="CE546" s="19"/>
      <c r="CF546" s="19"/>
      <c r="CG546" s="19"/>
      <c r="CH546" s="19"/>
      <c r="CI546" s="19"/>
      <c r="CJ546" s="19"/>
      <c r="CK546" s="19"/>
      <c r="CL546" s="19"/>
      <c r="CM546" s="19"/>
      <c r="CN546" s="19"/>
      <c r="CO546" s="19"/>
      <c r="CP546" s="19"/>
      <c r="CQ546" s="19"/>
      <c r="CR546" s="19"/>
      <c r="CS546" s="19"/>
      <c r="CT546" s="19"/>
      <c r="CU546" s="19"/>
      <c r="CV546" s="19"/>
      <c r="CW546" s="19"/>
      <c r="CX546" s="19"/>
      <c r="CY546" s="19"/>
      <c r="CZ546" s="19"/>
      <c r="DA546" s="19"/>
      <c r="DB546" s="19"/>
      <c r="DC546" s="19"/>
      <c r="DD546" s="19"/>
      <c r="DE546" s="19"/>
      <c r="DF546" s="19"/>
      <c r="DG546" s="19"/>
      <c r="DH546" s="19"/>
      <c r="DI546" s="19"/>
      <c r="DJ546" s="19"/>
      <c r="DK546" s="19"/>
      <c r="DL546" s="19"/>
      <c r="DM546" s="19"/>
      <c r="DN546" s="19"/>
      <c r="DO546" s="19"/>
      <c r="DP546" s="19"/>
      <c r="DQ546" s="19"/>
      <c r="DR546" s="19"/>
      <c r="DS546" s="19"/>
      <c r="DT546" s="19"/>
      <c r="DU546" s="19"/>
      <c r="DV546" s="19"/>
      <c r="DW546" s="19"/>
      <c r="DX546" s="19"/>
      <c r="DY546" s="19"/>
      <c r="DZ546" s="19"/>
      <c r="EA546" s="19"/>
      <c r="EB546" s="19"/>
      <c r="EC546" s="19"/>
      <c r="ED546" s="19"/>
      <c r="EE546" s="19"/>
      <c r="EF546" s="19"/>
      <c r="EG546" s="19"/>
      <c r="EH546" s="19"/>
      <c r="EI546" s="19"/>
      <c r="EJ546" s="19"/>
      <c r="EK546" s="19"/>
      <c r="EL546" s="19"/>
      <c r="EM546" s="19"/>
      <c r="EN546" s="19"/>
      <c r="EO546" s="19"/>
      <c r="EP546" s="19"/>
      <c r="EQ546" s="19"/>
      <c r="ER546" s="19"/>
      <c r="ES546" s="19"/>
      <c r="ET546" s="19"/>
      <c r="EU546" s="19"/>
      <c r="EV546" s="19"/>
      <c r="EW546" s="19"/>
      <c r="EX546" s="19"/>
      <c r="EY546" s="19"/>
      <c r="EZ546" s="19"/>
      <c r="FA546" s="19"/>
      <c r="FB546" s="19"/>
      <c r="FC546" s="19"/>
      <c r="FD546" s="19"/>
      <c r="FE546" s="19"/>
      <c r="FF546" s="19"/>
      <c r="FG546" s="19"/>
      <c r="FH546" s="19"/>
      <c r="FI546" s="19"/>
      <c r="FJ546" s="19"/>
      <c r="FK546" s="19"/>
      <c r="FL546" s="19"/>
      <c r="FM546" s="19"/>
      <c r="FN546" s="19"/>
      <c r="FO546" s="19"/>
      <c r="FP546" s="19"/>
      <c r="FQ546" s="19"/>
      <c r="FR546" s="19"/>
      <c r="FS546" s="19"/>
      <c r="FT546" s="19"/>
      <c r="FU546" s="19"/>
      <c r="FV546" s="19"/>
      <c r="FW546" s="19"/>
      <c r="FX546" s="19"/>
      <c r="FY546" s="19"/>
      <c r="FZ546" s="19"/>
      <c r="GA546" s="19"/>
      <c r="GB546" s="19"/>
      <c r="GC546" s="19"/>
      <c r="GD546" s="19"/>
      <c r="GE546" s="19"/>
      <c r="GF546" s="19"/>
      <c r="GG546" s="19"/>
      <c r="GH546" s="19"/>
      <c r="GI546" s="19"/>
      <c r="GJ546" s="19"/>
      <c r="GK546" s="19"/>
      <c r="GL546" s="19"/>
      <c r="GM546" s="19"/>
      <c r="GN546" s="19"/>
      <c r="GO546" s="19"/>
      <c r="GP546" s="19"/>
      <c r="GQ546" s="19"/>
      <c r="GR546" s="19"/>
      <c r="GS546" s="19"/>
      <c r="GT546" s="19"/>
      <c r="GU546" s="19"/>
      <c r="GV546" s="19"/>
      <c r="GW546" s="19"/>
      <c r="GX546" s="19"/>
      <c r="GY546" s="19"/>
      <c r="GZ546" s="19"/>
      <c r="HA546" s="19"/>
      <c r="HB546" s="19"/>
    </row>
    <row r="547" spans="1:210" x14ac:dyDescent="0.25">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c r="BE547" s="19"/>
      <c r="BF547" s="19"/>
      <c r="BG547" s="19"/>
      <c r="BH547" s="19"/>
      <c r="BI547" s="19"/>
      <c r="BJ547" s="19"/>
      <c r="BK547" s="19"/>
      <c r="BL547" s="19"/>
      <c r="BM547" s="19"/>
      <c r="BN547" s="19"/>
      <c r="BO547" s="19"/>
      <c r="BP547" s="19"/>
      <c r="BQ547" s="19"/>
      <c r="BR547" s="19"/>
      <c r="BS547" s="19"/>
      <c r="BT547" s="19"/>
      <c r="BU547" s="19"/>
      <c r="BV547" s="19"/>
      <c r="BW547" s="19"/>
      <c r="BX547" s="19"/>
      <c r="BY547" s="19"/>
      <c r="BZ547" s="19"/>
      <c r="CA547" s="19"/>
      <c r="CB547" s="19"/>
      <c r="CC547" s="19"/>
      <c r="CD547" s="19"/>
      <c r="CE547" s="19"/>
      <c r="CF547" s="19"/>
      <c r="CG547" s="19"/>
      <c r="CH547" s="19"/>
      <c r="CI547" s="19"/>
      <c r="CJ547" s="19"/>
      <c r="CK547" s="19"/>
      <c r="CL547" s="19"/>
      <c r="CM547" s="19"/>
      <c r="CN547" s="19"/>
      <c r="CO547" s="19"/>
      <c r="CP547" s="19"/>
      <c r="CQ547" s="19"/>
      <c r="CR547" s="19"/>
      <c r="CS547" s="19"/>
      <c r="CT547" s="19"/>
      <c r="CU547" s="19"/>
      <c r="CV547" s="19"/>
      <c r="CW547" s="19"/>
      <c r="CX547" s="19"/>
      <c r="CY547" s="19"/>
      <c r="CZ547" s="19"/>
      <c r="DA547" s="19"/>
      <c r="DB547" s="19"/>
      <c r="DC547" s="19"/>
      <c r="DD547" s="19"/>
      <c r="DE547" s="19"/>
      <c r="DF547" s="19"/>
      <c r="DG547" s="19"/>
      <c r="DH547" s="19"/>
      <c r="DI547" s="19"/>
      <c r="DJ547" s="19"/>
      <c r="DK547" s="19"/>
      <c r="DL547" s="19"/>
      <c r="DM547" s="19"/>
      <c r="DN547" s="19"/>
      <c r="DO547" s="19"/>
      <c r="DP547" s="19"/>
      <c r="DQ547" s="19"/>
      <c r="DR547" s="19"/>
      <c r="DS547" s="19"/>
      <c r="DT547" s="19"/>
      <c r="DU547" s="19"/>
      <c r="DV547" s="19"/>
      <c r="DW547" s="19"/>
      <c r="DX547" s="19"/>
      <c r="DY547" s="19"/>
      <c r="DZ547" s="19"/>
      <c r="EA547" s="19"/>
      <c r="EB547" s="19"/>
      <c r="EC547" s="19"/>
      <c r="ED547" s="19"/>
      <c r="EE547" s="19"/>
      <c r="EF547" s="19"/>
      <c r="EG547" s="19"/>
      <c r="EH547" s="19"/>
      <c r="EI547" s="19"/>
      <c r="EJ547" s="19"/>
      <c r="EK547" s="19"/>
      <c r="EL547" s="19"/>
      <c r="EM547" s="19"/>
      <c r="EN547" s="19"/>
      <c r="EO547" s="19"/>
      <c r="EP547" s="19"/>
      <c r="EQ547" s="19"/>
      <c r="ER547" s="19"/>
      <c r="ES547" s="19"/>
      <c r="ET547" s="19"/>
      <c r="EU547" s="19"/>
      <c r="EV547" s="19"/>
      <c r="EW547" s="19"/>
      <c r="EX547" s="19"/>
      <c r="EY547" s="19"/>
      <c r="EZ547" s="19"/>
      <c r="FA547" s="19"/>
      <c r="FB547" s="19"/>
      <c r="FC547" s="19"/>
      <c r="FD547" s="19"/>
      <c r="FE547" s="19"/>
      <c r="FF547" s="19"/>
      <c r="FG547" s="19"/>
      <c r="FH547" s="19"/>
      <c r="FI547" s="19"/>
      <c r="FJ547" s="19"/>
      <c r="FK547" s="19"/>
      <c r="FL547" s="19"/>
      <c r="FM547" s="19"/>
      <c r="FN547" s="19"/>
      <c r="FO547" s="19"/>
      <c r="FP547" s="19"/>
      <c r="FQ547" s="19"/>
      <c r="FR547" s="19"/>
      <c r="FS547" s="19"/>
      <c r="FT547" s="19"/>
      <c r="FU547" s="19"/>
      <c r="FV547" s="19"/>
      <c r="FW547" s="19"/>
      <c r="FX547" s="19"/>
      <c r="FY547" s="19"/>
      <c r="FZ547" s="19"/>
      <c r="GA547" s="19"/>
      <c r="GB547" s="19"/>
      <c r="GC547" s="19"/>
      <c r="GD547" s="19"/>
      <c r="GE547" s="19"/>
      <c r="GF547" s="19"/>
      <c r="GG547" s="19"/>
      <c r="GH547" s="19"/>
      <c r="GI547" s="19"/>
      <c r="GJ547" s="19"/>
      <c r="GK547" s="19"/>
      <c r="GL547" s="19"/>
      <c r="GM547" s="19"/>
      <c r="GN547" s="19"/>
      <c r="GO547" s="19"/>
      <c r="GP547" s="19"/>
      <c r="GQ547" s="19"/>
      <c r="GR547" s="19"/>
      <c r="GS547" s="19"/>
      <c r="GT547" s="19"/>
      <c r="GU547" s="19"/>
      <c r="GV547" s="19"/>
      <c r="GW547" s="19"/>
      <c r="GX547" s="19"/>
      <c r="GY547" s="19"/>
      <c r="GZ547" s="19"/>
      <c r="HA547" s="19"/>
      <c r="HB547" s="19"/>
    </row>
    <row r="548" spans="1:210" x14ac:dyDescent="0.25">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c r="BE548" s="19"/>
      <c r="BF548" s="19"/>
      <c r="BG548" s="19"/>
      <c r="BH548" s="19"/>
      <c r="BI548" s="19"/>
      <c r="BJ548" s="19"/>
      <c r="BK548" s="19"/>
      <c r="BL548" s="19"/>
      <c r="BM548" s="19"/>
      <c r="BN548" s="19"/>
      <c r="BO548" s="19"/>
      <c r="BP548" s="19"/>
      <c r="BQ548" s="19"/>
      <c r="BR548" s="19"/>
      <c r="BS548" s="19"/>
      <c r="BT548" s="19"/>
      <c r="BU548" s="19"/>
      <c r="BV548" s="19"/>
      <c r="BW548" s="19"/>
      <c r="BX548" s="19"/>
      <c r="BY548" s="19"/>
      <c r="BZ548" s="19"/>
      <c r="CA548" s="19"/>
      <c r="CB548" s="19"/>
      <c r="CC548" s="19"/>
      <c r="CD548" s="19"/>
      <c r="CE548" s="19"/>
      <c r="CF548" s="19"/>
      <c r="CG548" s="19"/>
      <c r="CH548" s="19"/>
      <c r="CI548" s="19"/>
      <c r="CJ548" s="19"/>
      <c r="CK548" s="19"/>
      <c r="CL548" s="19"/>
      <c r="CM548" s="19"/>
      <c r="CN548" s="19"/>
      <c r="CO548" s="19"/>
      <c r="CP548" s="19"/>
      <c r="CQ548" s="19"/>
      <c r="CR548" s="19"/>
      <c r="CS548" s="19"/>
      <c r="CT548" s="19"/>
      <c r="CU548" s="19"/>
      <c r="CV548" s="19"/>
      <c r="CW548" s="19"/>
      <c r="CX548" s="19"/>
      <c r="CY548" s="19"/>
      <c r="CZ548" s="19"/>
      <c r="DA548" s="19"/>
      <c r="DB548" s="19"/>
      <c r="DC548" s="19"/>
      <c r="DD548" s="19"/>
      <c r="DE548" s="19"/>
      <c r="DF548" s="19"/>
      <c r="DG548" s="19"/>
      <c r="DH548" s="19"/>
      <c r="DI548" s="19"/>
      <c r="DJ548" s="19"/>
      <c r="DK548" s="19"/>
      <c r="DL548" s="19"/>
      <c r="DM548" s="19"/>
      <c r="DN548" s="19"/>
      <c r="DO548" s="19"/>
      <c r="DP548" s="19"/>
      <c r="DQ548" s="19"/>
      <c r="DR548" s="19"/>
      <c r="DS548" s="19"/>
      <c r="DT548" s="19"/>
      <c r="DU548" s="19"/>
      <c r="DV548" s="19"/>
      <c r="DW548" s="19"/>
      <c r="DX548" s="19"/>
      <c r="DY548" s="19"/>
      <c r="DZ548" s="19"/>
      <c r="EA548" s="19"/>
      <c r="EB548" s="19"/>
      <c r="EC548" s="19"/>
      <c r="ED548" s="19"/>
      <c r="EE548" s="19"/>
      <c r="EF548" s="19"/>
      <c r="EG548" s="19"/>
      <c r="EH548" s="19"/>
      <c r="EI548" s="19"/>
      <c r="EJ548" s="19"/>
      <c r="EK548" s="19"/>
      <c r="EL548" s="19"/>
      <c r="EM548" s="19"/>
      <c r="EN548" s="19"/>
      <c r="EO548" s="19"/>
      <c r="EP548" s="19"/>
      <c r="EQ548" s="19"/>
      <c r="ER548" s="19"/>
      <c r="ES548" s="19"/>
      <c r="ET548" s="19"/>
      <c r="EU548" s="19"/>
      <c r="EV548" s="19"/>
      <c r="EW548" s="19"/>
      <c r="EX548" s="19"/>
      <c r="EY548" s="19"/>
      <c r="EZ548" s="19"/>
      <c r="FA548" s="19"/>
      <c r="FB548" s="19"/>
      <c r="FC548" s="19"/>
      <c r="FD548" s="19"/>
      <c r="FE548" s="19"/>
      <c r="FF548" s="19"/>
      <c r="FG548" s="19"/>
      <c r="FH548" s="19"/>
      <c r="FI548" s="19"/>
      <c r="FJ548" s="19"/>
      <c r="FK548" s="19"/>
      <c r="FL548" s="19"/>
      <c r="FM548" s="19"/>
      <c r="FN548" s="19"/>
      <c r="FO548" s="19"/>
      <c r="FP548" s="19"/>
      <c r="FQ548" s="19"/>
      <c r="FR548" s="19"/>
      <c r="FS548" s="19"/>
      <c r="FT548" s="19"/>
      <c r="FU548" s="19"/>
      <c r="FV548" s="19"/>
      <c r="FW548" s="19"/>
      <c r="FX548" s="19"/>
      <c r="FY548" s="19"/>
      <c r="FZ548" s="19"/>
      <c r="GA548" s="19"/>
      <c r="GB548" s="19"/>
      <c r="GC548" s="19"/>
      <c r="GD548" s="19"/>
      <c r="GE548" s="19"/>
      <c r="GF548" s="19"/>
      <c r="GG548" s="19"/>
      <c r="GH548" s="19"/>
      <c r="GI548" s="19"/>
      <c r="GJ548" s="19"/>
      <c r="GK548" s="19"/>
      <c r="GL548" s="19"/>
      <c r="GM548" s="19"/>
      <c r="GN548" s="19"/>
      <c r="GO548" s="19"/>
      <c r="GP548" s="19"/>
      <c r="GQ548" s="19"/>
      <c r="GR548" s="19"/>
      <c r="GS548" s="19"/>
      <c r="GT548" s="19"/>
      <c r="GU548" s="19"/>
      <c r="GV548" s="19"/>
      <c r="GW548" s="19"/>
      <c r="GX548" s="19"/>
      <c r="GY548" s="19"/>
      <c r="GZ548" s="19"/>
      <c r="HA548" s="19"/>
      <c r="HB548" s="19"/>
    </row>
    <row r="549" spans="1:210" x14ac:dyDescent="0.25">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c r="BE549" s="19"/>
      <c r="BF549" s="19"/>
      <c r="BG549" s="19"/>
      <c r="BH549" s="19"/>
      <c r="BI549" s="19"/>
      <c r="BJ549" s="19"/>
      <c r="BK549" s="19"/>
      <c r="BL549" s="19"/>
      <c r="BM549" s="19"/>
      <c r="BN549" s="19"/>
      <c r="BO549" s="19"/>
      <c r="BP549" s="19"/>
      <c r="BQ549" s="19"/>
      <c r="BR549" s="19"/>
      <c r="BS549" s="19"/>
      <c r="BT549" s="19"/>
      <c r="BU549" s="19"/>
      <c r="BV549" s="19"/>
      <c r="BW549" s="19"/>
      <c r="BX549" s="19"/>
      <c r="BY549" s="19"/>
      <c r="BZ549" s="19"/>
      <c r="CA549" s="19"/>
      <c r="CB549" s="19"/>
      <c r="CC549" s="19"/>
      <c r="CD549" s="19"/>
      <c r="CE549" s="19"/>
      <c r="CF549" s="19"/>
      <c r="CG549" s="19"/>
      <c r="CH549" s="19"/>
      <c r="CI549" s="19"/>
      <c r="CJ549" s="19"/>
      <c r="CK549" s="19"/>
      <c r="CL549" s="19"/>
      <c r="CM549" s="19"/>
      <c r="CN549" s="19"/>
      <c r="CO549" s="19"/>
      <c r="CP549" s="19"/>
      <c r="CQ549" s="19"/>
      <c r="CR549" s="19"/>
      <c r="CS549" s="19"/>
      <c r="CT549" s="19"/>
      <c r="CU549" s="19"/>
      <c r="CV549" s="19"/>
      <c r="CW549" s="19"/>
      <c r="CX549" s="19"/>
      <c r="CY549" s="19"/>
      <c r="CZ549" s="19"/>
      <c r="DA549" s="19"/>
      <c r="DB549" s="19"/>
      <c r="DC549" s="19"/>
      <c r="DD549" s="19"/>
      <c r="DE549" s="19"/>
      <c r="DF549" s="19"/>
      <c r="DG549" s="19"/>
      <c r="DH549" s="19"/>
      <c r="DI549" s="19"/>
      <c r="DJ549" s="19"/>
      <c r="DK549" s="19"/>
      <c r="DL549" s="19"/>
      <c r="DM549" s="19"/>
      <c r="DN549" s="19"/>
      <c r="DO549" s="19"/>
      <c r="DP549" s="19"/>
      <c r="DQ549" s="19"/>
      <c r="DR549" s="19"/>
      <c r="DS549" s="19"/>
      <c r="DT549" s="19"/>
      <c r="DU549" s="19"/>
      <c r="DV549" s="19"/>
      <c r="DW549" s="19"/>
      <c r="DX549" s="19"/>
      <c r="DY549" s="19"/>
      <c r="DZ549" s="19"/>
      <c r="EA549" s="19"/>
      <c r="EB549" s="19"/>
      <c r="EC549" s="19"/>
      <c r="ED549" s="19"/>
      <c r="EE549" s="19"/>
      <c r="EF549" s="19"/>
      <c r="EG549" s="19"/>
      <c r="EH549" s="19"/>
      <c r="EI549" s="19"/>
      <c r="EJ549" s="19"/>
      <c r="EK549" s="19"/>
      <c r="EL549" s="19"/>
      <c r="EM549" s="19"/>
      <c r="EN549" s="19"/>
      <c r="EO549" s="19"/>
      <c r="EP549" s="19"/>
      <c r="EQ549" s="19"/>
      <c r="ER549" s="19"/>
      <c r="ES549" s="19"/>
      <c r="ET549" s="19"/>
      <c r="EU549" s="19"/>
      <c r="EV549" s="19"/>
      <c r="EW549" s="19"/>
      <c r="EX549" s="19"/>
      <c r="EY549" s="19"/>
      <c r="EZ549" s="19"/>
      <c r="FA549" s="19"/>
      <c r="FB549" s="19"/>
      <c r="FC549" s="19"/>
      <c r="FD549" s="19"/>
      <c r="FE549" s="19"/>
      <c r="FF549" s="19"/>
      <c r="FG549" s="19"/>
      <c r="FH549" s="19"/>
      <c r="FI549" s="19"/>
      <c r="FJ549" s="19"/>
      <c r="FK549" s="19"/>
      <c r="FL549" s="19"/>
      <c r="FM549" s="19"/>
      <c r="FN549" s="19"/>
      <c r="FO549" s="19"/>
      <c r="FP549" s="19"/>
      <c r="FQ549" s="19"/>
      <c r="FR549" s="19"/>
      <c r="FS549" s="19"/>
      <c r="FT549" s="19"/>
      <c r="FU549" s="19"/>
      <c r="FV549" s="19"/>
      <c r="FW549" s="19"/>
      <c r="FX549" s="19"/>
      <c r="FY549" s="19"/>
      <c r="FZ549" s="19"/>
      <c r="GA549" s="19"/>
      <c r="GB549" s="19"/>
      <c r="GC549" s="19"/>
      <c r="GD549" s="19"/>
      <c r="GE549" s="19"/>
      <c r="GF549" s="19"/>
      <c r="GG549" s="19"/>
      <c r="GH549" s="19"/>
      <c r="GI549" s="19"/>
      <c r="GJ549" s="19"/>
      <c r="GK549" s="19"/>
      <c r="GL549" s="19"/>
      <c r="GM549" s="19"/>
      <c r="GN549" s="19"/>
      <c r="GO549" s="19"/>
      <c r="GP549" s="19"/>
      <c r="GQ549" s="19"/>
      <c r="GR549" s="19"/>
      <c r="GS549" s="19"/>
      <c r="GT549" s="19"/>
      <c r="GU549" s="19"/>
      <c r="GV549" s="19"/>
      <c r="GW549" s="19"/>
      <c r="GX549" s="19"/>
      <c r="GY549" s="19"/>
      <c r="GZ549" s="19"/>
      <c r="HA549" s="19"/>
      <c r="HB549" s="19"/>
    </row>
    <row r="550" spans="1:210" x14ac:dyDescent="0.25">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c r="BE550" s="19"/>
      <c r="BF550" s="19"/>
      <c r="BG550" s="19"/>
      <c r="BH550" s="19"/>
      <c r="BI550" s="19"/>
      <c r="BJ550" s="19"/>
      <c r="BK550" s="19"/>
      <c r="BL550" s="19"/>
      <c r="BM550" s="19"/>
      <c r="BN550" s="19"/>
      <c r="BO550" s="19"/>
      <c r="BP550" s="19"/>
      <c r="BQ550" s="19"/>
      <c r="BR550" s="19"/>
      <c r="BS550" s="19"/>
      <c r="BT550" s="19"/>
      <c r="BU550" s="19"/>
      <c r="BV550" s="19"/>
      <c r="BW550" s="19"/>
      <c r="BX550" s="19"/>
      <c r="BY550" s="19"/>
      <c r="BZ550" s="19"/>
      <c r="CA550" s="19"/>
      <c r="CB550" s="19"/>
      <c r="CC550" s="19"/>
      <c r="CD550" s="19"/>
      <c r="CE550" s="19"/>
      <c r="CF550" s="19"/>
      <c r="CG550" s="19"/>
      <c r="CH550" s="19"/>
      <c r="CI550" s="19"/>
      <c r="CJ550" s="19"/>
      <c r="CK550" s="19"/>
      <c r="CL550" s="19"/>
      <c r="CM550" s="19"/>
      <c r="CN550" s="19"/>
      <c r="CO550" s="19"/>
      <c r="CP550" s="19"/>
      <c r="CQ550" s="19"/>
      <c r="CR550" s="19"/>
      <c r="CS550" s="19"/>
      <c r="CT550" s="19"/>
      <c r="CU550" s="19"/>
      <c r="CV550" s="19"/>
      <c r="CW550" s="19"/>
      <c r="CX550" s="19"/>
      <c r="CY550" s="19"/>
      <c r="CZ550" s="19"/>
      <c r="DA550" s="19"/>
      <c r="DB550" s="19"/>
      <c r="DC550" s="19"/>
      <c r="DD550" s="19"/>
      <c r="DE550" s="19"/>
      <c r="DF550" s="19"/>
      <c r="DG550" s="19"/>
      <c r="DH550" s="19"/>
      <c r="DI550" s="19"/>
      <c r="DJ550" s="19"/>
      <c r="DK550" s="19"/>
      <c r="DL550" s="19"/>
      <c r="DM550" s="19"/>
      <c r="DN550" s="19"/>
      <c r="DO550" s="19"/>
      <c r="DP550" s="19"/>
      <c r="DQ550" s="19"/>
      <c r="DR550" s="19"/>
      <c r="DS550" s="19"/>
      <c r="DT550" s="19"/>
      <c r="DU550" s="19"/>
      <c r="DV550" s="19"/>
      <c r="DW550" s="19"/>
      <c r="DX550" s="19"/>
      <c r="DY550" s="19"/>
      <c r="DZ550" s="19"/>
      <c r="EA550" s="19"/>
      <c r="EB550" s="19"/>
      <c r="EC550" s="19"/>
      <c r="ED550" s="19"/>
      <c r="EE550" s="19"/>
      <c r="EF550" s="19"/>
      <c r="EG550" s="19"/>
      <c r="EH550" s="19"/>
      <c r="EI550" s="19"/>
      <c r="EJ550" s="19"/>
      <c r="EK550" s="19"/>
      <c r="EL550" s="19"/>
      <c r="EM550" s="19"/>
      <c r="EN550" s="19"/>
      <c r="EO550" s="19"/>
      <c r="EP550" s="19"/>
      <c r="EQ550" s="19"/>
      <c r="ER550" s="19"/>
      <c r="ES550" s="19"/>
      <c r="ET550" s="19"/>
      <c r="EU550" s="19"/>
      <c r="EV550" s="19"/>
      <c r="EW550" s="19"/>
      <c r="EX550" s="19"/>
      <c r="EY550" s="19"/>
      <c r="EZ550" s="19"/>
      <c r="FA550" s="19"/>
      <c r="FB550" s="19"/>
      <c r="FC550" s="19"/>
      <c r="FD550" s="19"/>
      <c r="FE550" s="19"/>
      <c r="FF550" s="19"/>
      <c r="FG550" s="19"/>
      <c r="FH550" s="19"/>
      <c r="FI550" s="19"/>
      <c r="FJ550" s="19"/>
      <c r="FK550" s="19"/>
      <c r="FL550" s="19"/>
      <c r="FM550" s="19"/>
      <c r="FN550" s="19"/>
      <c r="FO550" s="19"/>
      <c r="FP550" s="19"/>
      <c r="FQ550" s="19"/>
      <c r="FR550" s="19"/>
      <c r="FS550" s="19"/>
      <c r="FT550" s="19"/>
      <c r="FU550" s="19"/>
      <c r="FV550" s="19"/>
      <c r="FW550" s="19"/>
      <c r="FX550" s="19"/>
      <c r="FY550" s="19"/>
      <c r="FZ550" s="19"/>
      <c r="GA550" s="19"/>
      <c r="GB550" s="19"/>
      <c r="GC550" s="19"/>
      <c r="GD550" s="19"/>
      <c r="GE550" s="19"/>
      <c r="GF550" s="19"/>
      <c r="GG550" s="19"/>
      <c r="GH550" s="19"/>
      <c r="GI550" s="19"/>
      <c r="GJ550" s="19"/>
      <c r="GK550" s="19"/>
      <c r="GL550" s="19"/>
      <c r="GM550" s="19"/>
      <c r="GN550" s="19"/>
      <c r="GO550" s="19"/>
      <c r="GP550" s="19"/>
      <c r="GQ550" s="19"/>
      <c r="GR550" s="19"/>
      <c r="GS550" s="19"/>
      <c r="GT550" s="19"/>
      <c r="GU550" s="19"/>
      <c r="GV550" s="19"/>
      <c r="GW550" s="19"/>
      <c r="GX550" s="19"/>
      <c r="GY550" s="19"/>
      <c r="GZ550" s="19"/>
      <c r="HA550" s="19"/>
      <c r="HB550" s="19"/>
    </row>
    <row r="551" spans="1:210" x14ac:dyDescent="0.25">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c r="BE551" s="19"/>
      <c r="BF551" s="19"/>
      <c r="BG551" s="19"/>
      <c r="BH551" s="19"/>
      <c r="BI551" s="19"/>
      <c r="BJ551" s="19"/>
      <c r="BK551" s="19"/>
      <c r="BL551" s="19"/>
      <c r="BM551" s="19"/>
      <c r="BN551" s="19"/>
      <c r="BO551" s="19"/>
      <c r="BP551" s="19"/>
      <c r="BQ551" s="19"/>
      <c r="BR551" s="19"/>
      <c r="BS551" s="19"/>
      <c r="BT551" s="19"/>
      <c r="BU551" s="19"/>
      <c r="BV551" s="19"/>
      <c r="BW551" s="19"/>
      <c r="BX551" s="19"/>
      <c r="BY551" s="19"/>
      <c r="BZ551" s="19"/>
      <c r="CA551" s="19"/>
      <c r="CB551" s="19"/>
      <c r="CC551" s="19"/>
      <c r="CD551" s="19"/>
      <c r="CE551" s="19"/>
      <c r="CF551" s="19"/>
      <c r="CG551" s="19"/>
      <c r="CH551" s="19"/>
      <c r="CI551" s="19"/>
      <c r="CJ551" s="19"/>
      <c r="CK551" s="19"/>
      <c r="CL551" s="19"/>
      <c r="CM551" s="19"/>
      <c r="CN551" s="19"/>
      <c r="CO551" s="19"/>
      <c r="CP551" s="19"/>
      <c r="CQ551" s="19"/>
      <c r="CR551" s="19"/>
      <c r="CS551" s="19"/>
      <c r="CT551" s="19"/>
      <c r="CU551" s="19"/>
      <c r="CV551" s="19"/>
      <c r="CW551" s="19"/>
      <c r="CX551" s="19"/>
      <c r="CY551" s="19"/>
      <c r="CZ551" s="19"/>
      <c r="DA551" s="19"/>
      <c r="DB551" s="19"/>
      <c r="DC551" s="19"/>
      <c r="DD551" s="19"/>
      <c r="DE551" s="19"/>
      <c r="DF551" s="19"/>
      <c r="DG551" s="19"/>
      <c r="DH551" s="19"/>
      <c r="DI551" s="19"/>
      <c r="DJ551" s="19"/>
      <c r="DK551" s="19"/>
      <c r="DL551" s="19"/>
      <c r="DM551" s="19"/>
      <c r="DN551" s="19"/>
      <c r="DO551" s="19"/>
      <c r="DP551" s="19"/>
      <c r="DQ551" s="19"/>
      <c r="DR551" s="19"/>
      <c r="DS551" s="19"/>
      <c r="DT551" s="19"/>
      <c r="DU551" s="19"/>
      <c r="DV551" s="19"/>
      <c r="DW551" s="19"/>
      <c r="DX551" s="19"/>
      <c r="DY551" s="19"/>
      <c r="DZ551" s="19"/>
      <c r="EA551" s="19"/>
      <c r="EB551" s="19"/>
      <c r="EC551" s="19"/>
      <c r="ED551" s="19"/>
      <c r="EE551" s="19"/>
      <c r="EF551" s="19"/>
      <c r="EG551" s="19"/>
      <c r="EH551" s="19"/>
      <c r="EI551" s="19"/>
      <c r="EJ551" s="19"/>
      <c r="EK551" s="19"/>
      <c r="EL551" s="19"/>
      <c r="EM551" s="19"/>
      <c r="EN551" s="19"/>
      <c r="EO551" s="19"/>
      <c r="EP551" s="19"/>
      <c r="EQ551" s="19"/>
      <c r="ER551" s="19"/>
      <c r="ES551" s="19"/>
      <c r="ET551" s="19"/>
      <c r="EU551" s="19"/>
      <c r="EV551" s="19"/>
      <c r="EW551" s="19"/>
      <c r="EX551" s="19"/>
      <c r="EY551" s="19"/>
      <c r="EZ551" s="19"/>
      <c r="FA551" s="19"/>
      <c r="FB551" s="19"/>
      <c r="FC551" s="19"/>
      <c r="FD551" s="19"/>
      <c r="FE551" s="19"/>
      <c r="FF551" s="19"/>
      <c r="FG551" s="19"/>
      <c r="FH551" s="19"/>
      <c r="FI551" s="19"/>
      <c r="FJ551" s="19"/>
      <c r="FK551" s="19"/>
      <c r="FL551" s="19"/>
      <c r="FM551" s="19"/>
      <c r="FN551" s="19"/>
      <c r="FO551" s="19"/>
      <c r="FP551" s="19"/>
      <c r="FQ551" s="19"/>
      <c r="FR551" s="19"/>
      <c r="FS551" s="19"/>
      <c r="FT551" s="19"/>
      <c r="FU551" s="19"/>
      <c r="FV551" s="19"/>
      <c r="FW551" s="19"/>
      <c r="FX551" s="19"/>
      <c r="FY551" s="19"/>
      <c r="FZ551" s="19"/>
      <c r="GA551" s="19"/>
      <c r="GB551" s="19"/>
      <c r="GC551" s="19"/>
      <c r="GD551" s="19"/>
      <c r="GE551" s="19"/>
      <c r="GF551" s="19"/>
      <c r="GG551" s="19"/>
      <c r="GH551" s="19"/>
      <c r="GI551" s="19"/>
      <c r="GJ551" s="19"/>
      <c r="GK551" s="19"/>
      <c r="GL551" s="19"/>
      <c r="GM551" s="19"/>
      <c r="GN551" s="19"/>
      <c r="GO551" s="19"/>
      <c r="GP551" s="19"/>
      <c r="GQ551" s="19"/>
      <c r="GR551" s="19"/>
      <c r="GS551" s="19"/>
      <c r="GT551" s="19"/>
      <c r="GU551" s="19"/>
      <c r="GV551" s="19"/>
      <c r="GW551" s="19"/>
      <c r="GX551" s="19"/>
      <c r="GY551" s="19"/>
      <c r="GZ551" s="19"/>
      <c r="HA551" s="19"/>
      <c r="HB551" s="19"/>
    </row>
    <row r="552" spans="1:210" x14ac:dyDescent="0.25">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c r="BE552" s="19"/>
      <c r="BF552" s="19"/>
      <c r="BG552" s="19"/>
      <c r="BH552" s="19"/>
      <c r="BI552" s="19"/>
      <c r="BJ552" s="19"/>
      <c r="BK552" s="19"/>
      <c r="BL552" s="19"/>
      <c r="BM552" s="19"/>
      <c r="BN552" s="19"/>
      <c r="BO552" s="19"/>
      <c r="BP552" s="19"/>
      <c r="BQ552" s="19"/>
      <c r="BR552" s="19"/>
      <c r="BS552" s="19"/>
      <c r="BT552" s="19"/>
      <c r="BU552" s="19"/>
      <c r="BV552" s="19"/>
      <c r="BW552" s="19"/>
      <c r="BX552" s="19"/>
      <c r="BY552" s="19"/>
      <c r="BZ552" s="19"/>
      <c r="CA552" s="19"/>
      <c r="CB552" s="19"/>
      <c r="CC552" s="19"/>
      <c r="CD552" s="19"/>
      <c r="CE552" s="19"/>
      <c r="CF552" s="19"/>
      <c r="CG552" s="19"/>
      <c r="CH552" s="19"/>
      <c r="CI552" s="19"/>
      <c r="CJ552" s="19"/>
      <c r="CK552" s="19"/>
      <c r="CL552" s="19"/>
      <c r="CM552" s="19"/>
      <c r="CN552" s="19"/>
      <c r="CO552" s="19"/>
      <c r="CP552" s="19"/>
      <c r="CQ552" s="19"/>
      <c r="CR552" s="19"/>
      <c r="CS552" s="19"/>
      <c r="CT552" s="19"/>
      <c r="CU552" s="19"/>
      <c r="CV552" s="19"/>
      <c r="CW552" s="19"/>
      <c r="CX552" s="19"/>
      <c r="CY552" s="19"/>
      <c r="CZ552" s="19"/>
      <c r="DA552" s="19"/>
      <c r="DB552" s="19"/>
      <c r="DC552" s="19"/>
      <c r="DD552" s="19"/>
      <c r="DE552" s="19"/>
      <c r="DF552" s="19"/>
      <c r="DG552" s="19"/>
      <c r="DH552" s="19"/>
      <c r="DI552" s="19"/>
      <c r="DJ552" s="19"/>
      <c r="DK552" s="19"/>
      <c r="DL552" s="19"/>
      <c r="DM552" s="19"/>
      <c r="DN552" s="19"/>
      <c r="DO552" s="19"/>
      <c r="DP552" s="19"/>
      <c r="DQ552" s="19"/>
      <c r="DR552" s="19"/>
      <c r="DS552" s="19"/>
      <c r="DT552" s="19"/>
      <c r="DU552" s="19"/>
      <c r="DV552" s="19"/>
      <c r="DW552" s="19"/>
      <c r="DX552" s="19"/>
      <c r="DY552" s="19"/>
      <c r="DZ552" s="19"/>
      <c r="EA552" s="19"/>
      <c r="EB552" s="19"/>
      <c r="EC552" s="19"/>
      <c r="ED552" s="19"/>
      <c r="EE552" s="19"/>
      <c r="EF552" s="19"/>
      <c r="EG552" s="19"/>
      <c r="EH552" s="19"/>
      <c r="EI552" s="19"/>
      <c r="EJ552" s="19"/>
      <c r="EK552" s="19"/>
      <c r="EL552" s="19"/>
      <c r="EM552" s="19"/>
      <c r="EN552" s="19"/>
      <c r="EO552" s="19"/>
      <c r="EP552" s="19"/>
      <c r="EQ552" s="19"/>
      <c r="ER552" s="19"/>
      <c r="ES552" s="19"/>
      <c r="ET552" s="19"/>
      <c r="EU552" s="19"/>
      <c r="EV552" s="19"/>
      <c r="EW552" s="19"/>
      <c r="EX552" s="19"/>
      <c r="EY552" s="19"/>
      <c r="EZ552" s="19"/>
      <c r="FA552" s="19"/>
      <c r="FB552" s="19"/>
      <c r="FC552" s="19"/>
      <c r="FD552" s="19"/>
      <c r="FE552" s="19"/>
      <c r="FF552" s="19"/>
      <c r="FG552" s="19"/>
      <c r="FH552" s="19"/>
      <c r="FI552" s="19"/>
      <c r="FJ552" s="19"/>
      <c r="FK552" s="19"/>
      <c r="FL552" s="19"/>
      <c r="FM552" s="19"/>
      <c r="FN552" s="19"/>
      <c r="FO552" s="19"/>
      <c r="FP552" s="19"/>
      <c r="FQ552" s="19"/>
      <c r="FR552" s="19"/>
      <c r="FS552" s="19"/>
      <c r="FT552" s="19"/>
      <c r="FU552" s="19"/>
      <c r="FV552" s="19"/>
      <c r="FW552" s="19"/>
      <c r="FX552" s="19"/>
      <c r="FY552" s="19"/>
      <c r="FZ552" s="19"/>
      <c r="GA552" s="19"/>
      <c r="GB552" s="19"/>
      <c r="GC552" s="19"/>
      <c r="GD552" s="19"/>
      <c r="GE552" s="19"/>
      <c r="GF552" s="19"/>
      <c r="GG552" s="19"/>
      <c r="GH552" s="19"/>
      <c r="GI552" s="19"/>
      <c r="GJ552" s="19"/>
      <c r="GK552" s="19"/>
      <c r="GL552" s="19"/>
      <c r="GM552" s="19"/>
      <c r="GN552" s="19"/>
      <c r="GO552" s="19"/>
      <c r="GP552" s="19"/>
      <c r="GQ552" s="19"/>
      <c r="GR552" s="19"/>
      <c r="GS552" s="19"/>
      <c r="GT552" s="19"/>
      <c r="GU552" s="19"/>
      <c r="GV552" s="19"/>
      <c r="GW552" s="19"/>
      <c r="GX552" s="19"/>
      <c r="GY552" s="19"/>
      <c r="GZ552" s="19"/>
      <c r="HA552" s="19"/>
      <c r="HB552" s="19"/>
    </row>
    <row r="553" spans="1:210" x14ac:dyDescent="0.25">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c r="BE553" s="19"/>
      <c r="BF553" s="19"/>
      <c r="BG553" s="19"/>
      <c r="BH553" s="19"/>
      <c r="BI553" s="19"/>
      <c r="BJ553" s="19"/>
      <c r="BK553" s="19"/>
      <c r="BL553" s="19"/>
      <c r="BM553" s="19"/>
      <c r="BN553" s="19"/>
      <c r="BO553" s="19"/>
      <c r="BP553" s="19"/>
      <c r="BQ553" s="19"/>
      <c r="BR553" s="19"/>
      <c r="BS553" s="19"/>
      <c r="BT553" s="19"/>
      <c r="BU553" s="19"/>
      <c r="BV553" s="19"/>
      <c r="BW553" s="19"/>
      <c r="BX553" s="19"/>
      <c r="BY553" s="19"/>
      <c r="BZ553" s="19"/>
      <c r="CA553" s="19"/>
      <c r="CB553" s="19"/>
      <c r="CC553" s="19"/>
      <c r="CD553" s="19"/>
      <c r="CE553" s="19"/>
      <c r="CF553" s="19"/>
      <c r="CG553" s="19"/>
      <c r="CH553" s="19"/>
      <c r="CI553" s="19"/>
      <c r="CJ553" s="19"/>
      <c r="CK553" s="19"/>
      <c r="CL553" s="19"/>
      <c r="CM553" s="19"/>
      <c r="CN553" s="19"/>
      <c r="CO553" s="19"/>
      <c r="CP553" s="19"/>
      <c r="CQ553" s="19"/>
      <c r="CR553" s="19"/>
      <c r="CS553" s="19"/>
      <c r="CT553" s="19"/>
      <c r="CU553" s="19"/>
      <c r="CV553" s="19"/>
      <c r="CW553" s="19"/>
      <c r="CX553" s="19"/>
      <c r="CY553" s="19"/>
      <c r="CZ553" s="19"/>
      <c r="DA553" s="19"/>
      <c r="DB553" s="19"/>
      <c r="DC553" s="19"/>
      <c r="DD553" s="19"/>
      <c r="DE553" s="19"/>
      <c r="DF553" s="19"/>
      <c r="DG553" s="19"/>
      <c r="DH553" s="19"/>
      <c r="DI553" s="19"/>
      <c r="DJ553" s="19"/>
      <c r="DK553" s="19"/>
      <c r="DL553" s="19"/>
      <c r="DM553" s="19"/>
      <c r="DN553" s="19"/>
      <c r="DO553" s="19"/>
      <c r="DP553" s="19"/>
      <c r="DQ553" s="19"/>
      <c r="DR553" s="19"/>
      <c r="DS553" s="19"/>
      <c r="DT553" s="19"/>
      <c r="DU553" s="19"/>
      <c r="DV553" s="19"/>
      <c r="DW553" s="19"/>
      <c r="DX553" s="19"/>
      <c r="DY553" s="19"/>
      <c r="DZ553" s="19"/>
      <c r="EA553" s="19"/>
      <c r="EB553" s="19"/>
      <c r="EC553" s="19"/>
      <c r="ED553" s="19"/>
      <c r="EE553" s="19"/>
      <c r="EF553" s="19"/>
      <c r="EG553" s="19"/>
      <c r="EH553" s="19"/>
      <c r="EI553" s="19"/>
      <c r="EJ553" s="19"/>
      <c r="EK553" s="19"/>
      <c r="EL553" s="19"/>
      <c r="EM553" s="19"/>
      <c r="EN553" s="19"/>
      <c r="EO553" s="19"/>
      <c r="EP553" s="19"/>
      <c r="EQ553" s="19"/>
      <c r="ER553" s="19"/>
      <c r="ES553" s="19"/>
      <c r="ET553" s="19"/>
      <c r="EU553" s="19"/>
      <c r="EV553" s="19"/>
      <c r="EW553" s="19"/>
      <c r="EX553" s="19"/>
      <c r="EY553" s="19"/>
      <c r="EZ553" s="19"/>
      <c r="FA553" s="19"/>
      <c r="FB553" s="19"/>
      <c r="FC553" s="19"/>
      <c r="FD553" s="19"/>
      <c r="FE553" s="19"/>
      <c r="FF553" s="19"/>
      <c r="FG553" s="19"/>
      <c r="FH553" s="19"/>
      <c r="FI553" s="19"/>
      <c r="FJ553" s="19"/>
      <c r="FK553" s="19"/>
      <c r="FL553" s="19"/>
      <c r="FM553" s="19"/>
      <c r="FN553" s="19"/>
      <c r="FO553" s="19"/>
      <c r="FP553" s="19"/>
      <c r="FQ553" s="19"/>
      <c r="FR553" s="19"/>
      <c r="FS553" s="19"/>
      <c r="FT553" s="19"/>
      <c r="FU553" s="19"/>
      <c r="FV553" s="19"/>
      <c r="FW553" s="19"/>
      <c r="FX553" s="19"/>
      <c r="FY553" s="19"/>
      <c r="FZ553" s="19"/>
      <c r="GA553" s="19"/>
      <c r="GB553" s="19"/>
      <c r="GC553" s="19"/>
      <c r="GD553" s="19"/>
      <c r="GE553" s="19"/>
      <c r="GF553" s="19"/>
      <c r="GG553" s="19"/>
      <c r="GH553" s="19"/>
      <c r="GI553" s="19"/>
      <c r="GJ553" s="19"/>
      <c r="GK553" s="19"/>
      <c r="GL553" s="19"/>
      <c r="GM553" s="19"/>
      <c r="GN553" s="19"/>
      <c r="GO553" s="19"/>
      <c r="GP553" s="19"/>
      <c r="GQ553" s="19"/>
      <c r="GR553" s="19"/>
      <c r="GS553" s="19"/>
      <c r="GT553" s="19"/>
      <c r="GU553" s="19"/>
      <c r="GV553" s="19"/>
      <c r="GW553" s="19"/>
      <c r="GX553" s="19"/>
      <c r="GY553" s="19"/>
      <c r="GZ553" s="19"/>
      <c r="HA553" s="19"/>
      <c r="HB553" s="19"/>
    </row>
    <row r="554" spans="1:210" x14ac:dyDescent="0.25">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c r="BE554" s="19"/>
      <c r="BF554" s="19"/>
      <c r="BG554" s="19"/>
      <c r="BH554" s="19"/>
      <c r="BI554" s="19"/>
      <c r="BJ554" s="19"/>
      <c r="BK554" s="19"/>
      <c r="BL554" s="19"/>
      <c r="BM554" s="19"/>
      <c r="BN554" s="19"/>
      <c r="BO554" s="19"/>
      <c r="BP554" s="19"/>
      <c r="BQ554" s="19"/>
      <c r="BR554" s="19"/>
      <c r="BS554" s="19"/>
      <c r="BT554" s="19"/>
      <c r="BU554" s="19"/>
      <c r="BV554" s="19"/>
      <c r="BW554" s="19"/>
      <c r="BX554" s="19"/>
      <c r="BY554" s="19"/>
      <c r="BZ554" s="19"/>
      <c r="CA554" s="19"/>
      <c r="CB554" s="19"/>
      <c r="CC554" s="19"/>
      <c r="CD554" s="19"/>
      <c r="CE554" s="19"/>
      <c r="CF554" s="19"/>
      <c r="CG554" s="19"/>
      <c r="CH554" s="19"/>
      <c r="CI554" s="19"/>
      <c r="CJ554" s="19"/>
      <c r="CK554" s="19"/>
      <c r="CL554" s="19"/>
      <c r="CM554" s="19"/>
      <c r="CN554" s="19"/>
      <c r="CO554" s="19"/>
      <c r="CP554" s="19"/>
      <c r="CQ554" s="19"/>
      <c r="CR554" s="19"/>
      <c r="CS554" s="19"/>
      <c r="CT554" s="19"/>
      <c r="CU554" s="19"/>
      <c r="CV554" s="19"/>
      <c r="CW554" s="19"/>
      <c r="CX554" s="19"/>
      <c r="CY554" s="19"/>
      <c r="CZ554" s="19"/>
      <c r="DA554" s="19"/>
      <c r="DB554" s="19"/>
      <c r="DC554" s="19"/>
      <c r="DD554" s="19"/>
      <c r="DE554" s="19"/>
      <c r="DF554" s="19"/>
      <c r="DG554" s="19"/>
      <c r="DH554" s="19"/>
      <c r="DI554" s="19"/>
      <c r="DJ554" s="19"/>
      <c r="DK554" s="19"/>
      <c r="DL554" s="19"/>
      <c r="DM554" s="19"/>
      <c r="DN554" s="19"/>
      <c r="DO554" s="19"/>
      <c r="DP554" s="19"/>
      <c r="DQ554" s="19"/>
      <c r="DR554" s="19"/>
      <c r="DS554" s="19"/>
      <c r="DT554" s="19"/>
      <c r="DU554" s="19"/>
      <c r="DV554" s="19"/>
      <c r="DW554" s="19"/>
      <c r="DX554" s="19"/>
      <c r="DY554" s="19"/>
      <c r="DZ554" s="19"/>
      <c r="EA554" s="19"/>
      <c r="EB554" s="19"/>
      <c r="EC554" s="19"/>
      <c r="ED554" s="19"/>
      <c r="EE554" s="19"/>
      <c r="EF554" s="19"/>
      <c r="EG554" s="19"/>
      <c r="EH554" s="19"/>
      <c r="EI554" s="19"/>
      <c r="EJ554" s="19"/>
      <c r="EK554" s="19"/>
      <c r="EL554" s="19"/>
      <c r="EM554" s="19"/>
      <c r="EN554" s="19"/>
      <c r="EO554" s="19"/>
      <c r="EP554" s="19"/>
      <c r="EQ554" s="19"/>
      <c r="ER554" s="19"/>
      <c r="ES554" s="19"/>
      <c r="ET554" s="19"/>
      <c r="EU554" s="19"/>
      <c r="EV554" s="19"/>
      <c r="EW554" s="19"/>
      <c r="EX554" s="19"/>
      <c r="EY554" s="19"/>
      <c r="EZ554" s="19"/>
      <c r="FA554" s="19"/>
      <c r="FB554" s="19"/>
      <c r="FC554" s="19"/>
      <c r="FD554" s="19"/>
      <c r="FE554" s="19"/>
      <c r="FF554" s="19"/>
      <c r="FG554" s="19"/>
      <c r="FH554" s="19"/>
      <c r="FI554" s="19"/>
      <c r="FJ554" s="19"/>
      <c r="FK554" s="19"/>
      <c r="FL554" s="19"/>
      <c r="FM554" s="19"/>
      <c r="FN554" s="19"/>
      <c r="FO554" s="19"/>
      <c r="FP554" s="19"/>
      <c r="FQ554" s="19"/>
      <c r="FR554" s="19"/>
      <c r="FS554" s="19"/>
      <c r="FT554" s="19"/>
      <c r="FU554" s="19"/>
      <c r="FV554" s="19"/>
      <c r="FW554" s="19"/>
      <c r="FX554" s="19"/>
      <c r="FY554" s="19"/>
      <c r="FZ554" s="19"/>
      <c r="GA554" s="19"/>
      <c r="GB554" s="19"/>
      <c r="GC554" s="19"/>
      <c r="GD554" s="19"/>
      <c r="GE554" s="19"/>
      <c r="GF554" s="19"/>
      <c r="GG554" s="19"/>
      <c r="GH554" s="19"/>
      <c r="GI554" s="19"/>
      <c r="GJ554" s="19"/>
      <c r="GK554" s="19"/>
      <c r="GL554" s="19"/>
      <c r="GM554" s="19"/>
      <c r="GN554" s="19"/>
      <c r="GO554" s="19"/>
      <c r="GP554" s="19"/>
      <c r="GQ554" s="19"/>
      <c r="GR554" s="19"/>
      <c r="GS554" s="19"/>
      <c r="GT554" s="19"/>
      <c r="GU554" s="19"/>
      <c r="GV554" s="19"/>
      <c r="GW554" s="19"/>
      <c r="GX554" s="19"/>
      <c r="GY554" s="19"/>
      <c r="GZ554" s="19"/>
      <c r="HA554" s="19"/>
      <c r="HB554" s="19"/>
    </row>
    <row r="555" spans="1:210" x14ac:dyDescent="0.25">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c r="BE555" s="19"/>
      <c r="BF555" s="19"/>
      <c r="BG555" s="19"/>
      <c r="BH555" s="19"/>
      <c r="BI555" s="19"/>
      <c r="BJ555" s="19"/>
      <c r="BK555" s="19"/>
      <c r="BL555" s="19"/>
      <c r="BM555" s="19"/>
      <c r="BN555" s="19"/>
      <c r="BO555" s="19"/>
      <c r="BP555" s="19"/>
      <c r="BQ555" s="19"/>
      <c r="BR555" s="19"/>
      <c r="BS555" s="19"/>
      <c r="BT555" s="19"/>
      <c r="BU555" s="19"/>
      <c r="BV555" s="19"/>
      <c r="BW555" s="19"/>
      <c r="BX555" s="19"/>
      <c r="BY555" s="19"/>
      <c r="BZ555" s="19"/>
      <c r="CA555" s="19"/>
      <c r="CB555" s="19"/>
      <c r="CC555" s="19"/>
      <c r="CD555" s="19"/>
      <c r="CE555" s="19"/>
      <c r="CF555" s="19"/>
      <c r="CG555" s="19"/>
      <c r="CH555" s="19"/>
      <c r="CI555" s="19"/>
      <c r="CJ555" s="19"/>
      <c r="CK555" s="19"/>
      <c r="CL555" s="19"/>
      <c r="CM555" s="19"/>
      <c r="CN555" s="19"/>
      <c r="CO555" s="19"/>
      <c r="CP555" s="19"/>
      <c r="CQ555" s="19"/>
      <c r="CR555" s="19"/>
      <c r="CS555" s="19"/>
      <c r="CT555" s="19"/>
      <c r="CU555" s="19"/>
      <c r="CV555" s="19"/>
      <c r="CW555" s="19"/>
      <c r="CX555" s="19"/>
      <c r="CY555" s="19"/>
      <c r="CZ555" s="19"/>
      <c r="DA555" s="19"/>
      <c r="DB555" s="19"/>
      <c r="DC555" s="19"/>
      <c r="DD555" s="19"/>
      <c r="DE555" s="19"/>
      <c r="DF555" s="19"/>
      <c r="DG555" s="19"/>
      <c r="DH555" s="19"/>
      <c r="DI555" s="19"/>
      <c r="DJ555" s="19"/>
      <c r="DK555" s="19"/>
      <c r="DL555" s="19"/>
      <c r="DM555" s="19"/>
      <c r="DN555" s="19"/>
      <c r="DO555" s="19"/>
      <c r="DP555" s="19"/>
      <c r="DQ555" s="19"/>
      <c r="DR555" s="19"/>
      <c r="DS555" s="19"/>
      <c r="DT555" s="19"/>
      <c r="DU555" s="19"/>
      <c r="DV555" s="19"/>
      <c r="DW555" s="19"/>
      <c r="DX555" s="19"/>
      <c r="DY555" s="19"/>
      <c r="DZ555" s="19"/>
      <c r="EA555" s="19"/>
      <c r="EB555" s="19"/>
      <c r="EC555" s="19"/>
      <c r="ED555" s="19"/>
      <c r="EE555" s="19"/>
      <c r="EF555" s="19"/>
      <c r="EG555" s="19"/>
      <c r="EH555" s="19"/>
      <c r="EI555" s="19"/>
      <c r="EJ555" s="19"/>
      <c r="EK555" s="19"/>
      <c r="EL555" s="19"/>
      <c r="EM555" s="19"/>
      <c r="EN555" s="19"/>
      <c r="EO555" s="19"/>
      <c r="EP555" s="19"/>
      <c r="EQ555" s="19"/>
      <c r="ER555" s="19"/>
      <c r="ES555" s="19"/>
      <c r="ET555" s="19"/>
      <c r="EU555" s="19"/>
      <c r="EV555" s="19"/>
      <c r="EW555" s="19"/>
      <c r="EX555" s="19"/>
      <c r="EY555" s="19"/>
      <c r="EZ555" s="19"/>
      <c r="FA555" s="19"/>
      <c r="FB555" s="19"/>
      <c r="FC555" s="19"/>
      <c r="FD555" s="19"/>
      <c r="FE555" s="19"/>
      <c r="FF555" s="19"/>
      <c r="FG555" s="19"/>
      <c r="FH555" s="19"/>
      <c r="FI555" s="19"/>
      <c r="FJ555" s="19"/>
      <c r="FK555" s="19"/>
      <c r="FL555" s="19"/>
      <c r="FM555" s="19"/>
      <c r="FN555" s="19"/>
      <c r="FO555" s="19"/>
      <c r="FP555" s="19"/>
      <c r="FQ555" s="19"/>
      <c r="FR555" s="19"/>
      <c r="FS555" s="19"/>
      <c r="FT555" s="19"/>
      <c r="FU555" s="19"/>
      <c r="FV555" s="19"/>
      <c r="FW555" s="19"/>
      <c r="FX555" s="19"/>
      <c r="FY555" s="19"/>
      <c r="FZ555" s="19"/>
      <c r="GA555" s="19"/>
      <c r="GB555" s="19"/>
      <c r="GC555" s="19"/>
      <c r="GD555" s="19"/>
      <c r="GE555" s="19"/>
      <c r="GF555" s="19"/>
      <c r="GG555" s="19"/>
      <c r="GH555" s="19"/>
      <c r="GI555" s="19"/>
      <c r="GJ555" s="19"/>
      <c r="GK555" s="19"/>
      <c r="GL555" s="19"/>
      <c r="GM555" s="19"/>
      <c r="GN555" s="19"/>
      <c r="GO555" s="19"/>
      <c r="GP555" s="19"/>
      <c r="GQ555" s="19"/>
      <c r="GR555" s="19"/>
      <c r="GS555" s="19"/>
      <c r="GT555" s="19"/>
      <c r="GU555" s="19"/>
      <c r="GV555" s="19"/>
      <c r="GW555" s="19"/>
      <c r="GX555" s="19"/>
      <c r="GY555" s="19"/>
      <c r="GZ555" s="19"/>
      <c r="HA555" s="19"/>
      <c r="HB555" s="19"/>
    </row>
    <row r="556" spans="1:210" x14ac:dyDescent="0.25">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c r="BE556" s="19"/>
      <c r="BF556" s="19"/>
      <c r="BG556" s="19"/>
      <c r="BH556" s="19"/>
      <c r="BI556" s="19"/>
      <c r="BJ556" s="19"/>
      <c r="BK556" s="19"/>
      <c r="BL556" s="19"/>
      <c r="BM556" s="19"/>
      <c r="BN556" s="19"/>
      <c r="BO556" s="19"/>
      <c r="BP556" s="19"/>
      <c r="BQ556" s="19"/>
      <c r="BR556" s="19"/>
      <c r="BS556" s="19"/>
      <c r="BT556" s="19"/>
      <c r="BU556" s="19"/>
      <c r="BV556" s="19"/>
      <c r="BW556" s="19"/>
      <c r="BX556" s="19"/>
      <c r="BY556" s="19"/>
      <c r="BZ556" s="19"/>
      <c r="CA556" s="19"/>
      <c r="CB556" s="19"/>
      <c r="CC556" s="19"/>
      <c r="CD556" s="19"/>
      <c r="CE556" s="19"/>
      <c r="CF556" s="19"/>
      <c r="CG556" s="19"/>
      <c r="CH556" s="19"/>
      <c r="CI556" s="19"/>
      <c r="CJ556" s="19"/>
      <c r="CK556" s="19"/>
      <c r="CL556" s="19"/>
      <c r="CM556" s="19"/>
      <c r="CN556" s="19"/>
      <c r="CO556" s="19"/>
      <c r="CP556" s="19"/>
      <c r="CQ556" s="19"/>
      <c r="CR556" s="19"/>
      <c r="CS556" s="19"/>
      <c r="CT556" s="19"/>
      <c r="CU556" s="19"/>
      <c r="CV556" s="19"/>
      <c r="CW556" s="19"/>
      <c r="CX556" s="19"/>
      <c r="CY556" s="19"/>
      <c r="CZ556" s="19"/>
      <c r="DA556" s="19"/>
      <c r="DB556" s="19"/>
      <c r="DC556" s="19"/>
      <c r="DD556" s="19"/>
      <c r="DE556" s="19"/>
      <c r="DF556" s="19"/>
      <c r="DG556" s="19"/>
      <c r="DH556" s="19"/>
      <c r="DI556" s="19"/>
      <c r="DJ556" s="19"/>
      <c r="DK556" s="19"/>
      <c r="DL556" s="19"/>
      <c r="DM556" s="19"/>
      <c r="DN556" s="19"/>
      <c r="DO556" s="19"/>
      <c r="DP556" s="19"/>
      <c r="DQ556" s="19"/>
      <c r="DR556" s="19"/>
      <c r="DS556" s="19"/>
      <c r="DT556" s="19"/>
      <c r="DU556" s="19"/>
      <c r="DV556" s="19"/>
      <c r="DW556" s="19"/>
      <c r="DX556" s="19"/>
      <c r="DY556" s="19"/>
      <c r="DZ556" s="19"/>
      <c r="EA556" s="19"/>
      <c r="EB556" s="19"/>
      <c r="EC556" s="19"/>
      <c r="ED556" s="19"/>
      <c r="EE556" s="19"/>
      <c r="EF556" s="19"/>
      <c r="EG556" s="19"/>
      <c r="EH556" s="19"/>
      <c r="EI556" s="19"/>
      <c r="EJ556" s="19"/>
      <c r="EK556" s="19"/>
      <c r="EL556" s="19"/>
      <c r="EM556" s="19"/>
      <c r="EN556" s="19"/>
      <c r="EO556" s="19"/>
      <c r="EP556" s="19"/>
      <c r="EQ556" s="19"/>
      <c r="ER556" s="19"/>
      <c r="ES556" s="19"/>
      <c r="ET556" s="19"/>
      <c r="EU556" s="19"/>
      <c r="EV556" s="19"/>
      <c r="EW556" s="19"/>
      <c r="EX556" s="19"/>
      <c r="EY556" s="19"/>
      <c r="EZ556" s="19"/>
      <c r="FA556" s="19"/>
      <c r="FB556" s="19"/>
      <c r="FC556" s="19"/>
      <c r="FD556" s="19"/>
      <c r="FE556" s="19"/>
      <c r="FF556" s="19"/>
      <c r="FG556" s="19"/>
      <c r="FH556" s="19"/>
      <c r="FI556" s="19"/>
      <c r="FJ556" s="19"/>
      <c r="FK556" s="19"/>
      <c r="FL556" s="19"/>
      <c r="FM556" s="19"/>
      <c r="FN556" s="19"/>
      <c r="FO556" s="19"/>
      <c r="FP556" s="19"/>
      <c r="FQ556" s="19"/>
      <c r="FR556" s="19"/>
      <c r="FS556" s="19"/>
      <c r="FT556" s="19"/>
      <c r="FU556" s="19"/>
      <c r="FV556" s="19"/>
      <c r="FW556" s="19"/>
      <c r="FX556" s="19"/>
      <c r="FY556" s="19"/>
      <c r="FZ556" s="19"/>
      <c r="GA556" s="19"/>
      <c r="GB556" s="19"/>
      <c r="GC556" s="19"/>
      <c r="GD556" s="19"/>
      <c r="GE556" s="19"/>
      <c r="GF556" s="19"/>
      <c r="GG556" s="19"/>
      <c r="GH556" s="19"/>
      <c r="GI556" s="19"/>
      <c r="GJ556" s="19"/>
      <c r="GK556" s="19"/>
      <c r="GL556" s="19"/>
      <c r="GM556" s="19"/>
      <c r="GN556" s="19"/>
      <c r="GO556" s="19"/>
      <c r="GP556" s="19"/>
      <c r="GQ556" s="19"/>
      <c r="GR556" s="19"/>
      <c r="GS556" s="19"/>
      <c r="GT556" s="19"/>
      <c r="GU556" s="19"/>
      <c r="GV556" s="19"/>
      <c r="GW556" s="19"/>
      <c r="GX556" s="19"/>
      <c r="GY556" s="19"/>
      <c r="GZ556" s="19"/>
      <c r="HA556" s="19"/>
      <c r="HB556" s="19"/>
    </row>
    <row r="557" spans="1:210" x14ac:dyDescent="0.25">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c r="BE557" s="19"/>
      <c r="BF557" s="19"/>
      <c r="BG557" s="19"/>
      <c r="BH557" s="19"/>
      <c r="BI557" s="19"/>
      <c r="BJ557" s="19"/>
      <c r="BK557" s="19"/>
      <c r="BL557" s="19"/>
      <c r="BM557" s="19"/>
      <c r="BN557" s="19"/>
      <c r="BO557" s="19"/>
      <c r="BP557" s="19"/>
      <c r="BQ557" s="19"/>
      <c r="BR557" s="19"/>
      <c r="BS557" s="19"/>
      <c r="BT557" s="19"/>
      <c r="BU557" s="19"/>
      <c r="BV557" s="19"/>
      <c r="BW557" s="19"/>
      <c r="BX557" s="19"/>
      <c r="BY557" s="19"/>
      <c r="BZ557" s="19"/>
      <c r="CA557" s="19"/>
      <c r="CB557" s="19"/>
      <c r="CC557" s="19"/>
      <c r="CD557" s="19"/>
      <c r="CE557" s="19"/>
      <c r="CF557" s="19"/>
      <c r="CG557" s="19"/>
      <c r="CH557" s="19"/>
      <c r="CI557" s="19"/>
      <c r="CJ557" s="19"/>
      <c r="CK557" s="19"/>
      <c r="CL557" s="19"/>
      <c r="CM557" s="19"/>
      <c r="CN557" s="19"/>
      <c r="CO557" s="19"/>
      <c r="CP557" s="19"/>
      <c r="CQ557" s="19"/>
      <c r="CR557" s="19"/>
      <c r="CS557" s="19"/>
      <c r="CT557" s="19"/>
      <c r="CU557" s="19"/>
      <c r="CV557" s="19"/>
      <c r="CW557" s="19"/>
      <c r="CX557" s="19"/>
      <c r="CY557" s="19"/>
      <c r="CZ557" s="19"/>
      <c r="DA557" s="19"/>
      <c r="DB557" s="19"/>
      <c r="DC557" s="19"/>
      <c r="DD557" s="19"/>
      <c r="DE557" s="19"/>
      <c r="DF557" s="19"/>
      <c r="DG557" s="19"/>
      <c r="DH557" s="19"/>
      <c r="DI557" s="19"/>
      <c r="DJ557" s="19"/>
      <c r="DK557" s="19"/>
      <c r="DL557" s="19"/>
      <c r="DM557" s="19"/>
      <c r="DN557" s="19"/>
      <c r="DO557" s="19"/>
      <c r="DP557" s="19"/>
      <c r="DQ557" s="19"/>
      <c r="DR557" s="19"/>
      <c r="DS557" s="19"/>
      <c r="DT557" s="19"/>
      <c r="DU557" s="19"/>
      <c r="DV557" s="19"/>
      <c r="DW557" s="19"/>
      <c r="DX557" s="19"/>
      <c r="DY557" s="19"/>
      <c r="DZ557" s="19"/>
      <c r="EA557" s="19"/>
      <c r="EB557" s="19"/>
      <c r="EC557" s="19"/>
      <c r="ED557" s="19"/>
      <c r="EE557" s="19"/>
      <c r="EF557" s="19"/>
      <c r="EG557" s="19"/>
      <c r="EH557" s="19"/>
      <c r="EI557" s="19"/>
      <c r="EJ557" s="19"/>
      <c r="EK557" s="19"/>
      <c r="EL557" s="19"/>
      <c r="EM557" s="19"/>
      <c r="EN557" s="19"/>
      <c r="EO557" s="19"/>
      <c r="EP557" s="19"/>
      <c r="EQ557" s="19"/>
      <c r="ER557" s="19"/>
      <c r="ES557" s="19"/>
      <c r="ET557" s="19"/>
      <c r="EU557" s="19"/>
      <c r="EV557" s="19"/>
      <c r="EW557" s="19"/>
      <c r="EX557" s="19"/>
      <c r="EY557" s="19"/>
      <c r="EZ557" s="19"/>
      <c r="FA557" s="19"/>
      <c r="FB557" s="19"/>
      <c r="FC557" s="19"/>
      <c r="FD557" s="19"/>
      <c r="FE557" s="19"/>
      <c r="FF557" s="19"/>
      <c r="FG557" s="19"/>
      <c r="FH557" s="19"/>
      <c r="FI557" s="19"/>
      <c r="FJ557" s="19"/>
      <c r="FK557" s="19"/>
      <c r="FL557" s="19"/>
      <c r="FM557" s="19"/>
      <c r="FN557" s="19"/>
      <c r="FO557" s="19"/>
      <c r="FP557" s="19"/>
      <c r="FQ557" s="19"/>
      <c r="FR557" s="19"/>
      <c r="FS557" s="19"/>
      <c r="FT557" s="19"/>
      <c r="FU557" s="19"/>
      <c r="FV557" s="19"/>
      <c r="FW557" s="19"/>
      <c r="FX557" s="19"/>
      <c r="FY557" s="19"/>
      <c r="FZ557" s="19"/>
      <c r="GA557" s="19"/>
      <c r="GB557" s="19"/>
      <c r="GC557" s="19"/>
      <c r="GD557" s="19"/>
      <c r="GE557" s="19"/>
      <c r="GF557" s="19"/>
      <c r="GG557" s="19"/>
      <c r="GH557" s="19"/>
      <c r="GI557" s="19"/>
      <c r="GJ557" s="19"/>
      <c r="GK557" s="19"/>
      <c r="GL557" s="19"/>
      <c r="GM557" s="19"/>
      <c r="GN557" s="19"/>
      <c r="GO557" s="19"/>
      <c r="GP557" s="19"/>
      <c r="GQ557" s="19"/>
      <c r="GR557" s="19"/>
      <c r="GS557" s="19"/>
      <c r="GT557" s="19"/>
      <c r="GU557" s="19"/>
      <c r="GV557" s="19"/>
      <c r="GW557" s="19"/>
      <c r="GX557" s="19"/>
      <c r="GY557" s="19"/>
      <c r="GZ557" s="19"/>
      <c r="HA557" s="19"/>
      <c r="HB557" s="19"/>
    </row>
    <row r="558" spans="1:210" x14ac:dyDescent="0.25">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c r="BE558" s="19"/>
      <c r="BF558" s="19"/>
      <c r="BG558" s="19"/>
      <c r="BH558" s="19"/>
      <c r="BI558" s="19"/>
      <c r="BJ558" s="19"/>
      <c r="BK558" s="19"/>
      <c r="BL558" s="19"/>
      <c r="BM558" s="19"/>
      <c r="BN558" s="19"/>
      <c r="BO558" s="19"/>
      <c r="BP558" s="19"/>
      <c r="BQ558" s="19"/>
      <c r="BR558" s="19"/>
      <c r="BS558" s="19"/>
      <c r="BT558" s="19"/>
      <c r="BU558" s="19"/>
      <c r="BV558" s="19"/>
      <c r="BW558" s="19"/>
      <c r="BX558" s="19"/>
      <c r="BY558" s="19"/>
      <c r="BZ558" s="19"/>
      <c r="CA558" s="19"/>
      <c r="CB558" s="19"/>
      <c r="CC558" s="19"/>
      <c r="CD558" s="19"/>
      <c r="CE558" s="19"/>
      <c r="CF558" s="19"/>
      <c r="CG558" s="19"/>
      <c r="CH558" s="19"/>
      <c r="CI558" s="19"/>
      <c r="CJ558" s="19"/>
      <c r="CK558" s="19"/>
      <c r="CL558" s="19"/>
      <c r="CM558" s="19"/>
      <c r="CN558" s="19"/>
      <c r="CO558" s="19"/>
      <c r="CP558" s="19"/>
      <c r="CQ558" s="19"/>
      <c r="CR558" s="19"/>
      <c r="CS558" s="19"/>
      <c r="CT558" s="19"/>
      <c r="CU558" s="19"/>
      <c r="CV558" s="19"/>
      <c r="CW558" s="19"/>
      <c r="CX558" s="19"/>
      <c r="CY558" s="19"/>
      <c r="CZ558" s="19"/>
      <c r="DA558" s="19"/>
      <c r="DB558" s="19"/>
      <c r="DC558" s="19"/>
      <c r="DD558" s="19"/>
      <c r="DE558" s="19"/>
      <c r="DF558" s="19"/>
      <c r="DG558" s="19"/>
      <c r="DH558" s="19"/>
      <c r="DI558" s="19"/>
      <c r="DJ558" s="19"/>
      <c r="DK558" s="19"/>
      <c r="DL558" s="19"/>
      <c r="DM558" s="19"/>
      <c r="DN558" s="19"/>
      <c r="DO558" s="19"/>
      <c r="DP558" s="19"/>
      <c r="DQ558" s="19"/>
      <c r="DR558" s="19"/>
      <c r="DS558" s="19"/>
      <c r="DT558" s="19"/>
      <c r="DU558" s="19"/>
      <c r="DV558" s="19"/>
      <c r="DW558" s="19"/>
      <c r="DX558" s="19"/>
      <c r="DY558" s="19"/>
      <c r="DZ558" s="19"/>
      <c r="EA558" s="19"/>
      <c r="EB558" s="19"/>
      <c r="EC558" s="19"/>
      <c r="ED558" s="19"/>
      <c r="EE558" s="19"/>
      <c r="EF558" s="19"/>
      <c r="EG558" s="19"/>
      <c r="EH558" s="19"/>
      <c r="EI558" s="19"/>
      <c r="EJ558" s="19"/>
      <c r="EK558" s="19"/>
      <c r="EL558" s="19"/>
      <c r="EM558" s="19"/>
      <c r="EN558" s="19"/>
      <c r="EO558" s="19"/>
      <c r="EP558" s="19"/>
      <c r="EQ558" s="19"/>
      <c r="ER558" s="19"/>
      <c r="ES558" s="19"/>
      <c r="ET558" s="19"/>
      <c r="EU558" s="19"/>
      <c r="EV558" s="19"/>
      <c r="EW558" s="19"/>
      <c r="EX558" s="19"/>
      <c r="EY558" s="19"/>
      <c r="EZ558" s="19"/>
      <c r="FA558" s="19"/>
      <c r="FB558" s="19"/>
      <c r="FC558" s="19"/>
      <c r="FD558" s="19"/>
      <c r="FE558" s="19"/>
      <c r="FF558" s="19"/>
      <c r="FG558" s="19"/>
      <c r="FH558" s="19"/>
      <c r="FI558" s="19"/>
      <c r="FJ558" s="19"/>
      <c r="FK558" s="19"/>
      <c r="FL558" s="19"/>
      <c r="FM558" s="19"/>
      <c r="FN558" s="19"/>
      <c r="FO558" s="19"/>
      <c r="FP558" s="19"/>
      <c r="FQ558" s="19"/>
      <c r="FR558" s="19"/>
      <c r="FS558" s="19"/>
      <c r="FT558" s="19"/>
      <c r="FU558" s="19"/>
      <c r="FV558" s="19"/>
      <c r="FW558" s="19"/>
      <c r="FX558" s="19"/>
      <c r="FY558" s="19"/>
      <c r="FZ558" s="19"/>
      <c r="GA558" s="19"/>
      <c r="GB558" s="19"/>
      <c r="GC558" s="19"/>
      <c r="GD558" s="19"/>
      <c r="GE558" s="19"/>
      <c r="GF558" s="19"/>
      <c r="GG558" s="19"/>
      <c r="GH558" s="19"/>
      <c r="GI558" s="19"/>
      <c r="GJ558" s="19"/>
      <c r="GK558" s="19"/>
      <c r="GL558" s="19"/>
      <c r="GM558" s="19"/>
      <c r="GN558" s="19"/>
      <c r="GO558" s="19"/>
      <c r="GP558" s="19"/>
      <c r="GQ558" s="19"/>
      <c r="GR558" s="19"/>
      <c r="GS558" s="19"/>
      <c r="GT558" s="19"/>
      <c r="GU558" s="19"/>
      <c r="GV558" s="19"/>
      <c r="GW558" s="19"/>
      <c r="GX558" s="19"/>
      <c r="GY558" s="19"/>
      <c r="GZ558" s="19"/>
      <c r="HA558" s="19"/>
      <c r="HB558" s="19"/>
    </row>
    <row r="559" spans="1:210" x14ac:dyDescent="0.25">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c r="BE559" s="19"/>
      <c r="BF559" s="19"/>
      <c r="BG559" s="19"/>
      <c r="BH559" s="19"/>
      <c r="BI559" s="19"/>
      <c r="BJ559" s="19"/>
      <c r="BK559" s="19"/>
      <c r="BL559" s="19"/>
      <c r="BM559" s="19"/>
      <c r="BN559" s="19"/>
      <c r="BO559" s="19"/>
      <c r="BP559" s="19"/>
      <c r="BQ559" s="19"/>
      <c r="BR559" s="19"/>
      <c r="BS559" s="19"/>
      <c r="BT559" s="19"/>
      <c r="BU559" s="19"/>
      <c r="BV559" s="19"/>
      <c r="BW559" s="19"/>
      <c r="BX559" s="19"/>
      <c r="BY559" s="19"/>
      <c r="BZ559" s="19"/>
      <c r="CA559" s="19"/>
      <c r="CB559" s="19"/>
      <c r="CC559" s="19"/>
      <c r="CD559" s="19"/>
      <c r="CE559" s="19"/>
      <c r="CF559" s="19"/>
      <c r="CG559" s="19"/>
      <c r="CH559" s="19"/>
      <c r="CI559" s="19"/>
      <c r="CJ559" s="19"/>
      <c r="CK559" s="19"/>
      <c r="CL559" s="19"/>
      <c r="CM559" s="19"/>
      <c r="CN559" s="19"/>
      <c r="CO559" s="19"/>
      <c r="CP559" s="19"/>
      <c r="CQ559" s="19"/>
      <c r="CR559" s="19"/>
      <c r="CS559" s="19"/>
      <c r="CT559" s="19"/>
      <c r="CU559" s="19"/>
      <c r="CV559" s="19"/>
      <c r="CW559" s="19"/>
      <c r="CX559" s="19"/>
      <c r="CY559" s="19"/>
      <c r="CZ559" s="19"/>
      <c r="DA559" s="19"/>
      <c r="DB559" s="19"/>
      <c r="DC559" s="19"/>
      <c r="DD559" s="19"/>
      <c r="DE559" s="19"/>
      <c r="DF559" s="19"/>
      <c r="DG559" s="19"/>
      <c r="DH559" s="19"/>
      <c r="DI559" s="19"/>
      <c r="DJ559" s="19"/>
      <c r="DK559" s="19"/>
      <c r="DL559" s="19"/>
      <c r="DM559" s="19"/>
      <c r="DN559" s="19"/>
      <c r="DO559" s="19"/>
      <c r="DP559" s="19"/>
      <c r="DQ559" s="19"/>
      <c r="DR559" s="19"/>
      <c r="DS559" s="19"/>
      <c r="DT559" s="19"/>
      <c r="DU559" s="19"/>
      <c r="DV559" s="19"/>
      <c r="DW559" s="19"/>
      <c r="DX559" s="19"/>
      <c r="DY559" s="19"/>
      <c r="DZ559" s="19"/>
      <c r="EA559" s="19"/>
      <c r="EB559" s="19"/>
      <c r="EC559" s="19"/>
      <c r="ED559" s="19"/>
      <c r="EE559" s="19"/>
      <c r="EF559" s="19"/>
      <c r="EG559" s="19"/>
      <c r="EH559" s="19"/>
      <c r="EI559" s="19"/>
      <c r="EJ559" s="19"/>
      <c r="EK559" s="19"/>
      <c r="EL559" s="19"/>
      <c r="EM559" s="19"/>
      <c r="EN559" s="19"/>
      <c r="EO559" s="19"/>
      <c r="EP559" s="19"/>
      <c r="EQ559" s="19"/>
      <c r="ER559" s="19"/>
      <c r="ES559" s="19"/>
      <c r="ET559" s="19"/>
      <c r="EU559" s="19"/>
      <c r="EV559" s="19"/>
      <c r="EW559" s="19"/>
      <c r="EX559" s="19"/>
      <c r="EY559" s="19"/>
      <c r="EZ559" s="19"/>
      <c r="FA559" s="19"/>
      <c r="FB559" s="19"/>
      <c r="FC559" s="19"/>
      <c r="FD559" s="19"/>
      <c r="FE559" s="19"/>
      <c r="FF559" s="19"/>
      <c r="FG559" s="19"/>
      <c r="FH559" s="19"/>
      <c r="FI559" s="19"/>
      <c r="FJ559" s="19"/>
      <c r="FK559" s="19"/>
      <c r="FL559" s="19"/>
      <c r="FM559" s="19"/>
      <c r="FN559" s="19"/>
      <c r="FO559" s="19"/>
      <c r="FP559" s="19"/>
      <c r="FQ559" s="19"/>
      <c r="FR559" s="19"/>
      <c r="FS559" s="19"/>
      <c r="FT559" s="19"/>
      <c r="FU559" s="19"/>
      <c r="FV559" s="19"/>
      <c r="FW559" s="19"/>
      <c r="FX559" s="19"/>
      <c r="FY559" s="19"/>
      <c r="FZ559" s="19"/>
      <c r="GA559" s="19"/>
      <c r="GB559" s="19"/>
      <c r="GC559" s="19"/>
      <c r="GD559" s="19"/>
      <c r="GE559" s="19"/>
      <c r="GF559" s="19"/>
      <c r="GG559" s="19"/>
      <c r="GH559" s="19"/>
      <c r="GI559" s="19"/>
      <c r="GJ559" s="19"/>
      <c r="GK559" s="19"/>
      <c r="GL559" s="19"/>
      <c r="GM559" s="19"/>
      <c r="GN559" s="19"/>
      <c r="GO559" s="19"/>
      <c r="GP559" s="19"/>
      <c r="GQ559" s="19"/>
      <c r="GR559" s="19"/>
      <c r="GS559" s="19"/>
      <c r="GT559" s="19"/>
      <c r="GU559" s="19"/>
      <c r="GV559" s="19"/>
      <c r="GW559" s="19"/>
      <c r="GX559" s="19"/>
      <c r="GY559" s="19"/>
      <c r="GZ559" s="19"/>
      <c r="HA559" s="19"/>
      <c r="HB559" s="19"/>
    </row>
    <row r="560" spans="1:210" x14ac:dyDescent="0.25">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c r="BE560" s="19"/>
      <c r="BF560" s="19"/>
      <c r="BG560" s="19"/>
      <c r="BH560" s="19"/>
      <c r="BI560" s="19"/>
      <c r="BJ560" s="19"/>
      <c r="BK560" s="19"/>
      <c r="BL560" s="19"/>
      <c r="BM560" s="19"/>
      <c r="BN560" s="19"/>
      <c r="BO560" s="19"/>
      <c r="BP560" s="19"/>
      <c r="BQ560" s="19"/>
      <c r="BR560" s="19"/>
      <c r="BS560" s="19"/>
      <c r="BT560" s="19"/>
      <c r="BU560" s="19"/>
      <c r="BV560" s="19"/>
      <c r="BW560" s="19"/>
      <c r="BX560" s="19"/>
      <c r="BY560" s="19"/>
      <c r="BZ560" s="19"/>
      <c r="CA560" s="19"/>
      <c r="CB560" s="19"/>
      <c r="CC560" s="19"/>
      <c r="CD560" s="19"/>
      <c r="CE560" s="19"/>
      <c r="CF560" s="19"/>
      <c r="CG560" s="19"/>
      <c r="CH560" s="19"/>
      <c r="CI560" s="19"/>
      <c r="CJ560" s="19"/>
      <c r="CK560" s="19"/>
      <c r="CL560" s="19"/>
      <c r="CM560" s="19"/>
      <c r="CN560" s="19"/>
      <c r="CO560" s="19"/>
      <c r="CP560" s="19"/>
      <c r="CQ560" s="19"/>
      <c r="CR560" s="19"/>
      <c r="CS560" s="19"/>
      <c r="CT560" s="19"/>
      <c r="CU560" s="19"/>
      <c r="CV560" s="19"/>
      <c r="CW560" s="19"/>
      <c r="CX560" s="19"/>
      <c r="CY560" s="19"/>
      <c r="CZ560" s="19"/>
      <c r="DA560" s="19"/>
      <c r="DB560" s="19"/>
      <c r="DC560" s="19"/>
      <c r="DD560" s="19"/>
      <c r="DE560" s="19"/>
      <c r="DF560" s="19"/>
      <c r="DG560" s="19"/>
      <c r="DH560" s="19"/>
      <c r="DI560" s="19"/>
      <c r="DJ560" s="19"/>
      <c r="DK560" s="19"/>
      <c r="DL560" s="19"/>
      <c r="DM560" s="19"/>
      <c r="DN560" s="19"/>
      <c r="DO560" s="19"/>
      <c r="DP560" s="19"/>
      <c r="DQ560" s="19"/>
      <c r="DR560" s="19"/>
      <c r="DS560" s="19"/>
      <c r="DT560" s="19"/>
      <c r="DU560" s="19"/>
      <c r="DV560" s="19"/>
      <c r="DW560" s="19"/>
      <c r="DX560" s="19"/>
      <c r="DY560" s="19"/>
      <c r="DZ560" s="19"/>
      <c r="EA560" s="19"/>
      <c r="EB560" s="19"/>
      <c r="EC560" s="19"/>
      <c r="ED560" s="19"/>
      <c r="EE560" s="19"/>
      <c r="EF560" s="19"/>
      <c r="EG560" s="19"/>
      <c r="EH560" s="19"/>
      <c r="EI560" s="19"/>
      <c r="EJ560" s="19"/>
      <c r="EK560" s="19"/>
      <c r="EL560" s="19"/>
      <c r="EM560" s="19"/>
      <c r="EN560" s="19"/>
      <c r="EO560" s="19"/>
      <c r="EP560" s="19"/>
      <c r="EQ560" s="19"/>
      <c r="ER560" s="19"/>
      <c r="ES560" s="19"/>
      <c r="ET560" s="19"/>
      <c r="EU560" s="19"/>
      <c r="EV560" s="19"/>
      <c r="EW560" s="19"/>
      <c r="EX560" s="19"/>
      <c r="EY560" s="19"/>
      <c r="EZ560" s="19"/>
      <c r="FA560" s="19"/>
      <c r="FB560" s="19"/>
      <c r="FC560" s="19"/>
      <c r="FD560" s="19"/>
      <c r="FE560" s="19"/>
      <c r="FF560" s="19"/>
      <c r="FG560" s="19"/>
      <c r="FH560" s="19"/>
      <c r="FI560" s="19"/>
      <c r="FJ560" s="19"/>
      <c r="FK560" s="19"/>
      <c r="FL560" s="19"/>
      <c r="FM560" s="19"/>
      <c r="FN560" s="19"/>
      <c r="FO560" s="19"/>
      <c r="FP560" s="19"/>
      <c r="FQ560" s="19"/>
      <c r="FR560" s="19"/>
      <c r="FS560" s="19"/>
      <c r="FT560" s="19"/>
      <c r="FU560" s="19"/>
      <c r="FV560" s="19"/>
      <c r="FW560" s="19"/>
      <c r="FX560" s="19"/>
      <c r="FY560" s="19"/>
      <c r="FZ560" s="19"/>
      <c r="GA560" s="19"/>
      <c r="GB560" s="19"/>
      <c r="GC560" s="19"/>
      <c r="GD560" s="19"/>
      <c r="GE560" s="19"/>
      <c r="GF560" s="19"/>
      <c r="GG560" s="19"/>
      <c r="GH560" s="19"/>
      <c r="GI560" s="19"/>
      <c r="GJ560" s="19"/>
      <c r="GK560" s="19"/>
      <c r="GL560" s="19"/>
      <c r="GM560" s="19"/>
      <c r="GN560" s="19"/>
      <c r="GO560" s="19"/>
      <c r="GP560" s="19"/>
      <c r="GQ560" s="19"/>
      <c r="GR560" s="19"/>
      <c r="GS560" s="19"/>
      <c r="GT560" s="19"/>
      <c r="GU560" s="19"/>
      <c r="GV560" s="19"/>
      <c r="GW560" s="19"/>
      <c r="GX560" s="19"/>
      <c r="GY560" s="19"/>
      <c r="GZ560" s="19"/>
      <c r="HA560" s="19"/>
      <c r="HB560" s="19"/>
    </row>
    <row r="561" spans="1:210" x14ac:dyDescent="0.25">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c r="BE561" s="19"/>
      <c r="BF561" s="19"/>
      <c r="BG561" s="19"/>
      <c r="BH561" s="19"/>
      <c r="BI561" s="19"/>
      <c r="BJ561" s="19"/>
      <c r="BK561" s="19"/>
      <c r="BL561" s="19"/>
      <c r="BM561" s="19"/>
      <c r="BN561" s="19"/>
      <c r="BO561" s="19"/>
      <c r="BP561" s="19"/>
      <c r="BQ561" s="19"/>
      <c r="BR561" s="19"/>
      <c r="BS561" s="19"/>
      <c r="BT561" s="19"/>
      <c r="BU561" s="19"/>
      <c r="BV561" s="19"/>
      <c r="BW561" s="19"/>
      <c r="BX561" s="19"/>
      <c r="BY561" s="19"/>
      <c r="BZ561" s="19"/>
      <c r="CA561" s="19"/>
      <c r="CB561" s="19"/>
      <c r="CC561" s="19"/>
      <c r="CD561" s="19"/>
      <c r="CE561" s="19"/>
      <c r="CF561" s="19"/>
      <c r="CG561" s="19"/>
      <c r="CH561" s="19"/>
      <c r="CI561" s="19"/>
      <c r="CJ561" s="19"/>
      <c r="CK561" s="19"/>
      <c r="CL561" s="19"/>
      <c r="CM561" s="19"/>
      <c r="CN561" s="19"/>
      <c r="CO561" s="19"/>
      <c r="CP561" s="19"/>
      <c r="CQ561" s="19"/>
      <c r="CR561" s="19"/>
      <c r="CS561" s="19"/>
      <c r="CT561" s="19"/>
      <c r="CU561" s="19"/>
      <c r="CV561" s="19"/>
      <c r="CW561" s="19"/>
      <c r="CX561" s="19"/>
      <c r="CY561" s="19"/>
      <c r="CZ561" s="19"/>
      <c r="DA561" s="19"/>
      <c r="DB561" s="19"/>
      <c r="DC561" s="19"/>
      <c r="DD561" s="19"/>
      <c r="DE561" s="19"/>
      <c r="DF561" s="19"/>
      <c r="DG561" s="19"/>
      <c r="DH561" s="19"/>
      <c r="DI561" s="19"/>
      <c r="DJ561" s="19"/>
      <c r="DK561" s="19"/>
      <c r="DL561" s="19"/>
      <c r="DM561" s="19"/>
      <c r="DN561" s="19"/>
      <c r="DO561" s="19"/>
      <c r="DP561" s="19"/>
      <c r="DQ561" s="19"/>
      <c r="DR561" s="19"/>
      <c r="DS561" s="19"/>
      <c r="DT561" s="19"/>
      <c r="DU561" s="19"/>
      <c r="DV561" s="19"/>
      <c r="DW561" s="19"/>
      <c r="DX561" s="19"/>
      <c r="DY561" s="19"/>
      <c r="DZ561" s="19"/>
      <c r="EA561" s="19"/>
      <c r="EB561" s="19"/>
      <c r="EC561" s="19"/>
      <c r="ED561" s="19"/>
      <c r="EE561" s="19"/>
      <c r="EF561" s="19"/>
      <c r="EG561" s="19"/>
      <c r="EH561" s="19"/>
      <c r="EI561" s="19"/>
      <c r="EJ561" s="19"/>
      <c r="EK561" s="19"/>
      <c r="EL561" s="19"/>
      <c r="EM561" s="19"/>
      <c r="EN561" s="19"/>
      <c r="EO561" s="19"/>
      <c r="EP561" s="19"/>
      <c r="EQ561" s="19"/>
      <c r="ER561" s="19"/>
      <c r="ES561" s="19"/>
      <c r="ET561" s="19"/>
      <c r="EU561" s="19"/>
      <c r="EV561" s="19"/>
      <c r="EW561" s="19"/>
      <c r="EX561" s="19"/>
      <c r="EY561" s="19"/>
      <c r="EZ561" s="19"/>
      <c r="FA561" s="19"/>
      <c r="FB561" s="19"/>
      <c r="FC561" s="19"/>
      <c r="FD561" s="19"/>
      <c r="FE561" s="19"/>
      <c r="FF561" s="19"/>
      <c r="FG561" s="19"/>
      <c r="FH561" s="19"/>
      <c r="FI561" s="19"/>
      <c r="FJ561" s="19"/>
      <c r="FK561" s="19"/>
      <c r="FL561" s="19"/>
      <c r="FM561" s="19"/>
      <c r="FN561" s="19"/>
      <c r="FO561" s="19"/>
      <c r="FP561" s="19"/>
      <c r="FQ561" s="19"/>
      <c r="FR561" s="19"/>
      <c r="FS561" s="19"/>
      <c r="FT561" s="19"/>
      <c r="FU561" s="19"/>
      <c r="FV561" s="19"/>
      <c r="FW561" s="19"/>
      <c r="FX561" s="19"/>
      <c r="FY561" s="19"/>
      <c r="FZ561" s="19"/>
      <c r="GA561" s="19"/>
      <c r="GB561" s="19"/>
      <c r="GC561" s="19"/>
      <c r="GD561" s="19"/>
      <c r="GE561" s="19"/>
      <c r="GF561" s="19"/>
      <c r="GG561" s="19"/>
      <c r="GH561" s="19"/>
      <c r="GI561" s="19"/>
      <c r="GJ561" s="19"/>
      <c r="GK561" s="19"/>
      <c r="GL561" s="19"/>
      <c r="GM561" s="19"/>
      <c r="GN561" s="19"/>
      <c r="GO561" s="19"/>
      <c r="GP561" s="19"/>
      <c r="GQ561" s="19"/>
      <c r="GR561" s="19"/>
      <c r="GS561" s="19"/>
      <c r="GT561" s="19"/>
      <c r="GU561" s="19"/>
      <c r="GV561" s="19"/>
      <c r="GW561" s="19"/>
      <c r="GX561" s="19"/>
      <c r="GY561" s="19"/>
      <c r="GZ561" s="19"/>
      <c r="HA561" s="19"/>
      <c r="HB561" s="19"/>
    </row>
    <row r="562" spans="1:210" x14ac:dyDescent="0.25">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c r="BE562" s="19"/>
      <c r="BF562" s="19"/>
      <c r="BG562" s="19"/>
      <c r="BH562" s="19"/>
      <c r="BI562" s="19"/>
      <c r="BJ562" s="19"/>
      <c r="BK562" s="19"/>
      <c r="BL562" s="19"/>
      <c r="BM562" s="19"/>
      <c r="BN562" s="19"/>
      <c r="BO562" s="19"/>
      <c r="BP562" s="19"/>
      <c r="BQ562" s="19"/>
      <c r="BR562" s="19"/>
      <c r="BS562" s="19"/>
      <c r="BT562" s="19"/>
      <c r="BU562" s="19"/>
      <c r="BV562" s="19"/>
      <c r="BW562" s="19"/>
      <c r="BX562" s="19"/>
      <c r="BY562" s="19"/>
      <c r="BZ562" s="19"/>
      <c r="CA562" s="19"/>
      <c r="CB562" s="19"/>
      <c r="CC562" s="19"/>
      <c r="CD562" s="19"/>
      <c r="CE562" s="19"/>
      <c r="CF562" s="19"/>
      <c r="CG562" s="19"/>
      <c r="CH562" s="19"/>
      <c r="CI562" s="19"/>
      <c r="CJ562" s="19"/>
      <c r="CK562" s="19"/>
      <c r="CL562" s="19"/>
      <c r="CM562" s="19"/>
      <c r="CN562" s="19"/>
      <c r="CO562" s="19"/>
      <c r="CP562" s="19"/>
      <c r="CQ562" s="19"/>
      <c r="CR562" s="19"/>
      <c r="CS562" s="19"/>
      <c r="CT562" s="19"/>
      <c r="CU562" s="19"/>
      <c r="CV562" s="19"/>
      <c r="CW562" s="19"/>
      <c r="CX562" s="19"/>
      <c r="CY562" s="19"/>
      <c r="CZ562" s="19"/>
      <c r="DA562" s="19"/>
      <c r="DB562" s="19"/>
      <c r="DC562" s="19"/>
      <c r="DD562" s="19"/>
      <c r="DE562" s="19"/>
      <c r="DF562" s="19"/>
      <c r="DG562" s="19"/>
      <c r="DH562" s="19"/>
      <c r="DI562" s="19"/>
      <c r="DJ562" s="19"/>
      <c r="DK562" s="19"/>
      <c r="DL562" s="19"/>
      <c r="DM562" s="19"/>
      <c r="DN562" s="19"/>
      <c r="DO562" s="19"/>
      <c r="DP562" s="19"/>
      <c r="DQ562" s="19"/>
      <c r="DR562" s="19"/>
      <c r="DS562" s="19"/>
      <c r="DT562" s="19"/>
      <c r="DU562" s="19"/>
      <c r="DV562" s="19"/>
      <c r="DW562" s="19"/>
      <c r="DX562" s="19"/>
      <c r="DY562" s="19"/>
      <c r="DZ562" s="19"/>
      <c r="EA562" s="19"/>
      <c r="EB562" s="19"/>
      <c r="EC562" s="19"/>
      <c r="ED562" s="19"/>
      <c r="EE562" s="19"/>
      <c r="EF562" s="19"/>
      <c r="EG562" s="19"/>
      <c r="EH562" s="19"/>
      <c r="EI562" s="19"/>
      <c r="EJ562" s="19"/>
      <c r="EK562" s="19"/>
      <c r="EL562" s="19"/>
      <c r="EM562" s="19"/>
      <c r="EN562" s="19"/>
      <c r="EO562" s="19"/>
      <c r="EP562" s="19"/>
      <c r="EQ562" s="19"/>
      <c r="ER562" s="19"/>
      <c r="ES562" s="19"/>
      <c r="ET562" s="19"/>
      <c r="EU562" s="19"/>
      <c r="EV562" s="19"/>
      <c r="EW562" s="19"/>
      <c r="EX562" s="19"/>
      <c r="EY562" s="19"/>
      <c r="EZ562" s="19"/>
      <c r="FA562" s="19"/>
      <c r="FB562" s="19"/>
      <c r="FC562" s="19"/>
      <c r="FD562" s="19"/>
      <c r="FE562" s="19"/>
      <c r="FF562" s="19"/>
      <c r="FG562" s="19"/>
      <c r="FH562" s="19"/>
      <c r="FI562" s="19"/>
      <c r="FJ562" s="19"/>
      <c r="FK562" s="19"/>
      <c r="FL562" s="19"/>
      <c r="FM562" s="19"/>
      <c r="FN562" s="19"/>
      <c r="FO562" s="19"/>
      <c r="FP562" s="19"/>
      <c r="FQ562" s="19"/>
      <c r="FR562" s="19"/>
      <c r="FS562" s="19"/>
      <c r="FT562" s="19"/>
      <c r="FU562" s="19"/>
      <c r="FV562" s="19"/>
      <c r="FW562" s="19"/>
      <c r="FX562" s="19"/>
      <c r="FY562" s="19"/>
      <c r="FZ562" s="19"/>
      <c r="GA562" s="19"/>
      <c r="GB562" s="19"/>
      <c r="GC562" s="19"/>
      <c r="GD562" s="19"/>
      <c r="GE562" s="19"/>
      <c r="GF562" s="19"/>
      <c r="GG562" s="19"/>
      <c r="GH562" s="19"/>
      <c r="GI562" s="19"/>
      <c r="GJ562" s="19"/>
      <c r="GK562" s="19"/>
      <c r="GL562" s="19"/>
      <c r="GM562" s="19"/>
      <c r="GN562" s="19"/>
      <c r="GO562" s="19"/>
      <c r="GP562" s="19"/>
      <c r="GQ562" s="19"/>
      <c r="GR562" s="19"/>
      <c r="GS562" s="19"/>
      <c r="GT562" s="19"/>
      <c r="GU562" s="19"/>
      <c r="GV562" s="19"/>
      <c r="GW562" s="19"/>
      <c r="GX562" s="19"/>
      <c r="GY562" s="19"/>
      <c r="GZ562" s="19"/>
      <c r="HA562" s="19"/>
      <c r="HB562" s="19"/>
    </row>
    <row r="563" spans="1:210" x14ac:dyDescent="0.25">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c r="BE563" s="19"/>
      <c r="BF563" s="19"/>
      <c r="BG563" s="19"/>
      <c r="BH563" s="19"/>
      <c r="BI563" s="19"/>
      <c r="BJ563" s="19"/>
      <c r="BK563" s="19"/>
      <c r="BL563" s="19"/>
      <c r="BM563" s="19"/>
      <c r="BN563" s="19"/>
      <c r="BO563" s="19"/>
      <c r="BP563" s="19"/>
      <c r="BQ563" s="19"/>
      <c r="BR563" s="19"/>
      <c r="BS563" s="19"/>
      <c r="BT563" s="19"/>
      <c r="BU563" s="19"/>
      <c r="BV563" s="19"/>
      <c r="BW563" s="19"/>
      <c r="BX563" s="19"/>
      <c r="BY563" s="19"/>
      <c r="BZ563" s="19"/>
      <c r="CA563" s="19"/>
      <c r="CB563" s="19"/>
      <c r="CC563" s="19"/>
      <c r="CD563" s="19"/>
      <c r="CE563" s="19"/>
      <c r="CF563" s="19"/>
      <c r="CG563" s="19"/>
      <c r="CH563" s="19"/>
      <c r="CI563" s="19"/>
      <c r="CJ563" s="19"/>
      <c r="CK563" s="19"/>
      <c r="CL563" s="19"/>
      <c r="CM563" s="19"/>
      <c r="CN563" s="19"/>
      <c r="CO563" s="19"/>
      <c r="CP563" s="19"/>
      <c r="CQ563" s="19"/>
      <c r="CR563" s="19"/>
      <c r="CS563" s="19"/>
      <c r="CT563" s="19"/>
      <c r="CU563" s="19"/>
      <c r="CV563" s="19"/>
      <c r="CW563" s="19"/>
      <c r="CX563" s="19"/>
      <c r="CY563" s="19"/>
      <c r="CZ563" s="19"/>
      <c r="DA563" s="19"/>
      <c r="DB563" s="19"/>
      <c r="DC563" s="19"/>
      <c r="DD563" s="19"/>
      <c r="DE563" s="19"/>
      <c r="DF563" s="19"/>
      <c r="DG563" s="19"/>
      <c r="DH563" s="19"/>
      <c r="DI563" s="19"/>
      <c r="DJ563" s="19"/>
      <c r="DK563" s="19"/>
      <c r="DL563" s="19"/>
      <c r="DM563" s="19"/>
      <c r="DN563" s="19"/>
      <c r="DO563" s="19"/>
      <c r="DP563" s="19"/>
      <c r="DQ563" s="19"/>
      <c r="DR563" s="19"/>
      <c r="DS563" s="19"/>
      <c r="DT563" s="19"/>
      <c r="DU563" s="19"/>
      <c r="DV563" s="19"/>
      <c r="DW563" s="19"/>
      <c r="DX563" s="19"/>
      <c r="DY563" s="19"/>
      <c r="DZ563" s="19"/>
      <c r="EA563" s="19"/>
      <c r="EB563" s="19"/>
      <c r="EC563" s="19"/>
      <c r="ED563" s="19"/>
      <c r="EE563" s="19"/>
      <c r="EF563" s="19"/>
      <c r="EG563" s="19"/>
      <c r="EH563" s="19"/>
      <c r="EI563" s="19"/>
      <c r="EJ563" s="19"/>
      <c r="EK563" s="19"/>
      <c r="EL563" s="19"/>
      <c r="EM563" s="19"/>
      <c r="EN563" s="19"/>
      <c r="EO563" s="19"/>
      <c r="EP563" s="19"/>
      <c r="EQ563" s="19"/>
      <c r="ER563" s="19"/>
      <c r="ES563" s="19"/>
      <c r="ET563" s="19"/>
      <c r="EU563" s="19"/>
      <c r="EV563" s="19"/>
      <c r="EW563" s="19"/>
      <c r="EX563" s="19"/>
      <c r="EY563" s="19"/>
      <c r="EZ563" s="19"/>
      <c r="FA563" s="19"/>
      <c r="FB563" s="19"/>
      <c r="FC563" s="19"/>
      <c r="FD563" s="19"/>
      <c r="FE563" s="19"/>
      <c r="FF563" s="19"/>
      <c r="FG563" s="19"/>
      <c r="FH563" s="19"/>
      <c r="FI563" s="19"/>
      <c r="FJ563" s="19"/>
      <c r="FK563" s="19"/>
      <c r="FL563" s="19"/>
      <c r="FM563" s="19"/>
      <c r="FN563" s="19"/>
      <c r="FO563" s="19"/>
      <c r="FP563" s="19"/>
      <c r="FQ563" s="19"/>
      <c r="FR563" s="19"/>
      <c r="FS563" s="19"/>
      <c r="FT563" s="19"/>
      <c r="FU563" s="19"/>
      <c r="FV563" s="19"/>
      <c r="FW563" s="19"/>
      <c r="FX563" s="19"/>
      <c r="FY563" s="19"/>
      <c r="FZ563" s="19"/>
      <c r="GA563" s="19"/>
      <c r="GB563" s="19"/>
      <c r="GC563" s="19"/>
      <c r="GD563" s="19"/>
      <c r="GE563" s="19"/>
      <c r="GF563" s="19"/>
      <c r="GG563" s="19"/>
      <c r="GH563" s="19"/>
      <c r="GI563" s="19"/>
      <c r="GJ563" s="19"/>
      <c r="GK563" s="19"/>
      <c r="GL563" s="19"/>
      <c r="GM563" s="19"/>
      <c r="GN563" s="19"/>
      <c r="GO563" s="19"/>
      <c r="GP563" s="19"/>
      <c r="GQ563" s="19"/>
      <c r="GR563" s="19"/>
      <c r="GS563" s="19"/>
      <c r="GT563" s="19"/>
      <c r="GU563" s="19"/>
      <c r="GV563" s="19"/>
      <c r="GW563" s="19"/>
      <c r="GX563" s="19"/>
      <c r="GY563" s="19"/>
      <c r="GZ563" s="19"/>
      <c r="HA563" s="19"/>
      <c r="HB563" s="19"/>
    </row>
    <row r="564" spans="1:210" x14ac:dyDescent="0.25">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c r="BE564" s="19"/>
      <c r="BF564" s="19"/>
      <c r="BG564" s="19"/>
      <c r="BH564" s="19"/>
      <c r="BI564" s="19"/>
      <c r="BJ564" s="19"/>
      <c r="BK564" s="19"/>
      <c r="BL564" s="19"/>
      <c r="BM564" s="19"/>
      <c r="BN564" s="19"/>
      <c r="BO564" s="19"/>
      <c r="BP564" s="19"/>
      <c r="BQ564" s="19"/>
      <c r="BR564" s="19"/>
      <c r="BS564" s="19"/>
      <c r="BT564" s="19"/>
      <c r="BU564" s="19"/>
      <c r="BV564" s="19"/>
      <c r="BW564" s="19"/>
      <c r="BX564" s="19"/>
      <c r="BY564" s="19"/>
      <c r="BZ564" s="19"/>
      <c r="CA564" s="19"/>
      <c r="CB564" s="19"/>
      <c r="CC564" s="19"/>
      <c r="CD564" s="19"/>
      <c r="CE564" s="19"/>
      <c r="CF564" s="19"/>
      <c r="CG564" s="19"/>
      <c r="CH564" s="19"/>
      <c r="CI564" s="19"/>
      <c r="CJ564" s="19"/>
      <c r="CK564" s="19"/>
      <c r="CL564" s="19"/>
      <c r="CM564" s="19"/>
      <c r="CN564" s="19"/>
      <c r="CO564" s="19"/>
      <c r="CP564" s="19"/>
      <c r="CQ564" s="19"/>
      <c r="CR564" s="19"/>
      <c r="CS564" s="19"/>
      <c r="CT564" s="19"/>
      <c r="CU564" s="19"/>
      <c r="CV564" s="19"/>
      <c r="CW564" s="19"/>
      <c r="CX564" s="19"/>
      <c r="CY564" s="19"/>
      <c r="CZ564" s="19"/>
      <c r="DA564" s="19"/>
      <c r="DB564" s="19"/>
      <c r="DC564" s="19"/>
      <c r="DD564" s="19"/>
      <c r="DE564" s="19"/>
      <c r="DF564" s="19"/>
      <c r="DG564" s="19"/>
      <c r="DH564" s="19"/>
      <c r="DI564" s="19"/>
      <c r="DJ564" s="19"/>
      <c r="DK564" s="19"/>
      <c r="DL564" s="19"/>
      <c r="DM564" s="19"/>
      <c r="DN564" s="19"/>
      <c r="DO564" s="19"/>
      <c r="DP564" s="19"/>
      <c r="DQ564" s="19"/>
      <c r="DR564" s="19"/>
      <c r="DS564" s="19"/>
      <c r="DT564" s="19"/>
      <c r="DU564" s="19"/>
      <c r="DV564" s="19"/>
      <c r="DW564" s="19"/>
      <c r="DX564" s="19"/>
      <c r="DY564" s="19"/>
      <c r="DZ564" s="19"/>
      <c r="EA564" s="19"/>
      <c r="EB564" s="19"/>
      <c r="EC564" s="19"/>
      <c r="ED564" s="19"/>
      <c r="EE564" s="19"/>
      <c r="EF564" s="19"/>
      <c r="EG564" s="19"/>
      <c r="EH564" s="19"/>
      <c r="EI564" s="19"/>
      <c r="EJ564" s="19"/>
      <c r="EK564" s="19"/>
      <c r="EL564" s="19"/>
      <c r="EM564" s="19"/>
      <c r="EN564" s="19"/>
      <c r="EO564" s="19"/>
      <c r="EP564" s="19"/>
      <c r="EQ564" s="19"/>
      <c r="ER564" s="19"/>
      <c r="ES564" s="19"/>
      <c r="ET564" s="19"/>
      <c r="EU564" s="19"/>
      <c r="EV564" s="19"/>
      <c r="EW564" s="19"/>
      <c r="EX564" s="19"/>
      <c r="EY564" s="19"/>
      <c r="EZ564" s="19"/>
      <c r="FA564" s="19"/>
      <c r="FB564" s="19"/>
      <c r="FC564" s="19"/>
      <c r="FD564" s="19"/>
      <c r="FE564" s="19"/>
      <c r="FF564" s="19"/>
      <c r="FG564" s="19"/>
      <c r="FH564" s="19"/>
      <c r="FI564" s="19"/>
      <c r="FJ564" s="19"/>
      <c r="FK564" s="19"/>
      <c r="FL564" s="19"/>
      <c r="FM564" s="19"/>
      <c r="FN564" s="19"/>
      <c r="FO564" s="19"/>
      <c r="FP564" s="19"/>
      <c r="FQ564" s="19"/>
      <c r="FR564" s="19"/>
      <c r="FS564" s="19"/>
      <c r="FT564" s="19"/>
      <c r="FU564" s="19"/>
      <c r="FV564" s="19"/>
      <c r="FW564" s="19"/>
      <c r="FX564" s="19"/>
      <c r="FY564" s="19"/>
      <c r="FZ564" s="19"/>
      <c r="GA564" s="19"/>
      <c r="GB564" s="19"/>
      <c r="GC564" s="19"/>
      <c r="GD564" s="19"/>
      <c r="GE564" s="19"/>
      <c r="GF564" s="19"/>
      <c r="GG564" s="19"/>
      <c r="GH564" s="19"/>
      <c r="GI564" s="19"/>
      <c r="GJ564" s="19"/>
      <c r="GK564" s="19"/>
      <c r="GL564" s="19"/>
      <c r="GM564" s="19"/>
      <c r="GN564" s="19"/>
      <c r="GO564" s="19"/>
      <c r="GP564" s="19"/>
      <c r="GQ564" s="19"/>
      <c r="GR564" s="19"/>
      <c r="GS564" s="19"/>
      <c r="GT564" s="19"/>
      <c r="GU564" s="19"/>
      <c r="GV564" s="19"/>
      <c r="GW564" s="19"/>
      <c r="GX564" s="19"/>
      <c r="GY564" s="19"/>
      <c r="GZ564" s="19"/>
      <c r="HA564" s="19"/>
      <c r="HB564" s="19"/>
    </row>
    <row r="565" spans="1:210" x14ac:dyDescent="0.25">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c r="BE565" s="19"/>
      <c r="BF565" s="19"/>
      <c r="BG565" s="19"/>
      <c r="BH565" s="19"/>
      <c r="BI565" s="19"/>
      <c r="BJ565" s="19"/>
      <c r="BK565" s="19"/>
      <c r="BL565" s="19"/>
      <c r="BM565" s="19"/>
      <c r="BN565" s="19"/>
      <c r="BO565" s="19"/>
      <c r="BP565" s="19"/>
      <c r="BQ565" s="19"/>
      <c r="BR565" s="19"/>
      <c r="BS565" s="19"/>
      <c r="BT565" s="19"/>
      <c r="BU565" s="19"/>
      <c r="BV565" s="19"/>
      <c r="BW565" s="19"/>
      <c r="BX565" s="19"/>
      <c r="BY565" s="19"/>
      <c r="BZ565" s="19"/>
      <c r="CA565" s="19"/>
      <c r="CB565" s="19"/>
      <c r="CC565" s="19"/>
      <c r="CD565" s="19"/>
      <c r="CE565" s="19"/>
      <c r="CF565" s="19"/>
      <c r="CG565" s="19"/>
      <c r="CH565" s="19"/>
      <c r="CI565" s="19"/>
      <c r="CJ565" s="19"/>
      <c r="CK565" s="19"/>
      <c r="CL565" s="19"/>
      <c r="CM565" s="19"/>
      <c r="CN565" s="19"/>
      <c r="CO565" s="19"/>
      <c r="CP565" s="19"/>
      <c r="CQ565" s="19"/>
      <c r="CR565" s="19"/>
      <c r="CS565" s="19"/>
      <c r="CT565" s="19"/>
      <c r="CU565" s="19"/>
      <c r="CV565" s="19"/>
      <c r="CW565" s="19"/>
      <c r="CX565" s="19"/>
      <c r="CY565" s="19"/>
      <c r="CZ565" s="19"/>
      <c r="DA565" s="19"/>
      <c r="DB565" s="19"/>
      <c r="DC565" s="19"/>
      <c r="DD565" s="19"/>
      <c r="DE565" s="19"/>
      <c r="DF565" s="19"/>
      <c r="DG565" s="19"/>
      <c r="DH565" s="19"/>
      <c r="DI565" s="19"/>
      <c r="DJ565" s="19"/>
      <c r="DK565" s="19"/>
      <c r="DL565" s="19"/>
      <c r="DM565" s="19"/>
      <c r="DN565" s="19"/>
      <c r="DO565" s="19"/>
      <c r="DP565" s="19"/>
      <c r="DQ565" s="19"/>
      <c r="DR565" s="19"/>
      <c r="DS565" s="19"/>
      <c r="DT565" s="19"/>
      <c r="DU565" s="19"/>
      <c r="DV565" s="19"/>
      <c r="DW565" s="19"/>
      <c r="DX565" s="19"/>
      <c r="DY565" s="19"/>
      <c r="DZ565" s="19"/>
      <c r="EA565" s="19"/>
      <c r="EB565" s="19"/>
      <c r="EC565" s="19"/>
      <c r="ED565" s="19"/>
      <c r="EE565" s="19"/>
      <c r="EF565" s="19"/>
      <c r="EG565" s="19"/>
      <c r="EH565" s="19"/>
      <c r="EI565" s="19"/>
      <c r="EJ565" s="19"/>
      <c r="EK565" s="19"/>
      <c r="EL565" s="19"/>
      <c r="EM565" s="19"/>
      <c r="EN565" s="19"/>
      <c r="EO565" s="19"/>
      <c r="EP565" s="19"/>
      <c r="EQ565" s="19"/>
      <c r="ER565" s="19"/>
      <c r="ES565" s="19"/>
      <c r="ET565" s="19"/>
      <c r="EU565" s="19"/>
      <c r="EV565" s="19"/>
      <c r="EW565" s="19"/>
      <c r="EX565" s="19"/>
      <c r="EY565" s="19"/>
      <c r="EZ565" s="19"/>
      <c r="FA565" s="19"/>
      <c r="FB565" s="19"/>
      <c r="FC565" s="19"/>
      <c r="FD565" s="19"/>
      <c r="FE565" s="19"/>
      <c r="FF565" s="19"/>
      <c r="FG565" s="19"/>
      <c r="FH565" s="19"/>
      <c r="FI565" s="19"/>
      <c r="FJ565" s="19"/>
      <c r="FK565" s="19"/>
      <c r="FL565" s="19"/>
      <c r="FM565" s="19"/>
      <c r="FN565" s="19"/>
      <c r="FO565" s="19"/>
      <c r="FP565" s="19"/>
      <c r="FQ565" s="19"/>
      <c r="FR565" s="19"/>
      <c r="FS565" s="19"/>
      <c r="FT565" s="19"/>
      <c r="FU565" s="19"/>
      <c r="FV565" s="19"/>
      <c r="FW565" s="19"/>
      <c r="FX565" s="19"/>
      <c r="FY565" s="19"/>
      <c r="FZ565" s="19"/>
      <c r="GA565" s="19"/>
      <c r="GB565" s="19"/>
      <c r="GC565" s="19"/>
      <c r="GD565" s="19"/>
      <c r="GE565" s="19"/>
      <c r="GF565" s="19"/>
      <c r="GG565" s="19"/>
      <c r="GH565" s="19"/>
      <c r="GI565" s="19"/>
      <c r="GJ565" s="19"/>
      <c r="GK565" s="19"/>
      <c r="GL565" s="19"/>
      <c r="GM565" s="19"/>
      <c r="GN565" s="19"/>
      <c r="GO565" s="19"/>
      <c r="GP565" s="19"/>
      <c r="GQ565" s="19"/>
      <c r="GR565" s="19"/>
      <c r="GS565" s="19"/>
      <c r="GT565" s="19"/>
      <c r="GU565" s="19"/>
      <c r="GV565" s="19"/>
      <c r="GW565" s="19"/>
      <c r="GX565" s="19"/>
      <c r="GY565" s="19"/>
      <c r="GZ565" s="19"/>
      <c r="HA565" s="19"/>
      <c r="HB565" s="19"/>
    </row>
  </sheetData>
  <sheetProtection algorithmName="SHA-512" hashValue="z2SiqfMobrQHFAChLy7qc1h5XV7ojp9p3iCTwLg5o+9wWFfMfHyaLVTxsQSyyvL61n9rd4vPk1FjS1FTjdoT6A==" saltValue="V+pcxyLBQiKdj65jTem28Q==" spinCount="100000" sheet="1" selectLockedCells="1"/>
  <mergeCells count="2">
    <mergeCell ref="A5:C5"/>
    <mergeCell ref="A15:C15"/>
  </mergeCells>
  <conditionalFormatting sqref="A183:Z183">
    <cfRule type="expression" dxfId="6" priority="10">
      <formula>IF($E$3=$M$27, 0,1)</formula>
    </cfRule>
  </conditionalFormatting>
  <conditionalFormatting sqref="A184:Z357">
    <cfRule type="expression" dxfId="5" priority="11">
      <formula>IF($E$3=$M$27, 0,1)</formula>
    </cfRule>
  </conditionalFormatting>
  <conditionalFormatting sqref="Z5:Z182">
    <cfRule type="expression" dxfId="2" priority="8">
      <formula>IF($E$3=$M$27, 0,1)</formula>
    </cfRule>
  </conditionalFormatting>
  <conditionalFormatting sqref="AA1:AA357">
    <cfRule type="expression" dxfId="1" priority="9">
      <formula>IF($E$3=$M$27, 0,1)</formula>
    </cfRule>
  </conditionalFormatting>
  <dataValidations count="4">
    <dataValidation type="list" allowBlank="1" showInputMessage="1" showErrorMessage="1" sqref="E9" xr:uid="{D129E6FB-5E36-4932-A100-D0E00A56C085}">
      <formula1>$H$9:$K$9</formula1>
    </dataValidation>
    <dataValidation type="list" allowBlank="1" showInputMessage="1" showErrorMessage="1" sqref="E6" xr:uid="{BEBF96D7-8361-4044-B8F0-10F2BF6C8FA5}">
      <formula1>$H$6:$K$6</formula1>
    </dataValidation>
    <dataValidation type="list" allowBlank="1" showInputMessage="1" showErrorMessage="1" sqref="E7" xr:uid="{E6936608-1C76-4FFF-800F-5D7A65155C5C}">
      <formula1>$H$7:$K$7</formula1>
    </dataValidation>
    <dataValidation type="list" allowBlank="1" showInputMessage="1" showErrorMessage="1" sqref="E8" xr:uid="{E19D0037-DB5E-4E25-9B09-BE292E72F348}">
      <formula1>$H$8:$K$8</formula1>
    </dataValidation>
  </dataValidations>
  <pageMargins left="0.7" right="0.7" top="0.75" bottom="0.75" header="0.3" footer="0.3"/>
  <pageSetup orientation="portrait" r:id="rId1"/>
  <drawing r:id="rId2"/>
  <legacyDrawing r:id="rId3"/>
  <tableParts count="4">
    <tablePart r:id="rId4"/>
    <tablePart r:id="rId5"/>
    <tablePart r:id="rId6"/>
    <tablePart r:id="rId7"/>
  </tableParts>
  <extLst>
    <ext xmlns:x14="http://schemas.microsoft.com/office/spreadsheetml/2009/9/main" uri="{78C0D931-6437-407d-A8EE-F0AAD7539E65}">
      <x14:conditionalFormattings>
        <x14:conditionalFormatting xmlns:xm="http://schemas.microsoft.com/office/excel/2006/main">
          <x14:cfRule type="expression" priority="791" id="{BB168630-C389-40E3-B729-8EA36E716D26}">
            <xm:f>IF('BQ2575X Design Calculator'!$E$3='BQ2575X Design Calculator'!$H$3, 0,1)</xm:f>
            <x14:dxf>
              <font>
                <color theme="0"/>
              </font>
              <fill>
                <patternFill>
                  <fgColor theme="0"/>
                </patternFill>
              </fill>
            </x14:dxf>
          </x14:cfRule>
          <xm:sqref>G5:Y5 G6:S14 Y6:Y14 H15:S15 T15:Y22 I16:S17 H18:S19 Q20:S22 I20:P180 A20:A182 Q23:Y182 G181:P182</xm:sqref>
        </x14:conditionalFormatting>
        <x14:conditionalFormatting xmlns:xm="http://schemas.microsoft.com/office/excel/2006/main">
          <x14:cfRule type="expression" priority="804" id="{AD0FEB41-303C-4A2F-B6DF-73174E9D2750}">
            <xm:f>IF('BQ2575X Design Calculator'!$E$3='BQ2575X Design Calculator'!$H$3, 0,1)</xm:f>
            <x14:dxf>
              <font>
                <color theme="0" tint="-0.34998626667073579"/>
              </font>
            </x14:dxf>
          </x14:cfRule>
          <xm:sqref>Z1:Z4</xm:sqref>
        </x14:conditionalFormatting>
        <x14:conditionalFormatting xmlns:xm="http://schemas.microsoft.com/office/excel/2006/main">
          <x14:cfRule type="expression" priority="808" id="{4703E06C-4B2E-485B-A36C-C54FA3BF3FDE}">
            <xm:f>IF('BQ2575X Design Calculator'!$E$3='BQ2575X Design Calculator'!$H$3, 0,1)</xm:f>
            <x14:dxf>
              <font>
                <color theme="1" tint="0.14996795556505021"/>
              </font>
              <fill>
                <patternFill>
                  <bgColor theme="1" tint="0.14996795556505021"/>
                </patternFill>
              </fill>
              <border>
                <left/>
                <right/>
                <top/>
                <bottom/>
              </border>
            </x14:dxf>
          </x14:cfRule>
          <xm:sqref>AB1:BG13 BE1:HB357 BD6:BJ8 AB6:AY14 BD6:BD19 AZ11:BB14 BC14:BK21 AB15:BB18 AY19:BB22 AC19:AX191 AB19:AB357 BC22:BJ22 AY23:BG28 AY29:BQ29 BD30:BW31 AY30:BC38 BD32:BQ38 AY39:BP43 AY44:BK190 AY191:BG191 AC192:BG357 A358:HB565</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B6327-B55E-40DE-832A-509BC5B06618}">
  <sheetPr codeName="Sheet3"/>
  <dimension ref="B2:T1348"/>
  <sheetViews>
    <sheetView workbookViewId="0">
      <selection activeCell="L15" sqref="L15"/>
    </sheetView>
  </sheetViews>
  <sheetFormatPr defaultColWidth="9.140625" defaultRowHeight="15" x14ac:dyDescent="0.25"/>
  <cols>
    <col min="1" max="3" width="9.140625" style="20"/>
    <col min="4" max="4" width="12.5703125" style="75" customWidth="1"/>
    <col min="5" max="7" width="9.140625" style="20"/>
    <col min="8" max="8" width="13.28515625" style="20" customWidth="1"/>
    <col min="9" max="11" width="9.140625" style="20"/>
    <col min="12" max="12" width="12.5703125" style="75" customWidth="1"/>
    <col min="13" max="16384" width="9.140625" style="20"/>
  </cols>
  <sheetData>
    <row r="2" spans="2:20" x14ac:dyDescent="0.25">
      <c r="B2" s="236" t="s">
        <v>339</v>
      </c>
      <c r="C2" s="236"/>
      <c r="D2" s="237"/>
      <c r="F2" s="236" t="s">
        <v>340</v>
      </c>
      <c r="G2" s="236"/>
      <c r="H2" s="236"/>
      <c r="J2" s="236" t="s">
        <v>341</v>
      </c>
      <c r="K2" s="236"/>
      <c r="L2" s="237"/>
      <c r="N2" s="20" t="s">
        <v>342</v>
      </c>
      <c r="P2" s="20" t="s">
        <v>343</v>
      </c>
    </row>
    <row r="3" spans="2:20" x14ac:dyDescent="0.25">
      <c r="B3" s="20" t="s">
        <v>344</v>
      </c>
      <c r="D3" s="75" t="s">
        <v>345</v>
      </c>
      <c r="F3" s="20" t="s">
        <v>344</v>
      </c>
      <c r="G3" s="20" t="s">
        <v>346</v>
      </c>
      <c r="H3" s="20" t="s">
        <v>345</v>
      </c>
      <c r="J3" s="20" t="s">
        <v>344</v>
      </c>
      <c r="K3" s="20" t="s">
        <v>346</v>
      </c>
      <c r="L3" s="75" t="s">
        <v>345</v>
      </c>
      <c r="N3" s="76" t="s">
        <v>347</v>
      </c>
    </row>
    <row r="4" spans="2:20" x14ac:dyDescent="0.25">
      <c r="B4" s="77">
        <v>1</v>
      </c>
      <c r="D4" s="75">
        <v>1</v>
      </c>
      <c r="F4" s="77">
        <v>1</v>
      </c>
      <c r="G4" s="20">
        <v>0</v>
      </c>
      <c r="H4" s="75">
        <f t="shared" ref="H4:H67" si="0">F4*10^(G4/96)</f>
        <v>1</v>
      </c>
      <c r="J4" s="77">
        <v>1</v>
      </c>
      <c r="K4" s="20">
        <v>0</v>
      </c>
      <c r="L4" s="78">
        <f>J4*10^(K4/192)</f>
        <v>1</v>
      </c>
      <c r="N4" s="76">
        <v>2.2000000000000002</v>
      </c>
    </row>
    <row r="5" spans="2:20" x14ac:dyDescent="0.25">
      <c r="B5" s="77">
        <v>1</v>
      </c>
      <c r="D5" s="75">
        <v>1.1000000000000001</v>
      </c>
      <c r="F5" s="77">
        <v>1</v>
      </c>
      <c r="G5" s="20">
        <v>1</v>
      </c>
      <c r="H5" s="75">
        <f t="shared" si="0"/>
        <v>1.0242752213815922</v>
      </c>
      <c r="J5" s="77">
        <v>1</v>
      </c>
      <c r="K5" s="20">
        <f>K4+1</f>
        <v>1</v>
      </c>
      <c r="L5" s="78">
        <f t="shared" ref="L5:L68" si="1">J5*10^(K5/192)</f>
        <v>1.0120648306218294</v>
      </c>
      <c r="N5" s="76">
        <v>3.3</v>
      </c>
    </row>
    <row r="6" spans="2:20" x14ac:dyDescent="0.25">
      <c r="B6" s="77">
        <v>1</v>
      </c>
      <c r="D6" s="75">
        <v>1.2</v>
      </c>
      <c r="F6" s="77">
        <v>1</v>
      </c>
      <c r="G6" s="20">
        <v>2</v>
      </c>
      <c r="H6" s="75">
        <f t="shared" si="0"/>
        <v>1.0491397291363098</v>
      </c>
      <c r="J6" s="77">
        <v>1</v>
      </c>
      <c r="K6" s="20">
        <f t="shared" ref="K6:K69" si="2">K5+1</f>
        <v>2</v>
      </c>
      <c r="L6" s="78">
        <f t="shared" si="1"/>
        <v>1.0242752213815922</v>
      </c>
      <c r="N6" s="76">
        <v>4.7</v>
      </c>
    </row>
    <row r="7" spans="2:20" x14ac:dyDescent="0.25">
      <c r="B7" s="77">
        <v>1</v>
      </c>
      <c r="D7" s="75">
        <v>1.3</v>
      </c>
      <c r="F7" s="77">
        <v>1</v>
      </c>
      <c r="G7" s="20">
        <v>3</v>
      </c>
      <c r="H7" s="75">
        <f t="shared" si="0"/>
        <v>1.0746078283213174</v>
      </c>
      <c r="J7" s="77">
        <v>1</v>
      </c>
      <c r="K7" s="20">
        <f t="shared" si="2"/>
        <v>3</v>
      </c>
      <c r="L7" s="78">
        <f t="shared" si="1"/>
        <v>1.0366329284376981</v>
      </c>
      <c r="N7" s="76">
        <v>5.6</v>
      </c>
    </row>
    <row r="8" spans="2:20" x14ac:dyDescent="0.25">
      <c r="B8" s="77">
        <v>1</v>
      </c>
      <c r="D8" s="75">
        <v>1.5</v>
      </c>
      <c r="F8" s="77">
        <v>1</v>
      </c>
      <c r="G8" s="20">
        <v>4</v>
      </c>
      <c r="H8" s="75">
        <f t="shared" si="0"/>
        <v>1.1006941712522096</v>
      </c>
      <c r="J8" s="77">
        <v>1</v>
      </c>
      <c r="K8" s="20">
        <f t="shared" si="2"/>
        <v>4</v>
      </c>
      <c r="L8" s="78">
        <f t="shared" si="1"/>
        <v>1.0491397291363098</v>
      </c>
      <c r="N8" s="76">
        <v>6.8</v>
      </c>
    </row>
    <row r="9" spans="2:20" x14ac:dyDescent="0.25">
      <c r="B9" s="77">
        <v>1</v>
      </c>
      <c r="D9" s="75">
        <v>1.6</v>
      </c>
      <c r="F9" s="77">
        <v>1</v>
      </c>
      <c r="G9" s="20">
        <v>5</v>
      </c>
      <c r="H9" s="75">
        <f t="shared" si="0"/>
        <v>1.1274137659327852</v>
      </c>
      <c r="J9" s="77">
        <v>1</v>
      </c>
      <c r="K9" s="20">
        <f t="shared" si="2"/>
        <v>5</v>
      </c>
      <c r="L9" s="78">
        <f t="shared" si="1"/>
        <v>1.0617974222669715</v>
      </c>
      <c r="N9" s="76">
        <v>8.1999999999999993</v>
      </c>
    </row>
    <row r="10" spans="2:20" x14ac:dyDescent="0.25">
      <c r="B10" s="77">
        <v>1</v>
      </c>
      <c r="D10" s="75">
        <v>1.8</v>
      </c>
      <c r="F10" s="77">
        <v>1</v>
      </c>
      <c r="G10" s="20">
        <v>6</v>
      </c>
      <c r="H10" s="75">
        <f t="shared" si="0"/>
        <v>1.1547819846894583</v>
      </c>
      <c r="J10" s="77">
        <v>1</v>
      </c>
      <c r="K10" s="20">
        <f t="shared" si="2"/>
        <v>6</v>
      </c>
      <c r="L10" s="78">
        <f t="shared" si="1"/>
        <v>1.0746078283213174</v>
      </c>
      <c r="N10" s="76">
        <v>10</v>
      </c>
      <c r="R10" s="20">
        <v>1.1000000000000001</v>
      </c>
      <c r="T10" s="20">
        <f>IF(MIN(ABS(L4:L1347-R10))&lt;0, $R$10+MIN(ABS(L4:L1347-R10)), $R$10-MIN(ABS(L4:L1347-$R$10)))</f>
        <v>1.0746078283213174</v>
      </c>
    </row>
    <row r="11" spans="2:20" x14ac:dyDescent="0.25">
      <c r="B11" s="77">
        <v>1</v>
      </c>
      <c r="D11" s="75">
        <v>2</v>
      </c>
      <c r="F11" s="77">
        <v>1</v>
      </c>
      <c r="G11" s="20">
        <v>7</v>
      </c>
      <c r="H11" s="75">
        <f t="shared" si="0"/>
        <v>1.1828145730152693</v>
      </c>
      <c r="J11" s="77">
        <v>1</v>
      </c>
      <c r="K11" s="20">
        <f t="shared" si="2"/>
        <v>7</v>
      </c>
      <c r="L11" s="78">
        <f t="shared" si="1"/>
        <v>1.0875727897549061</v>
      </c>
      <c r="N11" s="76">
        <v>15</v>
      </c>
      <c r="Q11" s="20">
        <f>VLOOKUP(1.1,stdres_5pct[Resistance],1,TRUE)</f>
        <v>1.1000000000000001</v>
      </c>
    </row>
    <row r="12" spans="2:20" x14ac:dyDescent="0.25">
      <c r="B12" s="77">
        <v>1</v>
      </c>
      <c r="D12" s="75">
        <v>2.2000000000000002</v>
      </c>
      <c r="F12" s="77">
        <v>1</v>
      </c>
      <c r="G12" s="20">
        <v>8</v>
      </c>
      <c r="H12" s="75">
        <f t="shared" si="0"/>
        <v>1.2115276586285886</v>
      </c>
      <c r="J12" s="77">
        <v>1</v>
      </c>
      <c r="K12" s="20">
        <f t="shared" si="2"/>
        <v>8</v>
      </c>
      <c r="L12" s="78">
        <f t="shared" si="1"/>
        <v>1.1006941712522096</v>
      </c>
      <c r="Q12" s="20">
        <f>stdres_0p1pct[[#This Row],[Resistance]]</f>
        <v>1.1006941712522096</v>
      </c>
    </row>
    <row r="13" spans="2:20" x14ac:dyDescent="0.25">
      <c r="B13" s="77">
        <v>1</v>
      </c>
      <c r="D13" s="75">
        <v>2.4</v>
      </c>
      <c r="F13" s="77">
        <v>1</v>
      </c>
      <c r="G13" s="20">
        <v>9</v>
      </c>
      <c r="H13" s="75">
        <f t="shared" si="0"/>
        <v>1.2409377607517196</v>
      </c>
      <c r="J13" s="77">
        <v>1</v>
      </c>
      <c r="K13" s="20">
        <f t="shared" si="2"/>
        <v>9</v>
      </c>
      <c r="L13" s="78">
        <f t="shared" si="1"/>
        <v>1.1139738599948024</v>
      </c>
      <c r="Q13" s="20" t="e">
        <f>MATCH(MIN(ABS(L4:L1347-R10)),ABS(L4:L1347-R10),0)</f>
        <v>#N/A</v>
      </c>
    </row>
    <row r="14" spans="2:20" x14ac:dyDescent="0.25">
      <c r="B14" s="77">
        <v>1</v>
      </c>
      <c r="D14" s="75">
        <v>2.7</v>
      </c>
      <c r="F14" s="77">
        <v>1</v>
      </c>
      <c r="G14" s="20">
        <v>10</v>
      </c>
      <c r="H14" s="75">
        <f t="shared" si="0"/>
        <v>1.2710617996147449</v>
      </c>
      <c r="J14" s="77">
        <v>1</v>
      </c>
      <c r="K14" s="20">
        <f t="shared" si="2"/>
        <v>10</v>
      </c>
      <c r="L14" s="78">
        <f t="shared" si="1"/>
        <v>1.1274137659327852</v>
      </c>
    </row>
    <row r="15" spans="2:20" x14ac:dyDescent="0.25">
      <c r="B15" s="77">
        <v>1</v>
      </c>
      <c r="D15" s="75">
        <v>3</v>
      </c>
      <c r="F15" s="77">
        <v>1</v>
      </c>
      <c r="G15" s="20">
        <v>11</v>
      </c>
      <c r="H15" s="75">
        <f t="shared" si="0"/>
        <v>1.3019171061900778</v>
      </c>
      <c r="J15" s="77">
        <v>1</v>
      </c>
      <c r="K15" s="20">
        <f t="shared" si="2"/>
        <v>11</v>
      </c>
      <c r="L15" s="78">
        <f>J15*10^(K15/192)</f>
        <v>1.141015822059483</v>
      </c>
    </row>
    <row r="16" spans="2:20" x14ac:dyDescent="0.25">
      <c r="B16" s="77">
        <v>1</v>
      </c>
      <c r="D16" s="75">
        <v>3.3</v>
      </c>
      <c r="F16" s="77">
        <v>1</v>
      </c>
      <c r="G16" s="20">
        <v>12</v>
      </c>
      <c r="H16" s="75">
        <f t="shared" si="0"/>
        <v>1.333521432163324</v>
      </c>
      <c r="J16" s="77">
        <v>1</v>
      </c>
      <c r="K16" s="20">
        <f t="shared" si="2"/>
        <v>12</v>
      </c>
      <c r="L16" s="78">
        <f t="shared" si="1"/>
        <v>1.1547819846894583</v>
      </c>
    </row>
    <row r="17" spans="2:14" x14ac:dyDescent="0.25">
      <c r="B17" s="77">
        <v>1</v>
      </c>
      <c r="D17" s="75">
        <v>3.6</v>
      </c>
      <c r="F17" s="77">
        <v>1</v>
      </c>
      <c r="G17" s="20">
        <v>13</v>
      </c>
      <c r="H17" s="75">
        <f t="shared" si="0"/>
        <v>1.3658929601461867</v>
      </c>
      <c r="J17" s="77">
        <v>1</v>
      </c>
      <c r="K17" s="20">
        <f t="shared" si="2"/>
        <v>13</v>
      </c>
      <c r="L17" s="78">
        <f t="shared" si="1"/>
        <v>1.1687142337398766</v>
      </c>
    </row>
    <row r="18" spans="2:14" x14ac:dyDescent="0.25">
      <c r="B18" s="77">
        <v>1</v>
      </c>
      <c r="D18" s="75">
        <v>3.9</v>
      </c>
      <c r="F18" s="77">
        <v>1</v>
      </c>
      <c r="G18" s="20">
        <v>14</v>
      </c>
      <c r="H18" s="75">
        <f t="shared" si="0"/>
        <v>1.3990503141372939</v>
      </c>
      <c r="J18" s="77">
        <v>1</v>
      </c>
      <c r="K18" s="20">
        <f t="shared" si="2"/>
        <v>14</v>
      </c>
      <c r="L18" s="78">
        <f t="shared" si="1"/>
        <v>1.1828145730152693</v>
      </c>
    </row>
    <row r="19" spans="2:14" x14ac:dyDescent="0.25">
      <c r="B19" s="77">
        <v>1</v>
      </c>
      <c r="D19" s="75">
        <v>4.3</v>
      </c>
      <c r="F19" s="77">
        <v>1</v>
      </c>
      <c r="G19" s="20">
        <v>15</v>
      </c>
      <c r="H19" s="75">
        <f t="shared" si="0"/>
        <v>1.4330125702369629</v>
      </c>
      <c r="J19" s="77">
        <v>1</v>
      </c>
      <c r="K19" s="20">
        <f t="shared" si="2"/>
        <v>15</v>
      </c>
      <c r="L19" s="78">
        <f t="shared" si="1"/>
        <v>1.1970850304957299</v>
      </c>
    </row>
    <row r="20" spans="2:14" x14ac:dyDescent="0.25">
      <c r="B20" s="77">
        <v>1</v>
      </c>
      <c r="D20" s="75">
        <v>4.7</v>
      </c>
      <c r="F20" s="77">
        <v>1</v>
      </c>
      <c r="G20" s="20">
        <v>16</v>
      </c>
      <c r="H20" s="75">
        <f t="shared" si="0"/>
        <v>1.4677992676220697</v>
      </c>
      <c r="J20" s="77">
        <v>1</v>
      </c>
      <c r="K20" s="20">
        <f t="shared" si="2"/>
        <v>16</v>
      </c>
      <c r="L20" s="78">
        <f t="shared" si="1"/>
        <v>1.2115276586285886</v>
      </c>
    </row>
    <row r="21" spans="2:14" x14ac:dyDescent="0.25">
      <c r="B21" s="77">
        <v>1</v>
      </c>
      <c r="D21" s="75">
        <v>5.0999999999999996</v>
      </c>
      <c r="F21" s="77">
        <v>1</v>
      </c>
      <c r="G21" s="20">
        <v>17</v>
      </c>
      <c r="H21" s="75">
        <f t="shared" si="0"/>
        <v>1.5034304197873343</v>
      </c>
      <c r="J21" s="77">
        <v>1</v>
      </c>
      <c r="K21" s="20">
        <f t="shared" si="2"/>
        <v>17</v>
      </c>
      <c r="L21" s="78">
        <f t="shared" si="1"/>
        <v>1.226144534623604</v>
      </c>
    </row>
    <row r="22" spans="2:14" x14ac:dyDescent="0.25">
      <c r="B22" s="77">
        <v>1</v>
      </c>
      <c r="D22" s="75">
        <v>5.6</v>
      </c>
      <c r="F22" s="77">
        <v>1</v>
      </c>
      <c r="G22" s="20">
        <v>18</v>
      </c>
      <c r="H22" s="75">
        <f t="shared" si="0"/>
        <v>1.5399265260594921</v>
      </c>
      <c r="J22" s="77">
        <v>1</v>
      </c>
      <c r="K22" s="20">
        <f t="shared" si="2"/>
        <v>18</v>
      </c>
      <c r="L22" s="78">
        <f t="shared" si="1"/>
        <v>1.2409377607517196</v>
      </c>
    </row>
    <row r="23" spans="2:14" x14ac:dyDescent="0.25">
      <c r="B23" s="77">
        <v>1</v>
      </c>
      <c r="D23" s="75">
        <v>6.2</v>
      </c>
      <c r="F23" s="77">
        <v>1</v>
      </c>
      <c r="G23" s="20">
        <v>19</v>
      </c>
      <c r="H23" s="75">
        <f t="shared" si="0"/>
        <v>1.5773085833909726</v>
      </c>
      <c r="J23" s="77">
        <v>1</v>
      </c>
      <c r="K23" s="20">
        <f t="shared" si="2"/>
        <v>19</v>
      </c>
      <c r="L23" s="78">
        <f t="shared" si="1"/>
        <v>1.2559094646474214</v>
      </c>
    </row>
    <row r="24" spans="2:14" x14ac:dyDescent="0.25">
      <c r="B24" s="77">
        <v>1</v>
      </c>
      <c r="D24" s="75">
        <v>6.8</v>
      </c>
      <c r="F24" s="77">
        <v>1</v>
      </c>
      <c r="G24" s="20">
        <v>20</v>
      </c>
      <c r="H24" s="75">
        <f t="shared" si="0"/>
        <v>1.6155980984398741</v>
      </c>
      <c r="J24" s="77">
        <v>1</v>
      </c>
      <c r="K24" s="20">
        <f t="shared" si="2"/>
        <v>20</v>
      </c>
      <c r="L24" s="78">
        <f t="shared" si="1"/>
        <v>1.2710617996147449</v>
      </c>
    </row>
    <row r="25" spans="2:14" x14ac:dyDescent="0.25">
      <c r="B25" s="77">
        <v>1</v>
      </c>
      <c r="D25" s="75">
        <v>7.5</v>
      </c>
      <c r="F25" s="77">
        <v>1</v>
      </c>
      <c r="G25" s="20">
        <v>21</v>
      </c>
      <c r="H25" s="75">
        <f t="shared" si="0"/>
        <v>1.6548170999431815</v>
      </c>
      <c r="J25" s="77">
        <v>1</v>
      </c>
      <c r="K25" s="20">
        <f t="shared" si="2"/>
        <v>21</v>
      </c>
      <c r="L25" s="78">
        <f t="shared" si="1"/>
        <v>1.2863969449369745</v>
      </c>
    </row>
    <row r="26" spans="2:14" x14ac:dyDescent="0.25">
      <c r="B26" s="77">
        <v>1</v>
      </c>
      <c r="D26" s="75">
        <v>8.1999999999999993</v>
      </c>
      <c r="F26" s="77">
        <v>1</v>
      </c>
      <c r="G26" s="20">
        <v>22</v>
      </c>
      <c r="H26" s="75">
        <f t="shared" si="0"/>
        <v>1.6949881513903466</v>
      </c>
      <c r="J26" s="77">
        <v>1</v>
      </c>
      <c r="K26" s="20">
        <f t="shared" si="2"/>
        <v>22</v>
      </c>
      <c r="L26" s="78">
        <f t="shared" si="1"/>
        <v>1.3019171061900778</v>
      </c>
    </row>
    <row r="27" spans="2:14" x14ac:dyDescent="0.25">
      <c r="B27" s="77">
        <v>1</v>
      </c>
      <c r="D27" s="75">
        <v>9.1</v>
      </c>
      <c r="F27" s="77">
        <v>1</v>
      </c>
      <c r="G27" s="20">
        <v>23</v>
      </c>
      <c r="H27" s="75">
        <f t="shared" si="0"/>
        <v>1.7361343640045233</v>
      </c>
      <c r="J27" s="77">
        <v>1</v>
      </c>
      <c r="K27" s="20">
        <f t="shared" si="2"/>
        <v>23</v>
      </c>
      <c r="L27" s="78">
        <f t="shared" si="1"/>
        <v>1.3176245155599235</v>
      </c>
    </row>
    <row r="28" spans="2:14" x14ac:dyDescent="0.25">
      <c r="B28" s="77">
        <v>1</v>
      </c>
      <c r="D28" s="75">
        <f>D4*10</f>
        <v>10</v>
      </c>
      <c r="F28" s="77">
        <v>1</v>
      </c>
      <c r="G28" s="20">
        <v>24</v>
      </c>
      <c r="H28" s="75">
        <f t="shared" si="0"/>
        <v>1.778279410038923</v>
      </c>
      <c r="J28" s="77">
        <v>1</v>
      </c>
      <c r="K28" s="20">
        <f t="shared" si="2"/>
        <v>24</v>
      </c>
      <c r="L28" s="78">
        <f t="shared" si="1"/>
        <v>1.333521432163324</v>
      </c>
    </row>
    <row r="29" spans="2:14" x14ac:dyDescent="0.25">
      <c r="B29" s="77">
        <f>B4*10</f>
        <v>10</v>
      </c>
      <c r="D29" s="75">
        <f>D5*10</f>
        <v>11</v>
      </c>
      <c r="F29" s="77">
        <v>1</v>
      </c>
      <c r="G29" s="20">
        <v>25</v>
      </c>
      <c r="H29" s="75">
        <f t="shared" si="0"/>
        <v>1.8214475363959453</v>
      </c>
      <c r="J29" s="77">
        <v>1</v>
      </c>
      <c r="K29" s="20">
        <f t="shared" si="2"/>
        <v>25</v>
      </c>
      <c r="L29" s="78">
        <f t="shared" si="1"/>
        <v>1.3496101423729541</v>
      </c>
    </row>
    <row r="30" spans="2:14" x14ac:dyDescent="0.25">
      <c r="B30" s="77">
        <f t="shared" ref="B30:B52" si="3">B5*10</f>
        <v>10</v>
      </c>
      <c r="D30" s="75">
        <f t="shared" ref="D30:D93" si="4">D6*10</f>
        <v>12</v>
      </c>
      <c r="F30" s="77">
        <v>1</v>
      </c>
      <c r="G30" s="20">
        <v>26</v>
      </c>
      <c r="H30" s="75">
        <f t="shared" si="0"/>
        <v>1.8656635785769122</v>
      </c>
      <c r="I30" s="79"/>
      <c r="J30" s="77">
        <v>1</v>
      </c>
      <c r="K30" s="20">
        <f t="shared" si="2"/>
        <v>26</v>
      </c>
      <c r="L30" s="78">
        <f t="shared" si="1"/>
        <v>1.3658929601461867</v>
      </c>
    </row>
    <row r="31" spans="2:14" x14ac:dyDescent="0.25">
      <c r="B31" s="77">
        <f t="shared" si="3"/>
        <v>10</v>
      </c>
      <c r="D31" s="75">
        <f t="shared" si="4"/>
        <v>13</v>
      </c>
      <c r="F31" s="77">
        <v>1</v>
      </c>
      <c r="G31" s="20">
        <v>27</v>
      </c>
      <c r="H31" s="75">
        <f t="shared" si="0"/>
        <v>1.9109529749704406</v>
      </c>
      <c r="J31" s="77">
        <v>1</v>
      </c>
      <c r="K31" s="20">
        <f t="shared" si="2"/>
        <v>27</v>
      </c>
      <c r="L31" s="78">
        <f t="shared" si="1"/>
        <v>1.3823722273578998</v>
      </c>
      <c r="M31" s="79"/>
      <c r="N31" s="79"/>
    </row>
    <row r="32" spans="2:14" x14ac:dyDescent="0.25">
      <c r="B32" s="77">
        <f t="shared" si="3"/>
        <v>10</v>
      </c>
      <c r="D32" s="75">
        <f t="shared" si="4"/>
        <v>15</v>
      </c>
      <c r="F32" s="77">
        <v>1</v>
      </c>
      <c r="G32" s="20">
        <v>28</v>
      </c>
      <c r="H32" s="75">
        <f t="shared" si="0"/>
        <v>1.9573417814876604</v>
      </c>
      <c r="J32" s="77">
        <v>1</v>
      </c>
      <c r="K32" s="20">
        <f t="shared" si="2"/>
        <v>28</v>
      </c>
      <c r="L32" s="78">
        <f t="shared" si="1"/>
        <v>1.3990503141372939</v>
      </c>
    </row>
    <row r="33" spans="2:12" x14ac:dyDescent="0.25">
      <c r="B33" s="77">
        <f t="shared" si="3"/>
        <v>10</v>
      </c>
      <c r="D33" s="75">
        <f t="shared" si="4"/>
        <v>16</v>
      </c>
      <c r="F33" s="77">
        <v>1</v>
      </c>
      <c r="G33" s="20">
        <v>29</v>
      </c>
      <c r="H33" s="75">
        <f t="shared" si="0"/>
        <v>2.0048566865527135</v>
      </c>
      <c r="J33" s="77">
        <v>1</v>
      </c>
      <c r="K33" s="20">
        <f t="shared" si="2"/>
        <v>29</v>
      </c>
      <c r="L33" s="78">
        <f t="shared" si="1"/>
        <v>1.4159296192087774</v>
      </c>
    </row>
    <row r="34" spans="2:12" x14ac:dyDescent="0.25">
      <c r="B34" s="77">
        <f t="shared" si="3"/>
        <v>10</v>
      </c>
      <c r="D34" s="75">
        <f t="shared" si="4"/>
        <v>18</v>
      </c>
      <c r="F34" s="77">
        <v>1</v>
      </c>
      <c r="G34" s="20">
        <v>30</v>
      </c>
      <c r="H34" s="75">
        <f t="shared" si="0"/>
        <v>2.0535250264571463</v>
      </c>
      <c r="J34" s="77">
        <v>1</v>
      </c>
      <c r="K34" s="20">
        <f t="shared" si="2"/>
        <v>30</v>
      </c>
      <c r="L34" s="78">
        <f t="shared" si="1"/>
        <v>1.4330125702369629</v>
      </c>
    </row>
    <row r="35" spans="2:12" x14ac:dyDescent="0.25">
      <c r="B35" s="77">
        <f t="shared" si="3"/>
        <v>10</v>
      </c>
      <c r="D35" s="75">
        <f t="shared" si="4"/>
        <v>20</v>
      </c>
      <c r="F35" s="77">
        <v>1</v>
      </c>
      <c r="G35" s="20">
        <v>31</v>
      </c>
      <c r="H35" s="75">
        <f t="shared" si="0"/>
        <v>2.1033748010870337</v>
      </c>
      <c r="J35" s="77">
        <v>1</v>
      </c>
      <c r="K35" s="20">
        <f t="shared" si="2"/>
        <v>31</v>
      </c>
      <c r="L35" s="78">
        <f t="shared" si="1"/>
        <v>1.4503016241758242</v>
      </c>
    </row>
    <row r="36" spans="2:12" x14ac:dyDescent="0.25">
      <c r="B36" s="77">
        <f t="shared" si="3"/>
        <v>10</v>
      </c>
      <c r="D36" s="75">
        <f t="shared" si="4"/>
        <v>22</v>
      </c>
      <c r="F36" s="77">
        <v>1</v>
      </c>
      <c r="G36" s="20">
        <v>32</v>
      </c>
      <c r="H36" s="75">
        <f t="shared" si="0"/>
        <v>2.1544346900318838</v>
      </c>
      <c r="J36" s="77">
        <v>1</v>
      </c>
      <c r="K36" s="20">
        <f t="shared" si="2"/>
        <v>32</v>
      </c>
      <c r="L36" s="78">
        <f t="shared" si="1"/>
        <v>1.4677992676220697</v>
      </c>
    </row>
    <row r="37" spans="2:12" x14ac:dyDescent="0.25">
      <c r="B37" s="77">
        <f t="shared" si="3"/>
        <v>10</v>
      </c>
      <c r="D37" s="75">
        <f t="shared" si="4"/>
        <v>24</v>
      </c>
      <c r="F37" s="77">
        <v>1</v>
      </c>
      <c r="G37" s="20">
        <v>33</v>
      </c>
      <c r="H37" s="75">
        <f t="shared" si="0"/>
        <v>2.20673406908459</v>
      </c>
      <c r="J37" s="77">
        <v>1</v>
      </c>
      <c r="K37" s="20">
        <f t="shared" si="2"/>
        <v>33</v>
      </c>
      <c r="L37" s="78">
        <f t="shared" si="1"/>
        <v>1.485508017172775</v>
      </c>
    </row>
    <row r="38" spans="2:12" x14ac:dyDescent="0.25">
      <c r="B38" s="77">
        <f t="shared" si="3"/>
        <v>10</v>
      </c>
      <c r="D38" s="75">
        <f t="shared" si="4"/>
        <v>27</v>
      </c>
      <c r="F38" s="77">
        <v>1</v>
      </c>
      <c r="G38" s="20">
        <v>34</v>
      </c>
      <c r="H38" s="75">
        <f t="shared" si="0"/>
        <v>2.2603030271419202</v>
      </c>
      <c r="J38" s="77">
        <v>1</v>
      </c>
      <c r="K38" s="20">
        <f t="shared" si="2"/>
        <v>34</v>
      </c>
      <c r="L38" s="78">
        <f t="shared" si="1"/>
        <v>1.5034304197873343</v>
      </c>
    </row>
    <row r="39" spans="2:12" x14ac:dyDescent="0.25">
      <c r="B39" s="77">
        <f t="shared" si="3"/>
        <v>10</v>
      </c>
      <c r="D39" s="75">
        <f t="shared" si="4"/>
        <v>30</v>
      </c>
      <c r="F39" s="77">
        <v>1</v>
      </c>
      <c r="G39" s="20">
        <v>35</v>
      </c>
      <c r="H39" s="75">
        <f t="shared" si="0"/>
        <v>2.3151723835152733</v>
      </c>
      <c r="J39" s="77">
        <v>1</v>
      </c>
      <c r="K39" s="20">
        <f t="shared" si="2"/>
        <v>35</v>
      </c>
      <c r="L39" s="78">
        <f t="shared" si="1"/>
        <v>1.5215690531537744</v>
      </c>
    </row>
    <row r="40" spans="2:12" x14ac:dyDescent="0.25">
      <c r="B40" s="77">
        <f t="shared" si="3"/>
        <v>10</v>
      </c>
      <c r="D40" s="75">
        <f t="shared" si="4"/>
        <v>33</v>
      </c>
      <c r="F40" s="77">
        <v>1</v>
      </c>
      <c r="G40" s="20">
        <v>36</v>
      </c>
      <c r="H40" s="75">
        <f t="shared" si="0"/>
        <v>2.3713737056616555</v>
      </c>
      <c r="J40" s="77">
        <v>1</v>
      </c>
      <c r="K40" s="20">
        <f t="shared" si="2"/>
        <v>36</v>
      </c>
      <c r="L40" s="78">
        <f t="shared" si="1"/>
        <v>1.5399265260594921</v>
      </c>
    </row>
    <row r="41" spans="2:12" x14ac:dyDescent="0.25">
      <c r="B41" s="77">
        <f t="shared" si="3"/>
        <v>10</v>
      </c>
      <c r="D41" s="75">
        <f t="shared" si="4"/>
        <v>36</v>
      </c>
      <c r="F41" s="77">
        <v>1</v>
      </c>
      <c r="G41" s="20">
        <v>37</v>
      </c>
      <c r="H41" s="75">
        <f t="shared" si="0"/>
        <v>2.4289393273450792</v>
      </c>
      <c r="J41" s="77">
        <v>1</v>
      </c>
      <c r="K41" s="20">
        <f t="shared" si="2"/>
        <v>37</v>
      </c>
      <c r="L41" s="78">
        <f t="shared" si="1"/>
        <v>1.5585054787664621</v>
      </c>
    </row>
    <row r="42" spans="2:12" x14ac:dyDescent="0.25">
      <c r="B42" s="77">
        <f t="shared" si="3"/>
        <v>10</v>
      </c>
      <c r="D42" s="75">
        <f t="shared" si="4"/>
        <v>39</v>
      </c>
      <c r="F42" s="77">
        <v>1</v>
      </c>
      <c r="G42" s="20">
        <v>38</v>
      </c>
      <c r="H42" s="75">
        <f t="shared" si="0"/>
        <v>2.4879023672388363</v>
      </c>
      <c r="J42" s="77">
        <v>1</v>
      </c>
      <c r="K42" s="20">
        <f t="shared" si="2"/>
        <v>38</v>
      </c>
      <c r="L42" s="78">
        <f t="shared" si="1"/>
        <v>1.5773085833909726</v>
      </c>
    </row>
    <row r="43" spans="2:12" x14ac:dyDescent="0.25">
      <c r="B43" s="77">
        <f t="shared" si="3"/>
        <v>10</v>
      </c>
      <c r="D43" s="75">
        <f t="shared" si="4"/>
        <v>43</v>
      </c>
      <c r="F43" s="77">
        <v>1</v>
      </c>
      <c r="G43" s="20">
        <v>39</v>
      </c>
      <c r="H43" s="75">
        <f t="shared" si="0"/>
        <v>2.548296747979347</v>
      </c>
      <c r="J43" s="77">
        <v>1</v>
      </c>
      <c r="K43" s="20">
        <f t="shared" si="2"/>
        <v>39</v>
      </c>
      <c r="L43" s="78">
        <f t="shared" si="1"/>
        <v>1.5963385442879423</v>
      </c>
    </row>
    <row r="44" spans="2:12" x14ac:dyDescent="0.25">
      <c r="B44" s="77">
        <f t="shared" si="3"/>
        <v>10</v>
      </c>
      <c r="D44" s="75">
        <f t="shared" si="4"/>
        <v>47</v>
      </c>
      <c r="F44" s="77">
        <v>1</v>
      </c>
      <c r="G44" s="20">
        <v>40</v>
      </c>
      <c r="H44" s="75">
        <f t="shared" si="0"/>
        <v>2.6101572156825372</v>
      </c>
      <c r="J44" s="77">
        <v>1</v>
      </c>
      <c r="K44" s="20">
        <f t="shared" si="2"/>
        <v>40</v>
      </c>
      <c r="L44" s="78">
        <f t="shared" si="1"/>
        <v>1.6155980984398741</v>
      </c>
    </row>
    <row r="45" spans="2:12" x14ac:dyDescent="0.25">
      <c r="B45" s="77">
        <f t="shared" si="3"/>
        <v>10</v>
      </c>
      <c r="D45" s="75">
        <f t="shared" si="4"/>
        <v>51</v>
      </c>
      <c r="F45" s="77">
        <v>1</v>
      </c>
      <c r="G45" s="20">
        <v>41</v>
      </c>
      <c r="H45" s="75">
        <f t="shared" si="0"/>
        <v>2.6735193599339908</v>
      </c>
      <c r="J45" s="77">
        <v>1</v>
      </c>
      <c r="K45" s="20">
        <f t="shared" si="2"/>
        <v>41</v>
      </c>
      <c r="L45" s="78">
        <f t="shared" si="1"/>
        <v>1.6350900158505008</v>
      </c>
    </row>
    <row r="46" spans="2:12" x14ac:dyDescent="0.25">
      <c r="B46" s="77">
        <f t="shared" si="3"/>
        <v>10</v>
      </c>
      <c r="D46" s="75">
        <f t="shared" si="4"/>
        <v>56</v>
      </c>
      <c r="F46" s="77">
        <v>1</v>
      </c>
      <c r="G46" s="20">
        <v>42</v>
      </c>
      <c r="H46" s="75">
        <f t="shared" si="0"/>
        <v>2.7384196342643614</v>
      </c>
      <c r="J46" s="77">
        <v>1</v>
      </c>
      <c r="K46" s="20">
        <f t="shared" si="2"/>
        <v>42</v>
      </c>
      <c r="L46" s="78">
        <f t="shared" si="1"/>
        <v>1.6548170999431815</v>
      </c>
    </row>
    <row r="47" spans="2:12" x14ac:dyDescent="0.25">
      <c r="B47" s="77">
        <f t="shared" si="3"/>
        <v>10</v>
      </c>
      <c r="D47" s="75">
        <f t="shared" si="4"/>
        <v>62</v>
      </c>
      <c r="F47" s="77">
        <v>1</v>
      </c>
      <c r="G47" s="20">
        <v>43</v>
      </c>
      <c r="H47" s="75">
        <f t="shared" si="0"/>
        <v>2.8048953771218281</v>
      </c>
      <c r="J47" s="77">
        <v>1</v>
      </c>
      <c r="K47" s="20">
        <f t="shared" si="2"/>
        <v>43</v>
      </c>
      <c r="L47" s="78">
        <f t="shared" si="1"/>
        <v>1.6747821879641032</v>
      </c>
    </row>
    <row r="48" spans="2:12" x14ac:dyDescent="0.25">
      <c r="B48" s="77">
        <f t="shared" si="3"/>
        <v>10</v>
      </c>
      <c r="D48" s="75">
        <f t="shared" si="4"/>
        <v>68</v>
      </c>
      <c r="F48" s="77">
        <v>1</v>
      </c>
      <c r="G48" s="20">
        <v>44</v>
      </c>
      <c r="H48" s="75">
        <f t="shared" si="0"/>
        <v>2.8729848333536645</v>
      </c>
      <c r="J48" s="77">
        <v>1</v>
      </c>
      <c r="K48" s="20">
        <f t="shared" si="2"/>
        <v>44</v>
      </c>
      <c r="L48" s="78">
        <f t="shared" si="1"/>
        <v>1.6949881513903466</v>
      </c>
    </row>
    <row r="49" spans="2:12" x14ac:dyDescent="0.25">
      <c r="B49" s="77">
        <f t="shared" si="3"/>
        <v>10</v>
      </c>
      <c r="D49" s="75">
        <f t="shared" si="4"/>
        <v>75</v>
      </c>
      <c r="F49" s="77">
        <v>1</v>
      </c>
      <c r="G49" s="20">
        <v>45</v>
      </c>
      <c r="H49" s="75">
        <f t="shared" si="0"/>
        <v>2.9427271762092824</v>
      </c>
      <c r="J49" s="77">
        <v>1</v>
      </c>
      <c r="K49" s="20">
        <f t="shared" si="2"/>
        <v>45</v>
      </c>
      <c r="L49" s="78">
        <f t="shared" si="1"/>
        <v>1.7154378963428791</v>
      </c>
    </row>
    <row r="50" spans="2:12" x14ac:dyDescent="0.25">
      <c r="B50" s="77">
        <f t="shared" si="3"/>
        <v>10</v>
      </c>
      <c r="D50" s="75">
        <f t="shared" si="4"/>
        <v>82</v>
      </c>
      <c r="F50" s="77">
        <v>1</v>
      </c>
      <c r="G50" s="20">
        <v>46</v>
      </c>
      <c r="H50" s="75">
        <f t="shared" si="0"/>
        <v>3.0141625298773906</v>
      </c>
      <c r="J50" s="77">
        <v>1</v>
      </c>
      <c r="K50" s="20">
        <f t="shared" si="2"/>
        <v>46</v>
      </c>
      <c r="L50" s="78">
        <f t="shared" si="1"/>
        <v>1.7361343640045233</v>
      </c>
    </row>
    <row r="51" spans="2:12" x14ac:dyDescent="0.25">
      <c r="B51" s="77">
        <f t="shared" si="3"/>
        <v>10</v>
      </c>
      <c r="D51" s="75">
        <f t="shared" si="4"/>
        <v>91</v>
      </c>
      <c r="F51" s="77">
        <v>1</v>
      </c>
      <c r="G51" s="20">
        <v>47</v>
      </c>
      <c r="H51" s="75">
        <f t="shared" si="0"/>
        <v>3.087331992570264</v>
      </c>
      <c r="J51" s="77">
        <v>1</v>
      </c>
      <c r="K51" s="20">
        <f t="shared" si="2"/>
        <v>47</v>
      </c>
      <c r="L51" s="78">
        <f t="shared" si="1"/>
        <v>1.7570805310429753</v>
      </c>
    </row>
    <row r="52" spans="2:12" x14ac:dyDescent="0.25">
      <c r="B52" s="77">
        <f t="shared" si="3"/>
        <v>10</v>
      </c>
      <c r="D52" s="75">
        <f t="shared" si="4"/>
        <v>100</v>
      </c>
      <c r="F52" s="77">
        <v>1</v>
      </c>
      <c r="G52" s="20">
        <v>48</v>
      </c>
      <c r="H52" s="75">
        <f t="shared" si="0"/>
        <v>3.1622776601683795</v>
      </c>
      <c r="J52" s="77">
        <v>1</v>
      </c>
      <c r="K52" s="20">
        <f t="shared" si="2"/>
        <v>48</v>
      </c>
      <c r="L52" s="78">
        <f t="shared" si="1"/>
        <v>1.778279410038923</v>
      </c>
    </row>
    <row r="53" spans="2:12" x14ac:dyDescent="0.25">
      <c r="B53" s="77">
        <f>B29*10</f>
        <v>100</v>
      </c>
      <c r="D53" s="75">
        <f t="shared" si="4"/>
        <v>110</v>
      </c>
      <c r="F53" s="77">
        <v>1</v>
      </c>
      <c r="G53" s="20">
        <v>49</v>
      </c>
      <c r="H53" s="75">
        <f t="shared" si="0"/>
        <v>3.2390426504390306</v>
      </c>
      <c r="J53" s="77">
        <v>1</v>
      </c>
      <c r="K53" s="20">
        <f t="shared" si="2"/>
        <v>49</v>
      </c>
      <c r="L53" s="78">
        <f t="shared" si="1"/>
        <v>1.7997340499193293</v>
      </c>
    </row>
    <row r="54" spans="2:12" x14ac:dyDescent="0.25">
      <c r="B54" s="77">
        <f t="shared" ref="B54:B117" si="5">B30*10</f>
        <v>100</v>
      </c>
      <c r="D54" s="75">
        <f t="shared" si="4"/>
        <v>120</v>
      </c>
      <c r="F54" s="77">
        <v>1</v>
      </c>
      <c r="G54" s="20">
        <v>50</v>
      </c>
      <c r="H54" s="75">
        <f t="shared" si="0"/>
        <v>3.3176711278428579</v>
      </c>
      <c r="J54" s="77">
        <v>1</v>
      </c>
      <c r="K54" s="20">
        <f t="shared" si="2"/>
        <v>50</v>
      </c>
      <c r="L54" s="78">
        <f t="shared" si="1"/>
        <v>1.8214475363959453</v>
      </c>
    </row>
    <row r="55" spans="2:12" x14ac:dyDescent="0.25">
      <c r="B55" s="77">
        <f t="shared" si="5"/>
        <v>100</v>
      </c>
      <c r="D55" s="75">
        <f t="shared" si="4"/>
        <v>130</v>
      </c>
      <c r="F55" s="77">
        <v>1</v>
      </c>
      <c r="G55" s="20">
        <v>51</v>
      </c>
      <c r="H55" s="75">
        <f t="shared" si="0"/>
        <v>3.3982083289425593</v>
      </c>
      <c r="J55" s="77">
        <v>1</v>
      </c>
      <c r="K55" s="20">
        <f t="shared" si="2"/>
        <v>51</v>
      </c>
      <c r="L55" s="78">
        <f t="shared" si="1"/>
        <v>1.8434229924091106</v>
      </c>
    </row>
    <row r="56" spans="2:12" x14ac:dyDescent="0.25">
      <c r="B56" s="77">
        <f t="shared" si="5"/>
        <v>100</v>
      </c>
      <c r="D56" s="75">
        <f t="shared" si="4"/>
        <v>150</v>
      </c>
      <c r="F56" s="77">
        <v>1</v>
      </c>
      <c r="G56" s="20">
        <v>52</v>
      </c>
      <c r="H56" s="75">
        <f t="shared" si="0"/>
        <v>3.4807005884284106</v>
      </c>
      <c r="J56" s="77">
        <v>1</v>
      </c>
      <c r="K56" s="20">
        <f t="shared" si="2"/>
        <v>52</v>
      </c>
      <c r="L56" s="78">
        <f t="shared" si="1"/>
        <v>1.8656635785769122</v>
      </c>
    </row>
    <row r="57" spans="2:12" x14ac:dyDescent="0.25">
      <c r="B57" s="77">
        <f t="shared" si="5"/>
        <v>100</v>
      </c>
      <c r="D57" s="75">
        <f t="shared" si="4"/>
        <v>160</v>
      </c>
      <c r="F57" s="77">
        <v>1</v>
      </c>
      <c r="G57" s="20">
        <v>53</v>
      </c>
      <c r="H57" s="75">
        <f t="shared" si="0"/>
        <v>3.5651953657755495</v>
      </c>
      <c r="J57" s="77">
        <v>1</v>
      </c>
      <c r="K57" s="20">
        <f t="shared" si="2"/>
        <v>53</v>
      </c>
      <c r="L57" s="78">
        <f t="shared" si="1"/>
        <v>1.888172493649759</v>
      </c>
    </row>
    <row r="58" spans="2:12" x14ac:dyDescent="0.25">
      <c r="B58" s="77">
        <f t="shared" si="5"/>
        <v>100</v>
      </c>
      <c r="D58" s="75">
        <f t="shared" si="4"/>
        <v>180</v>
      </c>
      <c r="F58" s="77">
        <v>1</v>
      </c>
      <c r="G58" s="20">
        <v>54</v>
      </c>
      <c r="H58" s="75">
        <f t="shared" si="0"/>
        <v>3.6517412725483775</v>
      </c>
      <c r="J58" s="77">
        <v>1</v>
      </c>
      <c r="K58" s="20">
        <f t="shared" si="2"/>
        <v>54</v>
      </c>
      <c r="L58" s="78">
        <f t="shared" si="1"/>
        <v>1.9109529749704406</v>
      </c>
    </row>
    <row r="59" spans="2:12" x14ac:dyDescent="0.25">
      <c r="B59" s="77">
        <f t="shared" si="5"/>
        <v>100</v>
      </c>
      <c r="D59" s="75">
        <f t="shared" si="4"/>
        <v>200</v>
      </c>
      <c r="F59" s="77">
        <v>1</v>
      </c>
      <c r="G59" s="20">
        <v>55</v>
      </c>
      <c r="H59" s="75">
        <f t="shared" si="0"/>
        <v>3.7403881003677859</v>
      </c>
      <c r="J59" s="77">
        <v>1</v>
      </c>
      <c r="K59" s="20">
        <f t="shared" si="2"/>
        <v>55</v>
      </c>
      <c r="L59" s="78">
        <f t="shared" si="1"/>
        <v>1.9340082989397398</v>
      </c>
    </row>
    <row r="60" spans="2:12" x14ac:dyDescent="0.25">
      <c r="B60" s="77">
        <f t="shared" si="5"/>
        <v>100</v>
      </c>
      <c r="D60" s="75">
        <f t="shared" si="4"/>
        <v>220</v>
      </c>
      <c r="F60" s="77">
        <v>1</v>
      </c>
      <c r="G60" s="20">
        <v>56</v>
      </c>
      <c r="H60" s="75">
        <f t="shared" si="0"/>
        <v>3.8311868495572883</v>
      </c>
      <c r="J60" s="77">
        <v>1</v>
      </c>
      <c r="K60" s="20">
        <f t="shared" si="2"/>
        <v>56</v>
      </c>
      <c r="L60" s="78">
        <f t="shared" si="1"/>
        <v>1.9573417814876604</v>
      </c>
    </row>
    <row r="61" spans="2:12" x14ac:dyDescent="0.25">
      <c r="B61" s="77">
        <f t="shared" si="5"/>
        <v>100</v>
      </c>
      <c r="D61" s="75">
        <f t="shared" si="4"/>
        <v>240</v>
      </c>
      <c r="F61" s="77">
        <v>1</v>
      </c>
      <c r="G61" s="20">
        <v>57</v>
      </c>
      <c r="H61" s="75">
        <f t="shared" si="0"/>
        <v>3.9241897584845362</v>
      </c>
      <c r="J61" s="77">
        <v>1</v>
      </c>
      <c r="K61" s="20">
        <f t="shared" si="2"/>
        <v>57</v>
      </c>
      <c r="L61" s="78">
        <f t="shared" si="1"/>
        <v>1.9809567785503388</v>
      </c>
    </row>
    <row r="62" spans="2:12" x14ac:dyDescent="0.25">
      <c r="B62" s="77">
        <f t="shared" si="5"/>
        <v>100</v>
      </c>
      <c r="D62" s="75">
        <f t="shared" si="4"/>
        <v>270</v>
      </c>
      <c r="F62" s="77">
        <v>1</v>
      </c>
      <c r="G62" s="20">
        <v>58</v>
      </c>
      <c r="H62" s="75">
        <f t="shared" si="0"/>
        <v>4.0194503336151257</v>
      </c>
      <c r="J62" s="77">
        <v>1</v>
      </c>
      <c r="K62" s="20">
        <f t="shared" si="2"/>
        <v>58</v>
      </c>
      <c r="L62" s="78">
        <f t="shared" si="1"/>
        <v>2.0048566865527135</v>
      </c>
    </row>
    <row r="63" spans="2:12" x14ac:dyDescent="0.25">
      <c r="B63" s="77">
        <f t="shared" si="5"/>
        <v>100</v>
      </c>
      <c r="D63" s="75">
        <f t="shared" si="4"/>
        <v>300</v>
      </c>
      <c r="F63" s="77">
        <v>1</v>
      </c>
      <c r="G63" s="20">
        <v>59</v>
      </c>
      <c r="H63" s="75">
        <f t="shared" si="0"/>
        <v>4.1170233802959482</v>
      </c>
      <c r="J63" s="77">
        <v>1</v>
      </c>
      <c r="K63" s="20">
        <f t="shared" si="2"/>
        <v>59</v>
      </c>
      <c r="L63" s="78">
        <f t="shared" si="1"/>
        <v>2.0290449428970145</v>
      </c>
    </row>
    <row r="64" spans="2:12" x14ac:dyDescent="0.25">
      <c r="B64" s="77">
        <f t="shared" si="5"/>
        <v>100</v>
      </c>
      <c r="D64" s="75">
        <f t="shared" si="4"/>
        <v>330</v>
      </c>
      <c r="F64" s="77">
        <v>1</v>
      </c>
      <c r="G64" s="20">
        <v>60</v>
      </c>
      <c r="H64" s="75">
        <f t="shared" si="0"/>
        <v>4.2169650342858231</v>
      </c>
      <c r="J64" s="77">
        <v>1</v>
      </c>
      <c r="K64" s="20">
        <f t="shared" si="2"/>
        <v>60</v>
      </c>
      <c r="L64" s="78">
        <f t="shared" si="1"/>
        <v>2.0535250264571463</v>
      </c>
    </row>
    <row r="65" spans="2:12" x14ac:dyDescent="0.25">
      <c r="B65" s="77">
        <f t="shared" si="5"/>
        <v>100</v>
      </c>
      <c r="D65" s="75">
        <f t="shared" si="4"/>
        <v>360</v>
      </c>
      <c r="F65" s="77">
        <v>1</v>
      </c>
      <c r="G65" s="20">
        <v>61</v>
      </c>
      <c r="H65" s="75">
        <f t="shared" si="0"/>
        <v>4.3193327940515447</v>
      </c>
      <c r="J65" s="77">
        <v>1</v>
      </c>
      <c r="K65" s="20">
        <f t="shared" si="2"/>
        <v>61</v>
      </c>
      <c r="L65" s="78">
        <f t="shared" si="1"/>
        <v>2.0783004580790392</v>
      </c>
    </row>
    <row r="66" spans="2:12" x14ac:dyDescent="0.25">
      <c r="B66" s="77">
        <f t="shared" si="5"/>
        <v>100</v>
      </c>
      <c r="D66" s="75">
        <f t="shared" si="4"/>
        <v>390</v>
      </c>
      <c r="F66" s="77">
        <v>1</v>
      </c>
      <c r="G66" s="20">
        <v>62</v>
      </c>
      <c r="H66" s="75">
        <f t="shared" si="0"/>
        <v>4.4241855538479182</v>
      </c>
      <c r="J66" s="77">
        <v>1</v>
      </c>
      <c r="K66" s="20">
        <f t="shared" si="2"/>
        <v>62</v>
      </c>
      <c r="L66" s="78">
        <f t="shared" si="1"/>
        <v>2.1033748010870337</v>
      </c>
    </row>
    <row r="67" spans="2:12" x14ac:dyDescent="0.25">
      <c r="B67" s="77">
        <f t="shared" si="5"/>
        <v>100</v>
      </c>
      <c r="D67" s="75">
        <f t="shared" si="4"/>
        <v>430</v>
      </c>
      <c r="F67" s="77">
        <v>1</v>
      </c>
      <c r="G67" s="20">
        <v>63</v>
      </c>
      <c r="H67" s="75">
        <f t="shared" si="0"/>
        <v>4.5315836376008187</v>
      </c>
      <c r="J67" s="77">
        <v>1</v>
      </c>
      <c r="K67" s="20">
        <f t="shared" si="2"/>
        <v>63</v>
      </c>
      <c r="L67" s="78">
        <f t="shared" si="1"/>
        <v>2.1287516617963727</v>
      </c>
    </row>
    <row r="68" spans="2:12" x14ac:dyDescent="0.25">
      <c r="B68" s="77">
        <f t="shared" si="5"/>
        <v>100</v>
      </c>
      <c r="D68" s="75">
        <f t="shared" si="4"/>
        <v>470</v>
      </c>
      <c r="F68" s="77">
        <v>1</v>
      </c>
      <c r="G68" s="20">
        <v>64</v>
      </c>
      <c r="H68" s="75">
        <f t="shared" ref="H68:H131" si="6">F68*10^(G68/96)</f>
        <v>4.6415888336127793</v>
      </c>
      <c r="J68" s="77">
        <v>1</v>
      </c>
      <c r="K68" s="20">
        <f t="shared" si="2"/>
        <v>64</v>
      </c>
      <c r="L68" s="78">
        <f t="shared" si="1"/>
        <v>2.1544346900318838</v>
      </c>
    </row>
    <row r="69" spans="2:12" x14ac:dyDescent="0.25">
      <c r="B69" s="77">
        <f t="shared" si="5"/>
        <v>100</v>
      </c>
      <c r="D69" s="75">
        <f t="shared" si="4"/>
        <v>510</v>
      </c>
      <c r="F69" s="77">
        <v>1</v>
      </c>
      <c r="G69" s="20">
        <v>65</v>
      </c>
      <c r="H69" s="75">
        <f t="shared" si="6"/>
        <v>4.754264430111057</v>
      </c>
      <c r="J69" s="77">
        <v>1</v>
      </c>
      <c r="K69" s="20">
        <f t="shared" si="2"/>
        <v>65</v>
      </c>
      <c r="L69" s="78">
        <f t="shared" ref="L69:L132" si="7">J69*10^(K69/192)</f>
        <v>2.1804275796529122</v>
      </c>
    </row>
    <row r="70" spans="2:12" x14ac:dyDescent="0.25">
      <c r="B70" s="77">
        <f t="shared" si="5"/>
        <v>100</v>
      </c>
      <c r="D70" s="75">
        <f t="shared" si="4"/>
        <v>560</v>
      </c>
      <c r="F70" s="77">
        <v>1</v>
      </c>
      <c r="G70" s="20">
        <v>66</v>
      </c>
      <c r="H70" s="75">
        <f t="shared" si="6"/>
        <v>4.8696752516586317</v>
      </c>
      <c r="J70" s="77">
        <v>1</v>
      </c>
      <c r="K70" s="20">
        <f t="shared" ref="K70:K133" si="8">K69+1</f>
        <v>66</v>
      </c>
      <c r="L70" s="78">
        <f t="shared" si="7"/>
        <v>2.20673406908459</v>
      </c>
    </row>
    <row r="71" spans="2:12" x14ac:dyDescent="0.25">
      <c r="B71" s="77">
        <f t="shared" si="5"/>
        <v>100</v>
      </c>
      <c r="D71" s="75">
        <f t="shared" si="4"/>
        <v>620</v>
      </c>
      <c r="F71" s="77">
        <v>1</v>
      </c>
      <c r="G71" s="20">
        <v>67</v>
      </c>
      <c r="H71" s="75">
        <f t="shared" si="6"/>
        <v>4.9878876964491061</v>
      </c>
      <c r="J71" s="77">
        <v>1</v>
      </c>
      <c r="K71" s="20">
        <f t="shared" si="8"/>
        <v>67</v>
      </c>
      <c r="L71" s="78">
        <f t="shared" si="7"/>
        <v>2.2333579418555161</v>
      </c>
    </row>
    <row r="72" spans="2:12" x14ac:dyDescent="0.25">
      <c r="B72" s="77">
        <f t="shared" si="5"/>
        <v>100</v>
      </c>
      <c r="D72" s="75">
        <f t="shared" si="4"/>
        <v>680</v>
      </c>
      <c r="F72" s="77">
        <v>1</v>
      </c>
      <c r="G72" s="20">
        <v>68</v>
      </c>
      <c r="H72" s="75">
        <f t="shared" si="6"/>
        <v>5.1089697745069289</v>
      </c>
      <c r="J72" s="77">
        <v>1</v>
      </c>
      <c r="K72" s="20">
        <f t="shared" si="8"/>
        <v>68</v>
      </c>
      <c r="L72" s="78">
        <f t="shared" si="7"/>
        <v>2.2603030271419202</v>
      </c>
    </row>
    <row r="73" spans="2:12" x14ac:dyDescent="0.25">
      <c r="B73" s="77">
        <f t="shared" si="5"/>
        <v>100</v>
      </c>
      <c r="D73" s="75">
        <f t="shared" si="4"/>
        <v>750</v>
      </c>
      <c r="F73" s="77">
        <v>1</v>
      </c>
      <c r="G73" s="20">
        <v>69</v>
      </c>
      <c r="H73" s="75">
        <f t="shared" si="6"/>
        <v>5.2329911468149479</v>
      </c>
      <c r="J73" s="77">
        <v>1</v>
      </c>
      <c r="K73" s="20">
        <f t="shared" si="8"/>
        <v>69</v>
      </c>
      <c r="L73" s="78">
        <f t="shared" si="7"/>
        <v>2.2875732003183962</v>
      </c>
    </row>
    <row r="74" spans="2:12" x14ac:dyDescent="0.25">
      <c r="B74" s="77">
        <f t="shared" si="5"/>
        <v>100</v>
      </c>
      <c r="D74" s="75">
        <f t="shared" si="4"/>
        <v>820</v>
      </c>
      <c r="F74" s="77">
        <v>1</v>
      </c>
      <c r="G74" s="20">
        <v>70</v>
      </c>
      <c r="H74" s="75">
        <f t="shared" si="6"/>
        <v>5.3600231653917918</v>
      </c>
      <c r="J74" s="77">
        <v>1</v>
      </c>
      <c r="K74" s="20">
        <f t="shared" si="8"/>
        <v>70</v>
      </c>
      <c r="L74" s="78">
        <f t="shared" si="7"/>
        <v>2.3151723835152733</v>
      </c>
    </row>
    <row r="75" spans="2:12" x14ac:dyDescent="0.25">
      <c r="B75" s="77">
        <f t="shared" si="5"/>
        <v>100</v>
      </c>
      <c r="D75" s="75">
        <f t="shared" si="4"/>
        <v>910</v>
      </c>
      <c r="F75" s="77">
        <v>1</v>
      </c>
      <c r="G75" s="20">
        <v>71</v>
      </c>
      <c r="H75" s="75">
        <f t="shared" si="6"/>
        <v>5.4901389143421415</v>
      </c>
      <c r="J75" s="77">
        <v>1</v>
      </c>
      <c r="K75" s="20">
        <f t="shared" si="8"/>
        <v>71</v>
      </c>
      <c r="L75" s="78">
        <f t="shared" si="7"/>
        <v>2.3431045461827225</v>
      </c>
    </row>
    <row r="76" spans="2:12" x14ac:dyDescent="0.25">
      <c r="B76" s="77">
        <f t="shared" si="5"/>
        <v>100</v>
      </c>
      <c r="D76" s="75">
        <f t="shared" si="4"/>
        <v>1000</v>
      </c>
      <c r="F76" s="77">
        <v>1</v>
      </c>
      <c r="G76" s="20">
        <v>72</v>
      </c>
      <c r="H76" s="75">
        <f t="shared" si="6"/>
        <v>5.6234132519034921</v>
      </c>
      <c r="J76" s="77">
        <v>1</v>
      </c>
      <c r="K76" s="20">
        <f t="shared" si="8"/>
        <v>72</v>
      </c>
      <c r="L76" s="78">
        <f t="shared" si="7"/>
        <v>2.3713737056616555</v>
      </c>
    </row>
    <row r="77" spans="2:12" x14ac:dyDescent="0.25">
      <c r="B77" s="77">
        <f t="shared" si="5"/>
        <v>1000</v>
      </c>
      <c r="D77" s="75">
        <f t="shared" si="4"/>
        <v>1100</v>
      </c>
      <c r="F77" s="77">
        <v>1</v>
      </c>
      <c r="G77" s="20">
        <v>73</v>
      </c>
      <c r="H77" s="75">
        <f t="shared" si="6"/>
        <v>5.7599228535136282</v>
      </c>
      <c r="J77" s="77">
        <v>1</v>
      </c>
      <c r="K77" s="20">
        <f t="shared" si="8"/>
        <v>73</v>
      </c>
      <c r="L77" s="78">
        <f t="shared" si="7"/>
        <v>2.3999839277615234</v>
      </c>
    </row>
    <row r="78" spans="2:12" x14ac:dyDescent="0.25">
      <c r="B78" s="77">
        <f t="shared" si="5"/>
        <v>1000</v>
      </c>
      <c r="D78" s="75">
        <f t="shared" si="4"/>
        <v>1200</v>
      </c>
      <c r="F78" s="77">
        <v>1</v>
      </c>
      <c r="G78" s="20">
        <v>74</v>
      </c>
      <c r="H78" s="75">
        <f t="shared" si="6"/>
        <v>5.8997462559235654</v>
      </c>
      <c r="J78" s="77">
        <v>1</v>
      </c>
      <c r="K78" s="20">
        <f t="shared" si="8"/>
        <v>74</v>
      </c>
      <c r="L78" s="78">
        <f t="shared" si="7"/>
        <v>2.4289393273450792</v>
      </c>
    </row>
    <row r="79" spans="2:12" x14ac:dyDescent="0.25">
      <c r="B79" s="77">
        <f t="shared" si="5"/>
        <v>1000</v>
      </c>
      <c r="D79" s="75">
        <f t="shared" si="4"/>
        <v>1300</v>
      </c>
      <c r="F79" s="77">
        <v>1</v>
      </c>
      <c r="G79" s="20">
        <v>75</v>
      </c>
      <c r="H79" s="75">
        <f t="shared" si="6"/>
        <v>6.0429639023813291</v>
      </c>
      <c r="J79" s="77">
        <v>1</v>
      </c>
      <c r="K79" s="20">
        <f t="shared" si="8"/>
        <v>75</v>
      </c>
      <c r="L79" s="78">
        <f t="shared" si="7"/>
        <v>2.4582440689201976</v>
      </c>
    </row>
    <row r="80" spans="2:12" x14ac:dyDescent="0.25">
      <c r="B80" s="77">
        <f t="shared" si="5"/>
        <v>1000</v>
      </c>
      <c r="D80" s="75">
        <f t="shared" si="4"/>
        <v>1500</v>
      </c>
      <c r="F80" s="77">
        <v>1</v>
      </c>
      <c r="G80" s="20">
        <v>76</v>
      </c>
      <c r="H80" s="75">
        <f t="shared" si="6"/>
        <v>6.1896581889126061</v>
      </c>
      <c r="J80" s="77">
        <v>1</v>
      </c>
      <c r="K80" s="20">
        <f t="shared" si="8"/>
        <v>76</v>
      </c>
      <c r="L80" s="78">
        <f t="shared" si="7"/>
        <v>2.4879023672388363</v>
      </c>
    </row>
    <row r="81" spans="2:12" x14ac:dyDescent="0.25">
      <c r="B81" s="77">
        <f t="shared" si="5"/>
        <v>1000</v>
      </c>
      <c r="D81" s="75">
        <f t="shared" si="4"/>
        <v>1600</v>
      </c>
      <c r="F81" s="77">
        <v>1</v>
      </c>
      <c r="G81" s="20">
        <v>77</v>
      </c>
      <c r="H81" s="75">
        <f t="shared" si="6"/>
        <v>6.3399135117248457</v>
      </c>
      <c r="J81" s="77">
        <v>1</v>
      </c>
      <c r="K81" s="20">
        <f t="shared" si="8"/>
        <v>77</v>
      </c>
      <c r="L81" s="78">
        <f t="shared" si="7"/>
        <v>2.5179184879032217</v>
      </c>
    </row>
    <row r="82" spans="2:12" x14ac:dyDescent="0.25">
      <c r="B82" s="77">
        <f t="shared" si="5"/>
        <v>1000</v>
      </c>
      <c r="D82" s="75">
        <f t="shared" si="4"/>
        <v>1800</v>
      </c>
      <c r="F82" s="77">
        <v>1</v>
      </c>
      <c r="G82" s="20">
        <v>78</v>
      </c>
      <c r="H82" s="75">
        <f t="shared" si="6"/>
        <v>6.4938163157621149</v>
      </c>
      <c r="J82" s="77">
        <v>1</v>
      </c>
      <c r="K82" s="20">
        <f t="shared" si="8"/>
        <v>78</v>
      </c>
      <c r="L82" s="78">
        <f t="shared" si="7"/>
        <v>2.548296747979347</v>
      </c>
    </row>
    <row r="83" spans="2:12" x14ac:dyDescent="0.25">
      <c r="B83" s="77">
        <f t="shared" si="5"/>
        <v>1000</v>
      </c>
      <c r="D83" s="75">
        <f t="shared" si="4"/>
        <v>2000</v>
      </c>
      <c r="F83" s="77">
        <v>1</v>
      </c>
      <c r="G83" s="20">
        <v>79</v>
      </c>
      <c r="H83" s="75">
        <f t="shared" si="6"/>
        <v>6.6514551444386338</v>
      </c>
      <c r="J83" s="77">
        <v>1</v>
      </c>
      <c r="K83" s="20">
        <f t="shared" si="8"/>
        <v>79</v>
      </c>
      <c r="L83" s="78">
        <f t="shared" si="7"/>
        <v>2.5790415166178762</v>
      </c>
    </row>
    <row r="84" spans="2:12" x14ac:dyDescent="0.25">
      <c r="B84" s="77">
        <f t="shared" si="5"/>
        <v>1000</v>
      </c>
      <c r="D84" s="75">
        <f t="shared" si="4"/>
        <v>2200</v>
      </c>
      <c r="F84" s="77">
        <v>1</v>
      </c>
      <c r="G84" s="20">
        <v>80</v>
      </c>
      <c r="H84" s="75">
        <f t="shared" si="6"/>
        <v>6.812920690579614</v>
      </c>
      <c r="J84" s="77">
        <v>1</v>
      </c>
      <c r="K84" s="20">
        <f t="shared" si="8"/>
        <v>80</v>
      </c>
      <c r="L84" s="78">
        <f t="shared" si="7"/>
        <v>2.6101572156825372</v>
      </c>
    </row>
    <row r="85" spans="2:12" x14ac:dyDescent="0.25">
      <c r="B85" s="77">
        <f t="shared" si="5"/>
        <v>1000</v>
      </c>
      <c r="D85" s="75">
        <f t="shared" si="4"/>
        <v>2400</v>
      </c>
      <c r="F85" s="77">
        <v>1</v>
      </c>
      <c r="G85" s="20">
        <v>81</v>
      </c>
      <c r="H85" s="75">
        <f t="shared" si="6"/>
        <v>6.9783058485986649</v>
      </c>
      <c r="J85" s="77">
        <v>1</v>
      </c>
      <c r="K85" s="20">
        <f t="shared" si="8"/>
        <v>81</v>
      </c>
      <c r="L85" s="78">
        <f t="shared" si="7"/>
        <v>2.6416483203860928</v>
      </c>
    </row>
    <row r="86" spans="2:12" x14ac:dyDescent="0.25">
      <c r="B86" s="77">
        <f t="shared" si="5"/>
        <v>1000</v>
      </c>
      <c r="D86" s="75">
        <f t="shared" si="4"/>
        <v>2700</v>
      </c>
      <c r="F86" s="77">
        <v>1</v>
      </c>
      <c r="G86" s="20">
        <v>82</v>
      </c>
      <c r="H86" s="75">
        <f t="shared" si="6"/>
        <v>7.147705767941857</v>
      </c>
      <c r="J86" s="77">
        <v>1</v>
      </c>
      <c r="K86" s="20">
        <f t="shared" si="8"/>
        <v>82</v>
      </c>
      <c r="L86" s="78">
        <f t="shared" si="7"/>
        <v>2.6735193599339908</v>
      </c>
    </row>
    <row r="87" spans="2:12" x14ac:dyDescent="0.25">
      <c r="B87" s="77">
        <f t="shared" si="5"/>
        <v>1000</v>
      </c>
      <c r="D87" s="75">
        <f t="shared" si="4"/>
        <v>3000</v>
      </c>
      <c r="F87" s="77">
        <v>1</v>
      </c>
      <c r="G87" s="20">
        <v>83</v>
      </c>
      <c r="H87" s="75">
        <f t="shared" si="6"/>
        <v>7.3212179078291308</v>
      </c>
      <c r="J87" s="77">
        <v>1</v>
      </c>
      <c r="K87" s="20">
        <f t="shared" si="8"/>
        <v>83</v>
      </c>
      <c r="L87" s="78">
        <f t="shared" si="7"/>
        <v>2.7057749181757766</v>
      </c>
    </row>
    <row r="88" spans="2:12" x14ac:dyDescent="0.25">
      <c r="B88" s="77">
        <f t="shared" si="5"/>
        <v>1000</v>
      </c>
      <c r="D88" s="75">
        <f t="shared" si="4"/>
        <v>3300</v>
      </c>
      <c r="F88" s="77">
        <v>1</v>
      </c>
      <c r="G88" s="20">
        <v>84</v>
      </c>
      <c r="H88" s="75">
        <f t="shared" si="6"/>
        <v>7.4989420933245592</v>
      </c>
      <c r="J88" s="77">
        <v>1</v>
      </c>
      <c r="K88" s="20">
        <f t="shared" si="8"/>
        <v>84</v>
      </c>
      <c r="L88" s="78">
        <f t="shared" si="7"/>
        <v>2.7384196342643614</v>
      </c>
    </row>
    <row r="89" spans="2:12" x14ac:dyDescent="0.25">
      <c r="B89" s="77">
        <f t="shared" si="5"/>
        <v>1000</v>
      </c>
      <c r="D89" s="75">
        <f t="shared" si="4"/>
        <v>3600</v>
      </c>
      <c r="F89" s="77">
        <v>1</v>
      </c>
      <c r="G89" s="20">
        <v>85</v>
      </c>
      <c r="H89" s="75">
        <f t="shared" si="6"/>
        <v>7.6809805727677549</v>
      </c>
      <c r="J89" s="77">
        <v>1</v>
      </c>
      <c r="K89" s="20">
        <f t="shared" si="8"/>
        <v>85</v>
      </c>
      <c r="L89" s="78">
        <f t="shared" si="7"/>
        <v>2.7714582033232533</v>
      </c>
    </row>
    <row r="90" spans="2:12" x14ac:dyDescent="0.25">
      <c r="B90" s="77">
        <f t="shared" si="5"/>
        <v>1000</v>
      </c>
      <c r="D90" s="75">
        <f t="shared" si="4"/>
        <v>3900</v>
      </c>
      <c r="F90" s="77">
        <v>1</v>
      </c>
      <c r="G90" s="20">
        <v>86</v>
      </c>
      <c r="H90" s="75">
        <f t="shared" si="6"/>
        <v>7.8674380765994032</v>
      </c>
      <c r="J90" s="77">
        <v>1</v>
      </c>
      <c r="K90" s="20">
        <f t="shared" si="8"/>
        <v>86</v>
      </c>
      <c r="L90" s="78">
        <f t="shared" si="7"/>
        <v>2.8048953771218281</v>
      </c>
    </row>
    <row r="91" spans="2:12" x14ac:dyDescent="0.25">
      <c r="B91" s="77">
        <f t="shared" si="5"/>
        <v>1000</v>
      </c>
      <c r="D91" s="75">
        <f t="shared" si="4"/>
        <v>4300</v>
      </c>
      <c r="F91" s="77">
        <v>1</v>
      </c>
      <c r="G91" s="20">
        <v>87</v>
      </c>
      <c r="H91" s="75">
        <f t="shared" si="6"/>
        <v>8.0584218776148191</v>
      </c>
      <c r="J91" s="77">
        <v>1</v>
      </c>
      <c r="K91" s="20">
        <f t="shared" si="8"/>
        <v>87</v>
      </c>
      <c r="L91" s="78">
        <f t="shared" si="7"/>
        <v>2.8387359647587549</v>
      </c>
    </row>
    <row r="92" spans="2:12" x14ac:dyDescent="0.25">
      <c r="B92" s="77">
        <f t="shared" si="5"/>
        <v>1000</v>
      </c>
      <c r="D92" s="75">
        <f t="shared" si="4"/>
        <v>4700</v>
      </c>
      <c r="F92" s="77">
        <v>1</v>
      </c>
      <c r="G92" s="20">
        <v>88</v>
      </c>
      <c r="H92" s="75">
        <f t="shared" si="6"/>
        <v>8.2540418526801833</v>
      </c>
      <c r="J92" s="77">
        <v>1</v>
      </c>
      <c r="K92" s="20">
        <f t="shared" si="8"/>
        <v>88</v>
      </c>
      <c r="L92" s="78">
        <f t="shared" si="7"/>
        <v>2.8729848333536645</v>
      </c>
    </row>
    <row r="93" spans="2:12" x14ac:dyDescent="0.25">
      <c r="B93" s="77">
        <f t="shared" si="5"/>
        <v>1000</v>
      </c>
      <c r="D93" s="75">
        <f t="shared" si="4"/>
        <v>5100</v>
      </c>
      <c r="F93" s="77">
        <v>1</v>
      </c>
      <c r="G93" s="20">
        <v>89</v>
      </c>
      <c r="H93" s="75">
        <f t="shared" si="6"/>
        <v>8.4544105459469243</v>
      </c>
      <c r="J93" s="77">
        <v>1</v>
      </c>
      <c r="K93" s="20">
        <f t="shared" si="8"/>
        <v>89</v>
      </c>
      <c r="L93" s="78">
        <f t="shared" si="7"/>
        <v>2.9076469087471617</v>
      </c>
    </row>
    <row r="94" spans="2:12" x14ac:dyDescent="0.25">
      <c r="B94" s="77">
        <f t="shared" si="5"/>
        <v>1000</v>
      </c>
      <c r="D94" s="75">
        <f t="shared" ref="D94:D157" si="9">D70*10</f>
        <v>5600</v>
      </c>
      <c r="F94" s="77">
        <v>1</v>
      </c>
      <c r="G94" s="20">
        <v>90</v>
      </c>
      <c r="H94" s="75">
        <f t="shared" si="6"/>
        <v>8.6596432336006561</v>
      </c>
      <c r="J94" s="77">
        <v>1</v>
      </c>
      <c r="K94" s="20">
        <f t="shared" si="8"/>
        <v>90</v>
      </c>
      <c r="L94" s="78">
        <f t="shared" si="7"/>
        <v>2.9427271762092824</v>
      </c>
    </row>
    <row r="95" spans="2:12" x14ac:dyDescent="0.25">
      <c r="B95" s="77">
        <f t="shared" si="5"/>
        <v>1000</v>
      </c>
      <c r="D95" s="75">
        <f t="shared" si="9"/>
        <v>6200</v>
      </c>
      <c r="F95" s="77">
        <v>1</v>
      </c>
      <c r="G95" s="20">
        <v>91</v>
      </c>
      <c r="H95" s="75">
        <f t="shared" si="6"/>
        <v>8.8698579901819183</v>
      </c>
      <c r="J95" s="77">
        <v>1</v>
      </c>
      <c r="K95" s="20">
        <f t="shared" si="8"/>
        <v>91</v>
      </c>
      <c r="L95" s="78">
        <f t="shared" si="7"/>
        <v>2.9782306811565014</v>
      </c>
    </row>
    <row r="96" spans="2:12" x14ac:dyDescent="0.25">
      <c r="B96" s="77">
        <f t="shared" si="5"/>
        <v>1000</v>
      </c>
      <c r="D96" s="75">
        <f t="shared" si="9"/>
        <v>6800</v>
      </c>
      <c r="F96" s="77">
        <v>1</v>
      </c>
      <c r="G96" s="20">
        <v>92</v>
      </c>
      <c r="H96" s="75">
        <f t="shared" si="6"/>
        <v>9.08517575651687</v>
      </c>
      <c r="J96" s="77">
        <v>1</v>
      </c>
      <c r="K96" s="20">
        <f t="shared" si="8"/>
        <v>92</v>
      </c>
      <c r="L96" s="78">
        <f t="shared" si="7"/>
        <v>3.0141625298773906</v>
      </c>
    </row>
    <row r="97" spans="2:12" x14ac:dyDescent="0.25">
      <c r="B97" s="77">
        <f t="shared" si="5"/>
        <v>1000</v>
      </c>
      <c r="D97" s="75">
        <f t="shared" si="9"/>
        <v>7500</v>
      </c>
      <c r="F97" s="77">
        <v>1</v>
      </c>
      <c r="G97" s="20">
        <v>93</v>
      </c>
      <c r="H97" s="75">
        <f t="shared" si="6"/>
        <v>9.3057204092969901</v>
      </c>
      <c r="J97" s="77">
        <v>1</v>
      </c>
      <c r="K97" s="20">
        <f t="shared" si="8"/>
        <v>93</v>
      </c>
      <c r="L97" s="78">
        <f t="shared" si="7"/>
        <v>3.0505278902670256</v>
      </c>
    </row>
    <row r="98" spans="2:12" x14ac:dyDescent="0.25">
      <c r="B98" s="77">
        <f t="shared" si="5"/>
        <v>1000</v>
      </c>
      <c r="D98" s="75">
        <f t="shared" si="9"/>
        <v>8200</v>
      </c>
      <c r="F98" s="77">
        <v>1</v>
      </c>
      <c r="G98" s="20">
        <v>94</v>
      </c>
      <c r="H98" s="75">
        <f t="shared" si="6"/>
        <v>9.5316188323478777</v>
      </c>
      <c r="J98" s="77">
        <v>1</v>
      </c>
      <c r="K98" s="20">
        <f t="shared" si="8"/>
        <v>94</v>
      </c>
      <c r="L98" s="78">
        <f t="shared" si="7"/>
        <v>3.087331992570264</v>
      </c>
    </row>
    <row r="99" spans="2:12" x14ac:dyDescent="0.25">
      <c r="B99" s="77">
        <f t="shared" si="5"/>
        <v>1000</v>
      </c>
      <c r="D99" s="75">
        <f t="shared" si="9"/>
        <v>9100</v>
      </c>
      <c r="F99" s="77">
        <v>1</v>
      </c>
      <c r="G99" s="20">
        <v>95</v>
      </c>
      <c r="H99" s="75">
        <f t="shared" si="6"/>
        <v>9.7630009896280789</v>
      </c>
      <c r="J99" s="77">
        <v>1</v>
      </c>
      <c r="K99" s="20">
        <f t="shared" si="8"/>
        <v>95</v>
      </c>
      <c r="L99" s="78">
        <f t="shared" si="7"/>
        <v>3.1245801301339799</v>
      </c>
    </row>
    <row r="100" spans="2:12" x14ac:dyDescent="0.25">
      <c r="B100" s="77">
        <f t="shared" si="5"/>
        <v>1000</v>
      </c>
      <c r="D100" s="75">
        <f t="shared" si="9"/>
        <v>10000</v>
      </c>
      <c r="F100" s="77">
        <v>1</v>
      </c>
      <c r="G100" s="20">
        <v>96</v>
      </c>
      <c r="H100" s="75">
        <f t="shared" si="6"/>
        <v>10</v>
      </c>
      <c r="J100" s="77">
        <v>1</v>
      </c>
      <c r="K100" s="20">
        <f t="shared" si="8"/>
        <v>96</v>
      </c>
      <c r="L100" s="78">
        <f t="shared" si="7"/>
        <v>3.1622776601683795</v>
      </c>
    </row>
    <row r="101" spans="2:12" x14ac:dyDescent="0.25">
      <c r="B101" s="77">
        <f t="shared" si="5"/>
        <v>10000</v>
      </c>
      <c r="D101" s="75">
        <f t="shared" si="9"/>
        <v>11000</v>
      </c>
      <c r="F101" s="77">
        <v>10</v>
      </c>
      <c r="G101" s="20">
        <v>1</v>
      </c>
      <c r="H101" s="75">
        <f t="shared" si="6"/>
        <v>10.242752213815923</v>
      </c>
      <c r="J101" s="77">
        <v>1</v>
      </c>
      <c r="K101" s="20">
        <f t="shared" si="8"/>
        <v>97</v>
      </c>
      <c r="L101" s="78">
        <f t="shared" si="7"/>
        <v>3.2004300045175067</v>
      </c>
    </row>
    <row r="102" spans="2:12" x14ac:dyDescent="0.25">
      <c r="B102" s="77">
        <f t="shared" si="5"/>
        <v>10000</v>
      </c>
      <c r="D102" s="75">
        <f t="shared" si="9"/>
        <v>12000</v>
      </c>
      <c r="F102" s="77">
        <v>10</v>
      </c>
      <c r="G102" s="20">
        <v>2</v>
      </c>
      <c r="H102" s="75">
        <f t="shared" si="6"/>
        <v>10.491397291363098</v>
      </c>
      <c r="J102" s="77">
        <v>1</v>
      </c>
      <c r="K102" s="20">
        <f t="shared" si="8"/>
        <v>98</v>
      </c>
      <c r="L102" s="78">
        <f t="shared" si="7"/>
        <v>3.2390426504390306</v>
      </c>
    </row>
    <row r="103" spans="2:12" x14ac:dyDescent="0.25">
      <c r="B103" s="77">
        <f t="shared" si="5"/>
        <v>10000</v>
      </c>
      <c r="D103" s="75">
        <f t="shared" si="9"/>
        <v>13000</v>
      </c>
      <c r="F103" s="77">
        <v>10</v>
      </c>
      <c r="G103" s="20">
        <v>3</v>
      </c>
      <c r="H103" s="75">
        <f t="shared" si="6"/>
        <v>10.746078283213174</v>
      </c>
      <c r="J103" s="77">
        <v>1</v>
      </c>
      <c r="K103" s="20">
        <f t="shared" si="8"/>
        <v>99</v>
      </c>
      <c r="L103" s="78">
        <f t="shared" si="7"/>
        <v>3.2781211513934592</v>
      </c>
    </row>
    <row r="104" spans="2:12" x14ac:dyDescent="0.25">
      <c r="B104" s="77">
        <f t="shared" si="5"/>
        <v>10000</v>
      </c>
      <c r="D104" s="75">
        <f t="shared" si="9"/>
        <v>15000</v>
      </c>
      <c r="F104" s="77">
        <v>10</v>
      </c>
      <c r="G104" s="20">
        <v>4</v>
      </c>
      <c r="H104" s="75">
        <f t="shared" si="6"/>
        <v>11.006941712522096</v>
      </c>
      <c r="J104" s="77">
        <v>1</v>
      </c>
      <c r="K104" s="20">
        <f t="shared" si="8"/>
        <v>100</v>
      </c>
      <c r="L104" s="78">
        <f t="shared" si="7"/>
        <v>3.3176711278428579</v>
      </c>
    </row>
    <row r="105" spans="2:12" x14ac:dyDescent="0.25">
      <c r="B105" s="77">
        <f t="shared" si="5"/>
        <v>10000</v>
      </c>
      <c r="D105" s="75">
        <f t="shared" si="9"/>
        <v>16000</v>
      </c>
      <c r="F105" s="77">
        <v>10</v>
      </c>
      <c r="G105" s="20">
        <v>5</v>
      </c>
      <c r="H105" s="75">
        <f t="shared" si="6"/>
        <v>11.274137659327852</v>
      </c>
      <c r="J105" s="77">
        <v>1</v>
      </c>
      <c r="K105" s="20">
        <f t="shared" si="8"/>
        <v>101</v>
      </c>
      <c r="L105" s="78">
        <f t="shared" si="7"/>
        <v>3.3576982680592149</v>
      </c>
    </row>
    <row r="106" spans="2:12" x14ac:dyDescent="0.25">
      <c r="B106" s="77">
        <f t="shared" si="5"/>
        <v>10000</v>
      </c>
      <c r="D106" s="75">
        <f t="shared" si="9"/>
        <v>18000</v>
      </c>
      <c r="F106" s="77">
        <v>10</v>
      </c>
      <c r="G106" s="20">
        <v>6</v>
      </c>
      <c r="H106" s="75">
        <f t="shared" si="6"/>
        <v>11.547819846894583</v>
      </c>
      <c r="J106" s="77">
        <v>1</v>
      </c>
      <c r="K106" s="20">
        <f t="shared" si="8"/>
        <v>102</v>
      </c>
      <c r="L106" s="78">
        <f t="shared" si="7"/>
        <v>3.3982083289425593</v>
      </c>
    </row>
    <row r="107" spans="2:12" x14ac:dyDescent="0.25">
      <c r="B107" s="77">
        <f t="shared" si="5"/>
        <v>10000</v>
      </c>
      <c r="D107" s="75">
        <f t="shared" si="9"/>
        <v>20000</v>
      </c>
      <c r="F107" s="77">
        <v>10</v>
      </c>
      <c r="G107" s="20">
        <v>7</v>
      </c>
      <c r="H107" s="75">
        <f t="shared" si="6"/>
        <v>11.828145730152693</v>
      </c>
      <c r="J107" s="77">
        <v>1</v>
      </c>
      <c r="K107" s="20">
        <f t="shared" si="8"/>
        <v>103</v>
      </c>
      <c r="L107" s="78">
        <f t="shared" si="7"/>
        <v>3.4392071368489416</v>
      </c>
    </row>
    <row r="108" spans="2:12" x14ac:dyDescent="0.25">
      <c r="B108" s="77">
        <f t="shared" si="5"/>
        <v>10000</v>
      </c>
      <c r="D108" s="75">
        <f t="shared" si="9"/>
        <v>22000</v>
      </c>
      <c r="F108" s="77">
        <v>10</v>
      </c>
      <c r="G108" s="20">
        <v>8</v>
      </c>
      <c r="H108" s="75">
        <f t="shared" si="6"/>
        <v>12.115276586285885</v>
      </c>
      <c r="J108" s="77">
        <v>1</v>
      </c>
      <c r="K108" s="20">
        <f t="shared" si="8"/>
        <v>104</v>
      </c>
      <c r="L108" s="78">
        <f t="shared" si="7"/>
        <v>3.4807005884284106</v>
      </c>
    </row>
    <row r="109" spans="2:12" x14ac:dyDescent="0.25">
      <c r="B109" s="77">
        <f t="shared" si="5"/>
        <v>10000</v>
      </c>
      <c r="D109" s="75">
        <f t="shared" si="9"/>
        <v>24000</v>
      </c>
      <c r="F109" s="77">
        <v>10</v>
      </c>
      <c r="G109" s="20">
        <v>9</v>
      </c>
      <c r="H109" s="75">
        <f t="shared" si="6"/>
        <v>12.409377607517197</v>
      </c>
      <c r="J109" s="77">
        <v>1</v>
      </c>
      <c r="K109" s="20">
        <f t="shared" si="8"/>
        <v>105</v>
      </c>
      <c r="L109" s="78">
        <f t="shared" si="7"/>
        <v>3.5226946514731017</v>
      </c>
    </row>
    <row r="110" spans="2:12" x14ac:dyDescent="0.25">
      <c r="B110" s="77">
        <f t="shared" si="5"/>
        <v>10000</v>
      </c>
      <c r="D110" s="75">
        <f t="shared" si="9"/>
        <v>27000</v>
      </c>
      <c r="F110" s="77">
        <v>10</v>
      </c>
      <c r="G110" s="20">
        <v>10</v>
      </c>
      <c r="H110" s="75">
        <f t="shared" si="6"/>
        <v>12.710617996147448</v>
      </c>
      <c r="J110" s="77">
        <v>1</v>
      </c>
      <c r="K110" s="20">
        <f t="shared" si="8"/>
        <v>106</v>
      </c>
      <c r="L110" s="78">
        <f t="shared" si="7"/>
        <v>3.5651953657755495</v>
      </c>
    </row>
    <row r="111" spans="2:12" x14ac:dyDescent="0.25">
      <c r="B111" s="77">
        <f t="shared" si="5"/>
        <v>10000</v>
      </c>
      <c r="D111" s="75">
        <f t="shared" si="9"/>
        <v>30000</v>
      </c>
      <c r="F111" s="77">
        <v>10</v>
      </c>
      <c r="G111" s="20">
        <v>11</v>
      </c>
      <c r="H111" s="75">
        <f t="shared" si="6"/>
        <v>13.019171061900778</v>
      </c>
      <c r="J111" s="77">
        <v>1</v>
      </c>
      <c r="K111" s="20">
        <f t="shared" si="8"/>
        <v>107</v>
      </c>
      <c r="L111" s="78">
        <f t="shared" si="7"/>
        <v>3.6082088439973621</v>
      </c>
    </row>
    <row r="112" spans="2:12" x14ac:dyDescent="0.25">
      <c r="B112" s="77">
        <f t="shared" si="5"/>
        <v>10000</v>
      </c>
      <c r="D112" s="75">
        <f t="shared" si="9"/>
        <v>33000</v>
      </c>
      <c r="F112" s="77">
        <v>10</v>
      </c>
      <c r="G112" s="20">
        <v>12</v>
      </c>
      <c r="H112" s="75">
        <f t="shared" si="6"/>
        <v>13.33521432163324</v>
      </c>
      <c r="J112" s="77">
        <v>1</v>
      </c>
      <c r="K112" s="20">
        <f t="shared" si="8"/>
        <v>108</v>
      </c>
      <c r="L112" s="78">
        <f t="shared" si="7"/>
        <v>3.6517412725483775</v>
      </c>
    </row>
    <row r="113" spans="2:12" x14ac:dyDescent="0.25">
      <c r="B113" s="77">
        <f t="shared" si="5"/>
        <v>10000</v>
      </c>
      <c r="D113" s="75">
        <f t="shared" si="9"/>
        <v>36000</v>
      </c>
      <c r="F113" s="77">
        <v>10</v>
      </c>
      <c r="G113" s="20">
        <v>13</v>
      </c>
      <c r="H113" s="75">
        <f t="shared" si="6"/>
        <v>13.658929601461868</v>
      </c>
      <c r="J113" s="77">
        <v>1</v>
      </c>
      <c r="K113" s="20">
        <f t="shared" si="8"/>
        <v>109</v>
      </c>
      <c r="L113" s="78">
        <f t="shared" si="7"/>
        <v>3.6957989124764179</v>
      </c>
    </row>
    <row r="114" spans="2:12" x14ac:dyDescent="0.25">
      <c r="B114" s="77">
        <f t="shared" si="5"/>
        <v>10000</v>
      </c>
      <c r="D114" s="75">
        <f t="shared" si="9"/>
        <v>39000</v>
      </c>
      <c r="F114" s="77">
        <v>10</v>
      </c>
      <c r="G114" s="20">
        <v>14</v>
      </c>
      <c r="H114" s="75">
        <f t="shared" si="6"/>
        <v>13.990503141372939</v>
      </c>
      <c r="J114" s="77">
        <v>1</v>
      </c>
      <c r="K114" s="20">
        <f t="shared" si="8"/>
        <v>110</v>
      </c>
      <c r="L114" s="78">
        <f t="shared" si="7"/>
        <v>3.7403881003677859</v>
      </c>
    </row>
    <row r="115" spans="2:12" x14ac:dyDescent="0.25">
      <c r="B115" s="77">
        <f t="shared" si="5"/>
        <v>10000</v>
      </c>
      <c r="D115" s="75">
        <f t="shared" si="9"/>
        <v>43000</v>
      </c>
      <c r="F115" s="77">
        <v>10</v>
      </c>
      <c r="G115" s="20">
        <v>15</v>
      </c>
      <c r="H115" s="75">
        <f t="shared" si="6"/>
        <v>14.33012570236963</v>
      </c>
      <c r="J115" s="77">
        <v>1</v>
      </c>
      <c r="K115" s="20">
        <f t="shared" si="8"/>
        <v>111</v>
      </c>
      <c r="L115" s="78">
        <f t="shared" si="7"/>
        <v>3.7855152492586299</v>
      </c>
    </row>
    <row r="116" spans="2:12" x14ac:dyDescent="0.25">
      <c r="B116" s="77">
        <f t="shared" si="5"/>
        <v>10000</v>
      </c>
      <c r="D116" s="75">
        <f t="shared" si="9"/>
        <v>47000</v>
      </c>
      <c r="F116" s="77">
        <v>10</v>
      </c>
      <c r="G116" s="20">
        <v>16</v>
      </c>
      <c r="H116" s="75">
        <f t="shared" si="6"/>
        <v>14.677992676220697</v>
      </c>
      <c r="J116" s="77">
        <v>1</v>
      </c>
      <c r="K116" s="20">
        <f t="shared" si="8"/>
        <v>112</v>
      </c>
      <c r="L116" s="78">
        <f t="shared" si="7"/>
        <v>3.8311868495572883</v>
      </c>
    </row>
    <row r="117" spans="2:12" x14ac:dyDescent="0.25">
      <c r="B117" s="77">
        <f t="shared" si="5"/>
        <v>10000</v>
      </c>
      <c r="D117" s="75">
        <f t="shared" si="9"/>
        <v>51000</v>
      </c>
      <c r="F117" s="77">
        <v>10</v>
      </c>
      <c r="G117" s="20">
        <v>17</v>
      </c>
      <c r="H117" s="75">
        <f t="shared" si="6"/>
        <v>15.034304197873343</v>
      </c>
      <c r="J117" s="77">
        <v>1</v>
      </c>
      <c r="K117" s="20">
        <f t="shared" si="8"/>
        <v>113</v>
      </c>
      <c r="L117" s="78">
        <f t="shared" si="7"/>
        <v>3.8774094699777768</v>
      </c>
    </row>
    <row r="118" spans="2:12" x14ac:dyDescent="0.25">
      <c r="B118" s="77">
        <f t="shared" ref="B118:B172" si="10">B94*10</f>
        <v>10000</v>
      </c>
      <c r="D118" s="75">
        <f t="shared" si="9"/>
        <v>56000</v>
      </c>
      <c r="F118" s="77">
        <v>10</v>
      </c>
      <c r="G118" s="20">
        <v>18</v>
      </c>
      <c r="H118" s="75">
        <f t="shared" si="6"/>
        <v>15.399265260594921</v>
      </c>
      <c r="J118" s="77">
        <v>1</v>
      </c>
      <c r="K118" s="20">
        <f t="shared" si="8"/>
        <v>114</v>
      </c>
      <c r="L118" s="78">
        <f t="shared" si="7"/>
        <v>3.9241897584845362</v>
      </c>
    </row>
    <row r="119" spans="2:12" x14ac:dyDescent="0.25">
      <c r="B119" s="77">
        <f t="shared" si="10"/>
        <v>10000</v>
      </c>
      <c r="D119" s="75">
        <f t="shared" si="9"/>
        <v>62000</v>
      </c>
      <c r="F119" s="77">
        <v>10</v>
      </c>
      <c r="G119" s="20">
        <v>19</v>
      </c>
      <c r="H119" s="75">
        <f t="shared" si="6"/>
        <v>15.773085833909725</v>
      </c>
      <c r="J119" s="77">
        <v>1</v>
      </c>
      <c r="K119" s="20">
        <f t="shared" si="8"/>
        <v>115</v>
      </c>
      <c r="L119" s="78">
        <f t="shared" si="7"/>
        <v>3.9715344432485704</v>
      </c>
    </row>
    <row r="120" spans="2:12" x14ac:dyDescent="0.25">
      <c r="B120" s="77">
        <f t="shared" si="10"/>
        <v>10000</v>
      </c>
      <c r="D120" s="75">
        <f t="shared" si="9"/>
        <v>68000</v>
      </c>
      <c r="F120" s="77">
        <v>10</v>
      </c>
      <c r="G120" s="20">
        <v>20</v>
      </c>
      <c r="H120" s="75">
        <f t="shared" si="6"/>
        <v>16.155980984398742</v>
      </c>
      <c r="J120" s="77">
        <v>1</v>
      </c>
      <c r="K120" s="20">
        <f t="shared" si="8"/>
        <v>116</v>
      </c>
      <c r="L120" s="78">
        <f t="shared" si="7"/>
        <v>4.0194503336151257</v>
      </c>
    </row>
    <row r="121" spans="2:12" x14ac:dyDescent="0.25">
      <c r="B121" s="77">
        <f t="shared" si="10"/>
        <v>10000</v>
      </c>
      <c r="D121" s="75">
        <f t="shared" si="9"/>
        <v>75000</v>
      </c>
      <c r="F121" s="77">
        <v>10</v>
      </c>
      <c r="G121" s="20">
        <v>21</v>
      </c>
      <c r="H121" s="75">
        <f t="shared" si="6"/>
        <v>16.548170999431814</v>
      </c>
      <c r="J121" s="77">
        <v>1</v>
      </c>
      <c r="K121" s="20">
        <f t="shared" si="8"/>
        <v>117</v>
      </c>
      <c r="L121" s="78">
        <f t="shared" si="7"/>
        <v>4.0679443210830479</v>
      </c>
    </row>
    <row r="122" spans="2:12" x14ac:dyDescent="0.25">
      <c r="B122" s="77">
        <f t="shared" si="10"/>
        <v>10000</v>
      </c>
      <c r="D122" s="75">
        <f t="shared" si="9"/>
        <v>82000</v>
      </c>
      <c r="F122" s="77">
        <v>10</v>
      </c>
      <c r="G122" s="20">
        <v>22</v>
      </c>
      <c r="H122" s="75">
        <f t="shared" si="6"/>
        <v>16.949881513903467</v>
      </c>
      <c r="J122" s="77">
        <v>1</v>
      </c>
      <c r="K122" s="20">
        <f t="shared" si="8"/>
        <v>118</v>
      </c>
      <c r="L122" s="78">
        <f t="shared" si="7"/>
        <v>4.1170233802959482</v>
      </c>
    </row>
    <row r="123" spans="2:12" x14ac:dyDescent="0.25">
      <c r="B123" s="77">
        <f t="shared" si="10"/>
        <v>10000</v>
      </c>
      <c r="D123" s="75">
        <f t="shared" si="9"/>
        <v>91000</v>
      </c>
      <c r="F123" s="77">
        <v>10</v>
      </c>
      <c r="G123" s="20">
        <v>23</v>
      </c>
      <c r="H123" s="75">
        <f t="shared" si="6"/>
        <v>17.361343640045234</v>
      </c>
      <c r="J123" s="77">
        <v>1</v>
      </c>
      <c r="K123" s="20">
        <f t="shared" si="8"/>
        <v>119</v>
      </c>
      <c r="L123" s="78">
        <f t="shared" si="7"/>
        <v>4.1666945700453297</v>
      </c>
    </row>
    <row r="124" spans="2:12" x14ac:dyDescent="0.25">
      <c r="B124" s="77">
        <f t="shared" si="10"/>
        <v>10000</v>
      </c>
      <c r="D124" s="75">
        <f t="shared" si="9"/>
        <v>100000</v>
      </c>
      <c r="F124" s="77">
        <v>10</v>
      </c>
      <c r="G124" s="20">
        <v>24</v>
      </c>
      <c r="H124" s="75">
        <f t="shared" si="6"/>
        <v>17.782794100389228</v>
      </c>
      <c r="J124" s="77">
        <v>1</v>
      </c>
      <c r="K124" s="20">
        <f t="shared" si="8"/>
        <v>120</v>
      </c>
      <c r="L124" s="78">
        <f t="shared" si="7"/>
        <v>4.2169650342858231</v>
      </c>
    </row>
    <row r="125" spans="2:12" x14ac:dyDescent="0.25">
      <c r="B125" s="77">
        <f t="shared" si="10"/>
        <v>100000</v>
      </c>
      <c r="D125" s="75">
        <f t="shared" si="9"/>
        <v>110000</v>
      </c>
      <c r="F125" s="77">
        <v>10</v>
      </c>
      <c r="G125" s="20">
        <v>25</v>
      </c>
      <c r="H125" s="75">
        <f t="shared" si="6"/>
        <v>18.214475363959451</v>
      </c>
      <c r="J125" s="77">
        <v>1</v>
      </c>
      <c r="K125" s="20">
        <f t="shared" si="8"/>
        <v>121</v>
      </c>
      <c r="L125" s="78">
        <f t="shared" si="7"/>
        <v>4.2678420031626585</v>
      </c>
    </row>
    <row r="126" spans="2:12" x14ac:dyDescent="0.25">
      <c r="B126" s="77">
        <f t="shared" si="10"/>
        <v>100000</v>
      </c>
      <c r="D126" s="75">
        <f t="shared" si="9"/>
        <v>120000</v>
      </c>
      <c r="F126" s="77">
        <v>10</v>
      </c>
      <c r="G126" s="20">
        <v>26</v>
      </c>
      <c r="H126" s="75">
        <f t="shared" si="6"/>
        <v>18.656635785769122</v>
      </c>
      <c r="J126" s="77">
        <v>1</v>
      </c>
      <c r="K126" s="20">
        <f t="shared" si="8"/>
        <v>122</v>
      </c>
      <c r="L126" s="78">
        <f t="shared" si="7"/>
        <v>4.3193327940515447</v>
      </c>
    </row>
    <row r="127" spans="2:12" x14ac:dyDescent="0.25">
      <c r="B127" s="77">
        <f t="shared" si="10"/>
        <v>100000</v>
      </c>
      <c r="D127" s="75">
        <f t="shared" si="9"/>
        <v>130000</v>
      </c>
      <c r="F127" s="77">
        <v>10</v>
      </c>
      <c r="G127" s="20">
        <v>27</v>
      </c>
      <c r="H127" s="75">
        <f t="shared" si="6"/>
        <v>19.109529749704407</v>
      </c>
      <c r="J127" s="77">
        <v>1</v>
      </c>
      <c r="K127" s="20">
        <f t="shared" si="8"/>
        <v>123</v>
      </c>
      <c r="L127" s="78">
        <f t="shared" si="7"/>
        <v>4.3714448126110899</v>
      </c>
    </row>
    <row r="128" spans="2:12" x14ac:dyDescent="0.25">
      <c r="B128" s="77">
        <f t="shared" si="10"/>
        <v>100000</v>
      </c>
      <c r="D128" s="75">
        <f t="shared" si="9"/>
        <v>150000</v>
      </c>
      <c r="F128" s="77">
        <v>10</v>
      </c>
      <c r="G128" s="20">
        <v>28</v>
      </c>
      <c r="H128" s="75">
        <f t="shared" si="6"/>
        <v>19.573417814876603</v>
      </c>
      <c r="J128" s="77">
        <v>1</v>
      </c>
      <c r="K128" s="20">
        <f t="shared" si="8"/>
        <v>124</v>
      </c>
      <c r="L128" s="78">
        <f t="shared" si="7"/>
        <v>4.4241855538479182</v>
      </c>
    </row>
    <row r="129" spans="2:12" x14ac:dyDescent="0.25">
      <c r="B129" s="77">
        <f t="shared" si="10"/>
        <v>100000</v>
      </c>
      <c r="D129" s="75">
        <f t="shared" si="9"/>
        <v>160000</v>
      </c>
      <c r="F129" s="77">
        <v>10</v>
      </c>
      <c r="G129" s="20">
        <v>29</v>
      </c>
      <c r="H129" s="75">
        <f t="shared" si="6"/>
        <v>20.048566865527135</v>
      </c>
      <c r="J129" s="77">
        <v>1</v>
      </c>
      <c r="K129" s="20">
        <f t="shared" si="8"/>
        <v>125</v>
      </c>
      <c r="L129" s="78">
        <f t="shared" si="7"/>
        <v>4.4775626031946372</v>
      </c>
    </row>
    <row r="130" spans="2:12" x14ac:dyDescent="0.25">
      <c r="B130" s="77">
        <f t="shared" si="10"/>
        <v>100000</v>
      </c>
      <c r="D130" s="75">
        <f t="shared" si="9"/>
        <v>180000</v>
      </c>
      <c r="F130" s="77">
        <v>10</v>
      </c>
      <c r="G130" s="20">
        <v>30</v>
      </c>
      <c r="H130" s="75">
        <f t="shared" si="6"/>
        <v>20.535250264571463</v>
      </c>
      <c r="J130" s="77">
        <v>1</v>
      </c>
      <c r="K130" s="20">
        <f t="shared" si="8"/>
        <v>126</v>
      </c>
      <c r="L130" s="78">
        <f t="shared" si="7"/>
        <v>4.5315836376008187</v>
      </c>
    </row>
    <row r="131" spans="2:12" x14ac:dyDescent="0.25">
      <c r="B131" s="77">
        <f t="shared" si="10"/>
        <v>100000</v>
      </c>
      <c r="D131" s="75">
        <f t="shared" si="9"/>
        <v>200000</v>
      </c>
      <c r="F131" s="77">
        <v>10</v>
      </c>
      <c r="G131" s="20">
        <v>31</v>
      </c>
      <c r="H131" s="75">
        <f t="shared" si="6"/>
        <v>21.033748010870337</v>
      </c>
      <c r="J131" s="77">
        <v>1</v>
      </c>
      <c r="K131" s="20">
        <f t="shared" si="8"/>
        <v>127</v>
      </c>
      <c r="L131" s="78">
        <f t="shared" si="7"/>
        <v>4.5862564266371262</v>
      </c>
    </row>
    <row r="132" spans="2:12" x14ac:dyDescent="0.25">
      <c r="B132" s="77">
        <f t="shared" si="10"/>
        <v>100000</v>
      </c>
      <c r="D132" s="75">
        <f t="shared" si="9"/>
        <v>220000</v>
      </c>
      <c r="F132" s="77">
        <v>10</v>
      </c>
      <c r="G132" s="20">
        <v>32</v>
      </c>
      <c r="H132" s="75">
        <f t="shared" ref="H132:H195" si="11">F132*10^(G132/96)</f>
        <v>21.544346900318839</v>
      </c>
      <c r="J132" s="77">
        <v>1</v>
      </c>
      <c r="K132" s="20">
        <f t="shared" si="8"/>
        <v>128</v>
      </c>
      <c r="L132" s="78">
        <f t="shared" si="7"/>
        <v>4.6415888336127793</v>
      </c>
    </row>
    <row r="133" spans="2:12" x14ac:dyDescent="0.25">
      <c r="B133" s="77">
        <f t="shared" si="10"/>
        <v>100000</v>
      </c>
      <c r="D133" s="75">
        <f t="shared" si="9"/>
        <v>240000</v>
      </c>
      <c r="F133" s="77">
        <v>10</v>
      </c>
      <c r="G133" s="20">
        <v>33</v>
      </c>
      <c r="H133" s="75">
        <f t="shared" si="11"/>
        <v>22.067340690845899</v>
      </c>
      <c r="J133" s="77">
        <v>1</v>
      </c>
      <c r="K133" s="20">
        <f t="shared" si="8"/>
        <v>129</v>
      </c>
      <c r="L133" s="78">
        <f t="shared" ref="L133:L196" si="12">J133*10^(K133/192)</f>
        <v>4.6975888167064932</v>
      </c>
    </row>
    <row r="134" spans="2:12" x14ac:dyDescent="0.25">
      <c r="B134" s="77">
        <f t="shared" si="10"/>
        <v>100000</v>
      </c>
      <c r="D134" s="75">
        <f t="shared" si="9"/>
        <v>270000</v>
      </c>
      <c r="F134" s="77">
        <v>10</v>
      </c>
      <c r="G134" s="20">
        <v>34</v>
      </c>
      <c r="H134" s="75">
        <f t="shared" si="11"/>
        <v>22.6030302714192</v>
      </c>
      <c r="J134" s="77">
        <v>1</v>
      </c>
      <c r="K134" s="20">
        <f t="shared" ref="K134:K179" si="13">K133+1</f>
        <v>130</v>
      </c>
      <c r="L134" s="78">
        <f t="shared" si="12"/>
        <v>4.754264430111057</v>
      </c>
    </row>
    <row r="135" spans="2:12" x14ac:dyDescent="0.25">
      <c r="B135" s="77">
        <f t="shared" si="10"/>
        <v>100000</v>
      </c>
      <c r="D135" s="75">
        <f t="shared" si="9"/>
        <v>300000</v>
      </c>
      <c r="F135" s="77">
        <v>10</v>
      </c>
      <c r="G135" s="20">
        <v>35</v>
      </c>
      <c r="H135" s="75">
        <f t="shared" si="11"/>
        <v>23.151723835152733</v>
      </c>
      <c r="J135" s="77">
        <v>1</v>
      </c>
      <c r="K135" s="20">
        <f t="shared" si="13"/>
        <v>131</v>
      </c>
      <c r="L135" s="78">
        <f t="shared" si="12"/>
        <v>4.8116238251917336</v>
      </c>
    </row>
    <row r="136" spans="2:12" x14ac:dyDescent="0.25">
      <c r="B136" s="77">
        <f t="shared" si="10"/>
        <v>100000</v>
      </c>
      <c r="D136" s="75">
        <f t="shared" si="9"/>
        <v>330000</v>
      </c>
      <c r="F136" s="77">
        <v>10</v>
      </c>
      <c r="G136" s="20">
        <v>36</v>
      </c>
      <c r="H136" s="75">
        <f t="shared" si="11"/>
        <v>23.713737056616555</v>
      </c>
      <c r="J136" s="77">
        <v>1</v>
      </c>
      <c r="K136" s="20">
        <f t="shared" si="13"/>
        <v>132</v>
      </c>
      <c r="L136" s="78">
        <f t="shared" si="12"/>
        <v>4.8696752516586317</v>
      </c>
    </row>
    <row r="137" spans="2:12" x14ac:dyDescent="0.25">
      <c r="B137" s="77">
        <f t="shared" si="10"/>
        <v>100000</v>
      </c>
      <c r="D137" s="75">
        <f t="shared" si="9"/>
        <v>360000</v>
      </c>
      <c r="F137" s="77">
        <v>10</v>
      </c>
      <c r="G137" s="20">
        <v>37</v>
      </c>
      <c r="H137" s="75">
        <f t="shared" si="11"/>
        <v>24.289393273450791</v>
      </c>
      <c r="J137" s="77">
        <v>1</v>
      </c>
      <c r="K137" s="20">
        <f t="shared" si="13"/>
        <v>133</v>
      </c>
      <c r="L137" s="78">
        <f t="shared" si="12"/>
        <v>4.9284270587532077</v>
      </c>
    </row>
    <row r="138" spans="2:12" x14ac:dyDescent="0.25">
      <c r="B138" s="77">
        <f t="shared" si="10"/>
        <v>100000</v>
      </c>
      <c r="D138" s="75">
        <f t="shared" si="9"/>
        <v>390000</v>
      </c>
      <c r="F138" s="77">
        <v>10</v>
      </c>
      <c r="G138" s="20">
        <v>38</v>
      </c>
      <c r="H138" s="75">
        <f t="shared" si="11"/>
        <v>24.879023672388364</v>
      </c>
      <c r="J138" s="77">
        <v>1</v>
      </c>
      <c r="K138" s="20">
        <f t="shared" si="13"/>
        <v>134</v>
      </c>
      <c r="L138" s="78">
        <f t="shared" si="12"/>
        <v>4.9878876964491061</v>
      </c>
    </row>
    <row r="139" spans="2:12" x14ac:dyDescent="0.25">
      <c r="B139" s="77">
        <f t="shared" si="10"/>
        <v>100000</v>
      </c>
      <c r="D139" s="75">
        <f t="shared" si="9"/>
        <v>430000</v>
      </c>
      <c r="F139" s="77">
        <v>10</v>
      </c>
      <c r="G139" s="20">
        <v>39</v>
      </c>
      <c r="H139" s="75">
        <f t="shared" si="11"/>
        <v>25.482967479793469</v>
      </c>
      <c r="J139" s="77">
        <v>1</v>
      </c>
      <c r="K139" s="20">
        <f t="shared" si="13"/>
        <v>135</v>
      </c>
      <c r="L139" s="78">
        <f t="shared" si="12"/>
        <v>5.0480657166674714</v>
      </c>
    </row>
    <row r="140" spans="2:12" x14ac:dyDescent="0.25">
      <c r="B140" s="77">
        <f t="shared" si="10"/>
        <v>100000</v>
      </c>
      <c r="D140" s="75">
        <f t="shared" si="9"/>
        <v>470000</v>
      </c>
      <c r="F140" s="77">
        <v>10</v>
      </c>
      <c r="G140" s="20">
        <v>40</v>
      </c>
      <c r="H140" s="75">
        <f t="shared" si="11"/>
        <v>26.101572156825373</v>
      </c>
      <c r="J140" s="77">
        <v>1</v>
      </c>
      <c r="K140" s="20">
        <f t="shared" si="13"/>
        <v>136</v>
      </c>
      <c r="L140" s="78">
        <f t="shared" si="12"/>
        <v>5.1089697745069289</v>
      </c>
    </row>
    <row r="141" spans="2:12" x14ac:dyDescent="0.25">
      <c r="B141" s="77">
        <f t="shared" si="10"/>
        <v>100000</v>
      </c>
      <c r="D141" s="75">
        <f t="shared" si="9"/>
        <v>510000</v>
      </c>
      <c r="F141" s="77">
        <v>10</v>
      </c>
      <c r="G141" s="20">
        <v>41</v>
      </c>
      <c r="H141" s="75">
        <f t="shared" si="11"/>
        <v>26.735193599339908</v>
      </c>
      <c r="J141" s="77">
        <v>1</v>
      </c>
      <c r="K141" s="20">
        <f t="shared" si="13"/>
        <v>137</v>
      </c>
      <c r="L141" s="78">
        <f t="shared" si="12"/>
        <v>5.1706086294884006</v>
      </c>
    </row>
    <row r="142" spans="2:12" x14ac:dyDescent="0.25">
      <c r="B142" s="77">
        <f t="shared" si="10"/>
        <v>100000</v>
      </c>
      <c r="D142" s="75">
        <f t="shared" si="9"/>
        <v>560000</v>
      </c>
      <c r="F142" s="77">
        <v>10</v>
      </c>
      <c r="G142" s="20">
        <v>42</v>
      </c>
      <c r="H142" s="75">
        <f t="shared" si="11"/>
        <v>27.384196342643612</v>
      </c>
      <c r="J142" s="77">
        <v>1</v>
      </c>
      <c r="K142" s="20">
        <f t="shared" si="13"/>
        <v>138</v>
      </c>
      <c r="L142" s="78">
        <f t="shared" si="12"/>
        <v>5.2329911468149479</v>
      </c>
    </row>
    <row r="143" spans="2:12" x14ac:dyDescent="0.25">
      <c r="B143" s="77">
        <f t="shared" si="10"/>
        <v>100000</v>
      </c>
      <c r="D143" s="75">
        <f t="shared" si="9"/>
        <v>620000</v>
      </c>
      <c r="F143" s="77">
        <v>10</v>
      </c>
      <c r="G143" s="20">
        <v>43</v>
      </c>
      <c r="H143" s="75">
        <f t="shared" si="11"/>
        <v>28.048953771218279</v>
      </c>
      <c r="J143" s="77">
        <v>1</v>
      </c>
      <c r="K143" s="20">
        <f t="shared" si="13"/>
        <v>139</v>
      </c>
      <c r="L143" s="78">
        <f t="shared" si="12"/>
        <v>5.2961262986468043</v>
      </c>
    </row>
    <row r="144" spans="2:12" x14ac:dyDescent="0.25">
      <c r="B144" s="77">
        <f t="shared" si="10"/>
        <v>100000</v>
      </c>
      <c r="D144" s="75">
        <f t="shared" si="9"/>
        <v>680000</v>
      </c>
      <c r="F144" s="77">
        <v>10</v>
      </c>
      <c r="G144" s="20">
        <v>44</v>
      </c>
      <c r="H144" s="75">
        <f t="shared" si="11"/>
        <v>28.729848333536644</v>
      </c>
      <c r="J144" s="77">
        <v>1</v>
      </c>
      <c r="K144" s="20">
        <f t="shared" si="13"/>
        <v>140</v>
      </c>
      <c r="L144" s="78">
        <f t="shared" si="12"/>
        <v>5.3600231653917918</v>
      </c>
    </row>
    <row r="145" spans="2:12" x14ac:dyDescent="0.25">
      <c r="B145" s="77">
        <f t="shared" si="10"/>
        <v>100000</v>
      </c>
      <c r="D145" s="75">
        <f t="shared" si="9"/>
        <v>750000</v>
      </c>
      <c r="F145" s="77">
        <v>10</v>
      </c>
      <c r="G145" s="20">
        <v>45</v>
      </c>
      <c r="H145" s="75">
        <f t="shared" si="11"/>
        <v>29.427271762092822</v>
      </c>
      <c r="J145" s="77">
        <v>1</v>
      </c>
      <c r="K145" s="20">
        <f t="shared" si="13"/>
        <v>141</v>
      </c>
      <c r="L145" s="78">
        <f t="shared" si="12"/>
        <v>5.4246909370113263</v>
      </c>
    </row>
    <row r="146" spans="2:12" x14ac:dyDescent="0.25">
      <c r="B146" s="77">
        <f t="shared" si="10"/>
        <v>100000</v>
      </c>
      <c r="D146" s="75">
        <f t="shared" si="9"/>
        <v>820000</v>
      </c>
      <c r="F146" s="77">
        <v>10</v>
      </c>
      <c r="G146" s="20">
        <v>46</v>
      </c>
      <c r="H146" s="75">
        <f t="shared" si="11"/>
        <v>30.141625298773906</v>
      </c>
      <c r="J146" s="77">
        <v>1</v>
      </c>
      <c r="K146" s="20">
        <f t="shared" si="13"/>
        <v>142</v>
      </c>
      <c r="L146" s="78">
        <f t="shared" si="12"/>
        <v>5.4901389143421415</v>
      </c>
    </row>
    <row r="147" spans="2:12" x14ac:dyDescent="0.25">
      <c r="B147" s="77">
        <f t="shared" si="10"/>
        <v>100000</v>
      </c>
      <c r="D147" s="75">
        <f t="shared" si="9"/>
        <v>910000</v>
      </c>
      <c r="F147" s="77">
        <v>10</v>
      </c>
      <c r="G147" s="20">
        <v>47</v>
      </c>
      <c r="H147" s="75">
        <f t="shared" si="11"/>
        <v>30.873319925702638</v>
      </c>
      <c r="J147" s="77">
        <v>1</v>
      </c>
      <c r="K147" s="20">
        <f t="shared" si="13"/>
        <v>143</v>
      </c>
      <c r="L147" s="78">
        <f t="shared" si="12"/>
        <v>5.5563765104339931</v>
      </c>
    </row>
    <row r="148" spans="2:12" x14ac:dyDescent="0.25">
      <c r="B148" s="77">
        <f t="shared" si="10"/>
        <v>100000</v>
      </c>
      <c r="D148" s="75">
        <f t="shared" si="9"/>
        <v>1000000</v>
      </c>
      <c r="F148" s="77">
        <v>10</v>
      </c>
      <c r="G148" s="20">
        <v>48</v>
      </c>
      <c r="H148" s="75">
        <f t="shared" si="11"/>
        <v>31.622776601683796</v>
      </c>
      <c r="J148" s="77">
        <v>1</v>
      </c>
      <c r="K148" s="20">
        <f t="shared" si="13"/>
        <v>144</v>
      </c>
      <c r="L148" s="78">
        <f t="shared" si="12"/>
        <v>5.6234132519034921</v>
      </c>
    </row>
    <row r="149" spans="2:12" x14ac:dyDescent="0.25">
      <c r="B149" s="77">
        <f t="shared" si="10"/>
        <v>1000000</v>
      </c>
      <c r="D149" s="75">
        <f t="shared" si="9"/>
        <v>1100000</v>
      </c>
      <c r="F149" s="77">
        <v>10</v>
      </c>
      <c r="G149" s="20">
        <v>49</v>
      </c>
      <c r="H149" s="75">
        <f t="shared" si="11"/>
        <v>32.390426504390305</v>
      </c>
      <c r="J149" s="77">
        <v>1</v>
      </c>
      <c r="K149" s="20">
        <f t="shared" si="13"/>
        <v>145</v>
      </c>
      <c r="L149" s="78">
        <f t="shared" si="12"/>
        <v>5.6912587803042589</v>
      </c>
    </row>
    <row r="150" spans="2:12" x14ac:dyDescent="0.25">
      <c r="B150" s="77">
        <f t="shared" si="10"/>
        <v>1000000</v>
      </c>
      <c r="D150" s="75">
        <f t="shared" si="9"/>
        <v>1200000</v>
      </c>
      <c r="F150" s="77">
        <v>10</v>
      </c>
      <c r="G150" s="20">
        <v>50</v>
      </c>
      <c r="H150" s="75">
        <f t="shared" si="11"/>
        <v>33.176711278428577</v>
      </c>
      <c r="J150" s="77">
        <v>1</v>
      </c>
      <c r="K150" s="20">
        <f t="shared" si="13"/>
        <v>146</v>
      </c>
      <c r="L150" s="78">
        <f t="shared" si="12"/>
        <v>5.7599228535136282</v>
      </c>
    </row>
    <row r="151" spans="2:12" x14ac:dyDescent="0.25">
      <c r="B151" s="77">
        <f t="shared" si="10"/>
        <v>1000000</v>
      </c>
      <c r="D151" s="75">
        <f t="shared" si="9"/>
        <v>1300000</v>
      </c>
      <c r="F151" s="77">
        <v>10</v>
      </c>
      <c r="G151" s="20">
        <v>51</v>
      </c>
      <c r="H151" s="75">
        <f t="shared" si="11"/>
        <v>33.982083289425596</v>
      </c>
      <c r="J151" s="77">
        <v>1</v>
      </c>
      <c r="K151" s="20">
        <f t="shared" si="13"/>
        <v>147</v>
      </c>
      <c r="L151" s="78">
        <f t="shared" si="12"/>
        <v>5.8294153471360755</v>
      </c>
    </row>
    <row r="152" spans="2:12" x14ac:dyDescent="0.25">
      <c r="B152" s="77">
        <f t="shared" si="10"/>
        <v>1000000</v>
      </c>
      <c r="D152" s="75">
        <f t="shared" si="9"/>
        <v>1500000</v>
      </c>
      <c r="F152" s="77">
        <v>10</v>
      </c>
      <c r="G152" s="20">
        <v>52</v>
      </c>
      <c r="H152" s="75">
        <f t="shared" si="11"/>
        <v>34.807005884284109</v>
      </c>
      <c r="J152" s="77">
        <v>1</v>
      </c>
      <c r="K152" s="20">
        <f t="shared" si="13"/>
        <v>148</v>
      </c>
      <c r="L152" s="78">
        <f t="shared" si="12"/>
        <v>5.8997462559235654</v>
      </c>
    </row>
    <row r="153" spans="2:12" x14ac:dyDescent="0.25">
      <c r="B153" s="77">
        <f t="shared" si="10"/>
        <v>1000000</v>
      </c>
      <c r="D153" s="75">
        <f t="shared" si="9"/>
        <v>1600000</v>
      </c>
      <c r="F153" s="77">
        <v>10</v>
      </c>
      <c r="G153" s="20">
        <v>53</v>
      </c>
      <c r="H153" s="75">
        <f t="shared" si="11"/>
        <v>35.651953657755499</v>
      </c>
      <c r="J153" s="77">
        <v>1</v>
      </c>
      <c r="K153" s="20">
        <f t="shared" si="13"/>
        <v>149</v>
      </c>
      <c r="L153" s="78">
        <f t="shared" si="12"/>
        <v>5.9709256952130536</v>
      </c>
    </row>
    <row r="154" spans="2:12" x14ac:dyDescent="0.25">
      <c r="B154" s="77">
        <f t="shared" si="10"/>
        <v>1000000</v>
      </c>
      <c r="D154" s="75">
        <f t="shared" si="9"/>
        <v>1800000</v>
      </c>
      <c r="F154" s="77">
        <v>10</v>
      </c>
      <c r="G154" s="20">
        <v>54</v>
      </c>
      <c r="H154" s="75">
        <f t="shared" si="11"/>
        <v>36.517412725483773</v>
      </c>
      <c r="J154" s="77">
        <v>1</v>
      </c>
      <c r="K154" s="20">
        <f t="shared" si="13"/>
        <v>150</v>
      </c>
      <c r="L154" s="78">
        <f t="shared" si="12"/>
        <v>6.0429639023813291</v>
      </c>
    </row>
    <row r="155" spans="2:12" x14ac:dyDescent="0.25">
      <c r="B155" s="77">
        <f t="shared" si="10"/>
        <v>1000000</v>
      </c>
      <c r="D155" s="75">
        <f t="shared" si="9"/>
        <v>2000000</v>
      </c>
      <c r="F155" s="77">
        <v>10</v>
      </c>
      <c r="G155" s="20">
        <v>55</v>
      </c>
      <c r="H155" s="75">
        <f t="shared" si="11"/>
        <v>37.40388100367786</v>
      </c>
      <c r="J155" s="77">
        <v>1</v>
      </c>
      <c r="K155" s="20">
        <f t="shared" si="13"/>
        <v>151</v>
      </c>
      <c r="L155" s="78">
        <f t="shared" si="12"/>
        <v>6.1158712383173892</v>
      </c>
    </row>
    <row r="156" spans="2:12" x14ac:dyDescent="0.25">
      <c r="B156" s="77">
        <f t="shared" si="10"/>
        <v>1000000</v>
      </c>
      <c r="D156" s="75">
        <f t="shared" si="9"/>
        <v>2200000</v>
      </c>
      <c r="F156" s="77">
        <v>10</v>
      </c>
      <c r="G156" s="20">
        <v>56</v>
      </c>
      <c r="H156" s="75">
        <f t="shared" si="11"/>
        <v>38.311868495572881</v>
      </c>
      <c r="J156" s="77">
        <v>1</v>
      </c>
      <c r="K156" s="20">
        <f t="shared" si="13"/>
        <v>152</v>
      </c>
      <c r="L156" s="78">
        <f t="shared" si="12"/>
        <v>6.1896581889126061</v>
      </c>
    </row>
    <row r="157" spans="2:12" x14ac:dyDescent="0.25">
      <c r="B157" s="77">
        <f t="shared" si="10"/>
        <v>1000000</v>
      </c>
      <c r="D157" s="75">
        <f t="shared" si="9"/>
        <v>2400000</v>
      </c>
      <c r="F157" s="77">
        <v>10</v>
      </c>
      <c r="G157" s="20">
        <v>57</v>
      </c>
      <c r="H157" s="75">
        <f t="shared" si="11"/>
        <v>39.241897584845361</v>
      </c>
      <c r="J157" s="77">
        <v>1</v>
      </c>
      <c r="K157" s="20">
        <f t="shared" si="13"/>
        <v>153</v>
      </c>
      <c r="L157" s="78">
        <f t="shared" si="12"/>
        <v>6.264335366568857</v>
      </c>
    </row>
    <row r="158" spans="2:12" x14ac:dyDescent="0.25">
      <c r="B158" s="77">
        <f t="shared" si="10"/>
        <v>1000000</v>
      </c>
      <c r="D158" s="75">
        <f t="shared" ref="D158:D172" si="14">D134*10</f>
        <v>2700000</v>
      </c>
      <c r="F158" s="77">
        <v>10</v>
      </c>
      <c r="G158" s="20">
        <v>58</v>
      </c>
      <c r="H158" s="75">
        <f t="shared" si="11"/>
        <v>40.194503336151257</v>
      </c>
      <c r="J158" s="77">
        <v>1</v>
      </c>
      <c r="K158" s="20">
        <f t="shared" si="13"/>
        <v>154</v>
      </c>
      <c r="L158" s="78">
        <f t="shared" si="12"/>
        <v>6.3399135117248457</v>
      </c>
    </row>
    <row r="159" spans="2:12" x14ac:dyDescent="0.25">
      <c r="B159" s="77">
        <f t="shared" si="10"/>
        <v>1000000</v>
      </c>
      <c r="D159" s="75">
        <f t="shared" si="14"/>
        <v>3000000</v>
      </c>
      <c r="F159" s="77">
        <v>10</v>
      </c>
      <c r="G159" s="20">
        <v>59</v>
      </c>
      <c r="H159" s="75">
        <f t="shared" si="11"/>
        <v>41.17023380295948</v>
      </c>
      <c r="J159" s="77">
        <v>1</v>
      </c>
      <c r="K159" s="20">
        <f t="shared" si="13"/>
        <v>155</v>
      </c>
      <c r="L159" s="78">
        <f t="shared" si="12"/>
        <v>6.4164034944008534</v>
      </c>
    </row>
    <row r="160" spans="2:12" x14ac:dyDescent="0.25">
      <c r="B160" s="77">
        <f t="shared" si="10"/>
        <v>1000000</v>
      </c>
      <c r="D160" s="75">
        <f t="shared" si="14"/>
        <v>3300000</v>
      </c>
      <c r="F160" s="77">
        <v>10</v>
      </c>
      <c r="G160" s="20">
        <v>60</v>
      </c>
      <c r="H160" s="75">
        <f t="shared" si="11"/>
        <v>42.169650342858233</v>
      </c>
      <c r="J160" s="77">
        <v>1</v>
      </c>
      <c r="K160" s="20">
        <f t="shared" si="13"/>
        <v>156</v>
      </c>
      <c r="L160" s="78">
        <f t="shared" si="12"/>
        <v>6.4938163157621149</v>
      </c>
    </row>
    <row r="161" spans="2:12" x14ac:dyDescent="0.25">
      <c r="B161" s="77">
        <f t="shared" si="10"/>
        <v>1000000</v>
      </c>
      <c r="D161" s="75">
        <f t="shared" si="14"/>
        <v>3600000</v>
      </c>
      <c r="F161" s="77">
        <v>10</v>
      </c>
      <c r="G161" s="20">
        <v>61</v>
      </c>
      <c r="H161" s="75">
        <f t="shared" si="11"/>
        <v>43.193327940515445</v>
      </c>
      <c r="J161" s="77">
        <v>1</v>
      </c>
      <c r="K161" s="20">
        <f t="shared" si="13"/>
        <v>157</v>
      </c>
      <c r="L161" s="78">
        <f t="shared" si="12"/>
        <v>6.5721631097010578</v>
      </c>
    </row>
    <row r="162" spans="2:12" x14ac:dyDescent="0.25">
      <c r="B162" s="77">
        <f t="shared" si="10"/>
        <v>1000000</v>
      </c>
      <c r="D162" s="75">
        <f t="shared" si="14"/>
        <v>3900000</v>
      </c>
      <c r="F162" s="77">
        <v>10</v>
      </c>
      <c r="G162" s="20">
        <v>62</v>
      </c>
      <c r="H162" s="75">
        <f t="shared" si="11"/>
        <v>44.241855538479186</v>
      </c>
      <c r="J162" s="77">
        <v>1</v>
      </c>
      <c r="K162" s="20">
        <f t="shared" si="13"/>
        <v>158</v>
      </c>
      <c r="L162" s="78">
        <f t="shared" si="12"/>
        <v>6.6514551444386338</v>
      </c>
    </row>
    <row r="163" spans="2:12" x14ac:dyDescent="0.25">
      <c r="B163" s="77">
        <f t="shared" si="10"/>
        <v>1000000</v>
      </c>
      <c r="D163" s="75">
        <f t="shared" si="14"/>
        <v>4300000</v>
      </c>
      <c r="F163" s="77">
        <v>10</v>
      </c>
      <c r="G163" s="20">
        <v>63</v>
      </c>
      <c r="H163" s="75">
        <f t="shared" si="11"/>
        <v>45.315836376008185</v>
      </c>
      <c r="J163" s="77">
        <v>1</v>
      </c>
      <c r="K163" s="20">
        <f t="shared" si="13"/>
        <v>159</v>
      </c>
      <c r="L163" s="78">
        <f t="shared" si="12"/>
        <v>6.7317038241449829</v>
      </c>
    </row>
    <row r="164" spans="2:12" x14ac:dyDescent="0.25">
      <c r="B164" s="77">
        <f t="shared" si="10"/>
        <v>1000000</v>
      </c>
      <c r="D164" s="75">
        <f t="shared" si="14"/>
        <v>4700000</v>
      </c>
      <c r="F164" s="77">
        <v>10</v>
      </c>
      <c r="G164" s="20">
        <v>64</v>
      </c>
      <c r="H164" s="75">
        <f t="shared" si="11"/>
        <v>46.415888336127793</v>
      </c>
      <c r="J164" s="77">
        <v>1</v>
      </c>
      <c r="K164" s="20">
        <f t="shared" si="13"/>
        <v>160</v>
      </c>
      <c r="L164" s="78">
        <f t="shared" si="12"/>
        <v>6.812920690579614</v>
      </c>
    </row>
    <row r="165" spans="2:12" x14ac:dyDescent="0.25">
      <c r="B165" s="77">
        <f t="shared" si="10"/>
        <v>1000000</v>
      </c>
      <c r="D165" s="75">
        <f t="shared" si="14"/>
        <v>5100000</v>
      </c>
      <c r="F165" s="77">
        <v>10</v>
      </c>
      <c r="G165" s="20">
        <v>65</v>
      </c>
      <c r="H165" s="75">
        <f t="shared" si="11"/>
        <v>47.54264430111057</v>
      </c>
      <c r="J165" s="77">
        <v>1</v>
      </c>
      <c r="K165" s="20">
        <f t="shared" si="13"/>
        <v>161</v>
      </c>
      <c r="L165" s="78">
        <f t="shared" si="12"/>
        <v>6.8951174247514135</v>
      </c>
    </row>
    <row r="166" spans="2:12" x14ac:dyDescent="0.25">
      <c r="B166" s="77">
        <f t="shared" si="10"/>
        <v>1000000</v>
      </c>
      <c r="D166" s="75">
        <f t="shared" si="14"/>
        <v>5600000</v>
      </c>
      <c r="F166" s="77">
        <v>10</v>
      </c>
      <c r="G166" s="20">
        <v>66</v>
      </c>
      <c r="H166" s="75">
        <f t="shared" si="11"/>
        <v>48.696752516586315</v>
      </c>
      <c r="J166" s="77">
        <v>1</v>
      </c>
      <c r="K166" s="20">
        <f t="shared" si="13"/>
        <v>162</v>
      </c>
      <c r="L166" s="78">
        <f t="shared" si="12"/>
        <v>6.9783058485986649</v>
      </c>
    </row>
    <row r="167" spans="2:12" x14ac:dyDescent="0.25">
      <c r="B167" s="77">
        <f t="shared" si="10"/>
        <v>1000000</v>
      </c>
      <c r="D167" s="75">
        <f t="shared" si="14"/>
        <v>6200000</v>
      </c>
      <c r="F167" s="77">
        <v>10</v>
      </c>
      <c r="G167" s="20">
        <v>67</v>
      </c>
      <c r="H167" s="75">
        <f t="shared" si="11"/>
        <v>49.878876964491063</v>
      </c>
      <c r="J167" s="77">
        <v>1</v>
      </c>
      <c r="K167" s="20">
        <f t="shared" si="13"/>
        <v>163</v>
      </c>
      <c r="L167" s="78">
        <f t="shared" si="12"/>
        <v>7.0624979266893293</v>
      </c>
    </row>
    <row r="168" spans="2:12" x14ac:dyDescent="0.25">
      <c r="B168" s="77">
        <f t="shared" si="10"/>
        <v>1000000</v>
      </c>
      <c r="D168" s="75">
        <f t="shared" si="14"/>
        <v>6800000</v>
      </c>
      <c r="F168" s="77">
        <v>10</v>
      </c>
      <c r="G168" s="20">
        <v>68</v>
      </c>
      <c r="H168" s="75">
        <f t="shared" si="11"/>
        <v>51.089697745069287</v>
      </c>
      <c r="J168" s="77">
        <v>1</v>
      </c>
      <c r="K168" s="20">
        <f t="shared" si="13"/>
        <v>164</v>
      </c>
      <c r="L168" s="78">
        <f t="shared" si="12"/>
        <v>7.147705767941857</v>
      </c>
    </row>
    <row r="169" spans="2:12" x14ac:dyDescent="0.25">
      <c r="B169" s="77">
        <f t="shared" si="10"/>
        <v>1000000</v>
      </c>
      <c r="D169" s="75">
        <f t="shared" si="14"/>
        <v>7500000</v>
      </c>
      <c r="F169" s="77">
        <v>10</v>
      </c>
      <c r="G169" s="20">
        <v>69</v>
      </c>
      <c r="H169" s="75">
        <f t="shared" si="11"/>
        <v>52.329911468149476</v>
      </c>
      <c r="J169" s="77">
        <v>1</v>
      </c>
      <c r="K169" s="20">
        <f t="shared" si="13"/>
        <v>165</v>
      </c>
      <c r="L169" s="78">
        <f t="shared" si="12"/>
        <v>7.2339416273667494</v>
      </c>
    </row>
    <row r="170" spans="2:12" x14ac:dyDescent="0.25">
      <c r="B170" s="77">
        <f t="shared" si="10"/>
        <v>1000000</v>
      </c>
      <c r="D170" s="75">
        <f t="shared" si="14"/>
        <v>8200000</v>
      </c>
      <c r="F170" s="77">
        <v>10</v>
      </c>
      <c r="G170" s="20">
        <v>70</v>
      </c>
      <c r="H170" s="75">
        <f t="shared" si="11"/>
        <v>53.600231653917916</v>
      </c>
      <c r="J170" s="77">
        <v>1</v>
      </c>
      <c r="K170" s="20">
        <f t="shared" si="13"/>
        <v>166</v>
      </c>
      <c r="L170" s="78">
        <f t="shared" si="12"/>
        <v>7.3212179078291308</v>
      </c>
    </row>
    <row r="171" spans="2:12" x14ac:dyDescent="0.25">
      <c r="B171" s="77">
        <f t="shared" si="10"/>
        <v>1000000</v>
      </c>
      <c r="D171" s="75">
        <f t="shared" si="14"/>
        <v>9100000</v>
      </c>
      <c r="F171" s="77">
        <v>10</v>
      </c>
      <c r="G171" s="20">
        <v>71</v>
      </c>
      <c r="H171" s="75">
        <f t="shared" si="11"/>
        <v>54.901389143421412</v>
      </c>
      <c r="J171" s="77">
        <v>1</v>
      </c>
      <c r="K171" s="20">
        <f t="shared" si="13"/>
        <v>167</v>
      </c>
      <c r="L171" s="78">
        <f t="shared" si="12"/>
        <v>7.4095471618325908</v>
      </c>
    </row>
    <row r="172" spans="2:12" x14ac:dyDescent="0.25">
      <c r="B172" s="77">
        <f t="shared" si="10"/>
        <v>1000000</v>
      </c>
      <c r="D172" s="75">
        <f t="shared" si="14"/>
        <v>10000000</v>
      </c>
      <c r="F172" s="77">
        <v>10</v>
      </c>
      <c r="G172" s="20">
        <v>72</v>
      </c>
      <c r="H172" s="75">
        <f t="shared" si="11"/>
        <v>56.234132519034922</v>
      </c>
      <c r="J172" s="77">
        <v>1</v>
      </c>
      <c r="K172" s="20">
        <f t="shared" si="13"/>
        <v>168</v>
      </c>
      <c r="L172" s="78">
        <f t="shared" si="12"/>
        <v>7.4989420933245592</v>
      </c>
    </row>
    <row r="173" spans="2:12" x14ac:dyDescent="0.25">
      <c r="B173" s="77"/>
      <c r="F173" s="77">
        <v>10</v>
      </c>
      <c r="G173" s="20">
        <v>73</v>
      </c>
      <c r="H173" s="75">
        <f t="shared" si="11"/>
        <v>57.599228535136284</v>
      </c>
      <c r="J173" s="77">
        <v>1</v>
      </c>
      <c r="K173" s="20">
        <f t="shared" si="13"/>
        <v>169</v>
      </c>
      <c r="L173" s="78">
        <f t="shared" si="12"/>
        <v>7.5894155595234274</v>
      </c>
    </row>
    <row r="174" spans="2:12" x14ac:dyDescent="0.25">
      <c r="B174" s="77"/>
      <c r="F174" s="77">
        <v>10</v>
      </c>
      <c r="G174" s="20">
        <v>74</v>
      </c>
      <c r="H174" s="75">
        <f t="shared" si="11"/>
        <v>58.997462559235657</v>
      </c>
      <c r="J174" s="77">
        <v>1</v>
      </c>
      <c r="K174" s="20">
        <f t="shared" si="13"/>
        <v>170</v>
      </c>
      <c r="L174" s="78">
        <f t="shared" si="12"/>
        <v>7.6809805727677549</v>
      </c>
    </row>
    <row r="175" spans="2:12" x14ac:dyDescent="0.25">
      <c r="B175" s="77"/>
      <c r="F175" s="77">
        <v>10</v>
      </c>
      <c r="G175" s="20">
        <v>75</v>
      </c>
      <c r="H175" s="75">
        <f t="shared" si="11"/>
        <v>60.429639023813294</v>
      </c>
      <c r="J175" s="77">
        <v>1</v>
      </c>
      <c r="K175" s="20">
        <f t="shared" si="13"/>
        <v>171</v>
      </c>
      <c r="L175" s="78">
        <f t="shared" si="12"/>
        <v>7.773650302387761</v>
      </c>
    </row>
    <row r="176" spans="2:12" x14ac:dyDescent="0.25">
      <c r="B176" s="77"/>
      <c r="F176" s="77">
        <v>10</v>
      </c>
      <c r="G176" s="20">
        <v>76</v>
      </c>
      <c r="H176" s="75">
        <f t="shared" si="11"/>
        <v>61.896581889126061</v>
      </c>
      <c r="J176" s="77">
        <v>1</v>
      </c>
      <c r="K176" s="20">
        <f t="shared" si="13"/>
        <v>172</v>
      </c>
      <c r="L176" s="78">
        <f t="shared" si="12"/>
        <v>7.8674380765994032</v>
      </c>
    </row>
    <row r="177" spans="2:12" x14ac:dyDescent="0.25">
      <c r="B177" s="77"/>
      <c r="F177" s="77">
        <v>10</v>
      </c>
      <c r="G177" s="20">
        <v>77</v>
      </c>
      <c r="H177" s="75">
        <f t="shared" si="11"/>
        <v>63.399135117248456</v>
      </c>
      <c r="J177" s="77">
        <v>1</v>
      </c>
      <c r="K177" s="20">
        <f t="shared" si="13"/>
        <v>173</v>
      </c>
      <c r="L177" s="78">
        <f t="shared" si="12"/>
        <v>7.9623573844213036</v>
      </c>
    </row>
    <row r="178" spans="2:12" x14ac:dyDescent="0.25">
      <c r="B178" s="77"/>
      <c r="F178" s="77">
        <v>10</v>
      </c>
      <c r="G178" s="20">
        <v>78</v>
      </c>
      <c r="H178" s="75">
        <f t="shared" si="11"/>
        <v>64.938163157621148</v>
      </c>
      <c r="J178" s="77">
        <v>1</v>
      </c>
      <c r="K178" s="20">
        <f t="shared" si="13"/>
        <v>174</v>
      </c>
      <c r="L178" s="78">
        <f t="shared" si="12"/>
        <v>8.0584218776148191</v>
      </c>
    </row>
    <row r="179" spans="2:12" x14ac:dyDescent="0.25">
      <c r="B179" s="77"/>
      <c r="F179" s="77">
        <v>10</v>
      </c>
      <c r="G179" s="20">
        <v>79</v>
      </c>
      <c r="H179" s="75">
        <f t="shared" si="11"/>
        <v>66.514551444386342</v>
      </c>
      <c r="J179" s="77">
        <v>1</v>
      </c>
      <c r="K179" s="20">
        <f t="shared" si="13"/>
        <v>175</v>
      </c>
      <c r="L179" s="78">
        <f t="shared" si="12"/>
        <v>8.1556453726474878</v>
      </c>
    </row>
    <row r="180" spans="2:12" x14ac:dyDescent="0.25">
      <c r="B180" s="77"/>
      <c r="F180" s="77">
        <v>10</v>
      </c>
      <c r="G180" s="20">
        <v>80</v>
      </c>
      <c r="H180" s="75">
        <f t="shared" si="11"/>
        <v>68.129206905796138</v>
      </c>
      <c r="J180" s="77">
        <v>1</v>
      </c>
      <c r="K180" s="20">
        <f>K179+1</f>
        <v>176</v>
      </c>
      <c r="L180" s="78">
        <f t="shared" si="12"/>
        <v>8.2540418526801833</v>
      </c>
    </row>
    <row r="181" spans="2:12" x14ac:dyDescent="0.25">
      <c r="B181" s="77"/>
      <c r="F181" s="77">
        <v>10</v>
      </c>
      <c r="G181" s="20">
        <v>81</v>
      </c>
      <c r="H181" s="75">
        <f t="shared" si="11"/>
        <v>69.783058485986643</v>
      </c>
      <c r="J181" s="77">
        <v>1</v>
      </c>
      <c r="K181" s="20">
        <f t="shared" ref="K181:K196" si="15">K180+1</f>
        <v>177</v>
      </c>
      <c r="L181" s="78">
        <f t="shared" si="12"/>
        <v>8.3536254695782617</v>
      </c>
    </row>
    <row r="182" spans="2:12" x14ac:dyDescent="0.25">
      <c r="B182" s="77"/>
      <c r="F182" s="77">
        <v>10</v>
      </c>
      <c r="G182" s="20">
        <v>82</v>
      </c>
      <c r="H182" s="75">
        <f t="shared" si="11"/>
        <v>71.477057679418564</v>
      </c>
      <c r="J182" s="77">
        <v>1</v>
      </c>
      <c r="K182" s="20">
        <f t="shared" si="15"/>
        <v>178</v>
      </c>
      <c r="L182" s="78">
        <f t="shared" si="12"/>
        <v>8.4544105459469243</v>
      </c>
    </row>
    <row r="183" spans="2:12" x14ac:dyDescent="0.25">
      <c r="B183" s="77"/>
      <c r="F183" s="77">
        <v>10</v>
      </c>
      <c r="G183" s="20">
        <v>83</v>
      </c>
      <c r="H183" s="75">
        <f t="shared" si="11"/>
        <v>73.212179078291314</v>
      </c>
      <c r="J183" s="77">
        <v>1</v>
      </c>
      <c r="K183" s="20">
        <f t="shared" si="15"/>
        <v>179</v>
      </c>
      <c r="L183" s="78">
        <f t="shared" si="12"/>
        <v>8.5564115771911844</v>
      </c>
    </row>
    <row r="184" spans="2:12" x14ac:dyDescent="0.25">
      <c r="B184" s="77"/>
      <c r="F184" s="77">
        <v>10</v>
      </c>
      <c r="G184" s="20">
        <v>84</v>
      </c>
      <c r="H184" s="75">
        <f t="shared" si="11"/>
        <v>74.989420933245597</v>
      </c>
      <c r="J184" s="77">
        <v>1</v>
      </c>
      <c r="K184" s="20">
        <f t="shared" si="15"/>
        <v>180</v>
      </c>
      <c r="L184" s="78">
        <f t="shared" si="12"/>
        <v>8.6596432336006561</v>
      </c>
    </row>
    <row r="185" spans="2:12" x14ac:dyDescent="0.25">
      <c r="B185" s="77"/>
      <c r="F185" s="77">
        <v>10</v>
      </c>
      <c r="G185" s="20">
        <v>85</v>
      </c>
      <c r="H185" s="75">
        <f t="shared" si="11"/>
        <v>76.809805727677542</v>
      </c>
      <c r="J185" s="77">
        <v>1</v>
      </c>
      <c r="K185" s="20">
        <f t="shared" si="15"/>
        <v>181</v>
      </c>
      <c r="L185" s="78">
        <f t="shared" si="12"/>
        <v>8.7641203624595203</v>
      </c>
    </row>
    <row r="186" spans="2:12" x14ac:dyDescent="0.25">
      <c r="B186" s="77"/>
      <c r="F186" s="77">
        <v>10</v>
      </c>
      <c r="G186" s="20">
        <v>86</v>
      </c>
      <c r="H186" s="75">
        <f t="shared" si="11"/>
        <v>78.67438076599403</v>
      </c>
      <c r="J186" s="77">
        <v>1</v>
      </c>
      <c r="K186" s="20">
        <f t="shared" si="15"/>
        <v>182</v>
      </c>
      <c r="L186" s="78">
        <f t="shared" si="12"/>
        <v>8.8698579901819183</v>
      </c>
    </row>
    <row r="187" spans="2:12" x14ac:dyDescent="0.25">
      <c r="B187" s="77"/>
      <c r="F187" s="77">
        <v>10</v>
      </c>
      <c r="G187" s="20">
        <v>87</v>
      </c>
      <c r="H187" s="75">
        <f t="shared" si="11"/>
        <v>80.584218776148191</v>
      </c>
      <c r="J187" s="77">
        <v>1</v>
      </c>
      <c r="K187" s="20">
        <f t="shared" si="15"/>
        <v>183</v>
      </c>
      <c r="L187" s="78">
        <f t="shared" si="12"/>
        <v>8.9768713244731444</v>
      </c>
    </row>
    <row r="188" spans="2:12" x14ac:dyDescent="0.25">
      <c r="B188" s="77"/>
      <c r="F188" s="77">
        <v>10</v>
      </c>
      <c r="G188" s="20">
        <v>88</v>
      </c>
      <c r="H188" s="75">
        <f t="shared" si="11"/>
        <v>82.54041852680183</v>
      </c>
      <c r="J188" s="77">
        <v>1</v>
      </c>
      <c r="K188" s="20">
        <f t="shared" si="15"/>
        <v>184</v>
      </c>
      <c r="L188" s="78">
        <f t="shared" si="12"/>
        <v>9.08517575651687</v>
      </c>
    </row>
    <row r="189" spans="2:12" x14ac:dyDescent="0.25">
      <c r="B189" s="77"/>
      <c r="F189" s="77">
        <v>10</v>
      </c>
      <c r="G189" s="20">
        <v>89</v>
      </c>
      <c r="H189" s="75">
        <f t="shared" si="11"/>
        <v>84.54410545946925</v>
      </c>
      <c r="J189" s="77">
        <v>1</v>
      </c>
      <c r="K189" s="20">
        <f t="shared" si="15"/>
        <v>185</v>
      </c>
      <c r="L189" s="78">
        <f t="shared" si="12"/>
        <v>9.1947868631887939</v>
      </c>
    </row>
    <row r="190" spans="2:12" x14ac:dyDescent="0.25">
      <c r="B190" s="77"/>
      <c r="F190" s="77">
        <v>10</v>
      </c>
      <c r="G190" s="20">
        <v>90</v>
      </c>
      <c r="H190" s="75">
        <f t="shared" si="11"/>
        <v>86.596432336006558</v>
      </c>
      <c r="J190" s="77">
        <v>1</v>
      </c>
      <c r="K190" s="20">
        <f t="shared" si="15"/>
        <v>186</v>
      </c>
      <c r="L190" s="78">
        <f t="shared" si="12"/>
        <v>9.3057204092969901</v>
      </c>
    </row>
    <row r="191" spans="2:12" x14ac:dyDescent="0.25">
      <c r="F191" s="77">
        <v>10</v>
      </c>
      <c r="G191" s="20">
        <v>91</v>
      </c>
      <c r="H191" s="75">
        <f t="shared" si="11"/>
        <v>88.698579901819187</v>
      </c>
      <c r="J191" s="77">
        <v>1</v>
      </c>
      <c r="K191" s="20">
        <f t="shared" si="15"/>
        <v>187</v>
      </c>
      <c r="L191" s="78">
        <f t="shared" si="12"/>
        <v>9.4179923498492606</v>
      </c>
    </row>
    <row r="192" spans="2:12" x14ac:dyDescent="0.25">
      <c r="F192" s="77">
        <v>10</v>
      </c>
      <c r="G192" s="20">
        <v>92</v>
      </c>
      <c r="H192" s="75">
        <f t="shared" si="11"/>
        <v>90.851757565168697</v>
      </c>
      <c r="J192" s="77">
        <v>1</v>
      </c>
      <c r="K192" s="20">
        <f t="shared" si="15"/>
        <v>188</v>
      </c>
      <c r="L192" s="78">
        <f t="shared" si="12"/>
        <v>9.5316188323478777</v>
      </c>
    </row>
    <row r="193" spans="6:12" x14ac:dyDescent="0.25">
      <c r="F193" s="77">
        <v>10</v>
      </c>
      <c r="G193" s="20">
        <v>93</v>
      </c>
      <c r="H193" s="75">
        <f t="shared" si="11"/>
        <v>93.057204092969897</v>
      </c>
      <c r="J193" s="77">
        <v>1</v>
      </c>
      <c r="K193" s="20">
        <f t="shared" si="15"/>
        <v>189</v>
      </c>
      <c r="L193" s="78">
        <f t="shared" si="12"/>
        <v>9.6466161991119961</v>
      </c>
    </row>
    <row r="194" spans="6:12" x14ac:dyDescent="0.25">
      <c r="F194" s="77">
        <v>10</v>
      </c>
      <c r="G194" s="20">
        <v>94</v>
      </c>
      <c r="H194" s="75">
        <f t="shared" si="11"/>
        <v>95.316188323478769</v>
      </c>
      <c r="J194" s="77">
        <v>1</v>
      </c>
      <c r="K194" s="20">
        <f t="shared" si="15"/>
        <v>190</v>
      </c>
      <c r="L194" s="78">
        <f t="shared" si="12"/>
        <v>9.7630009896280789</v>
      </c>
    </row>
    <row r="195" spans="6:12" x14ac:dyDescent="0.25">
      <c r="F195" s="77">
        <v>10</v>
      </c>
      <c r="G195" s="20">
        <v>95</v>
      </c>
      <c r="H195" s="75">
        <f t="shared" si="11"/>
        <v>97.630009896280797</v>
      </c>
      <c r="J195" s="77">
        <v>1</v>
      </c>
      <c r="K195" s="20">
        <f t="shared" si="15"/>
        <v>191</v>
      </c>
      <c r="L195" s="78">
        <f t="shared" si="12"/>
        <v>9.8807899429286916</v>
      </c>
    </row>
    <row r="196" spans="6:12" x14ac:dyDescent="0.25">
      <c r="F196" s="77">
        <v>10</v>
      </c>
      <c r="G196" s="20">
        <v>96</v>
      </c>
      <c r="H196" s="75">
        <f t="shared" ref="H196:H259" si="16">F196*10^(G196/96)</f>
        <v>100</v>
      </c>
      <c r="J196" s="77">
        <v>1</v>
      </c>
      <c r="K196" s="20">
        <f t="shared" si="15"/>
        <v>192</v>
      </c>
      <c r="L196" s="78">
        <f t="shared" si="12"/>
        <v>10</v>
      </c>
    </row>
    <row r="197" spans="6:12" x14ac:dyDescent="0.25">
      <c r="F197" s="77">
        <v>100</v>
      </c>
      <c r="G197" s="20">
        <v>1</v>
      </c>
      <c r="H197" s="75">
        <f t="shared" si="16"/>
        <v>102.42752213815922</v>
      </c>
      <c r="J197" s="77">
        <f>J4*10</f>
        <v>10</v>
      </c>
      <c r="K197" s="20">
        <v>1</v>
      </c>
      <c r="L197" s="78">
        <f t="shared" ref="L197:L260" si="17">J197*10^(K197/192)</f>
        <v>10.120648306218294</v>
      </c>
    </row>
    <row r="198" spans="6:12" x14ac:dyDescent="0.25">
      <c r="F198" s="77">
        <v>100</v>
      </c>
      <c r="G198" s="20">
        <v>2</v>
      </c>
      <c r="H198" s="75">
        <f t="shared" si="16"/>
        <v>104.91397291363099</v>
      </c>
      <c r="J198" s="77">
        <f t="shared" ref="J198:J261" si="18">J5*10</f>
        <v>10</v>
      </c>
      <c r="K198" s="20">
        <f t="shared" ref="K198:K261" si="19">K197+1</f>
        <v>2</v>
      </c>
      <c r="L198" s="78">
        <f t="shared" si="17"/>
        <v>10.242752213815923</v>
      </c>
    </row>
    <row r="199" spans="6:12" x14ac:dyDescent="0.25">
      <c r="F199" s="77">
        <v>100</v>
      </c>
      <c r="G199" s="20">
        <v>3</v>
      </c>
      <c r="H199" s="75">
        <f t="shared" si="16"/>
        <v>107.46078283213174</v>
      </c>
      <c r="J199" s="77">
        <f t="shared" si="18"/>
        <v>10</v>
      </c>
      <c r="K199" s="20">
        <f t="shared" si="19"/>
        <v>3</v>
      </c>
      <c r="L199" s="78">
        <f t="shared" si="17"/>
        <v>10.366329284376981</v>
      </c>
    </row>
    <row r="200" spans="6:12" x14ac:dyDescent="0.25">
      <c r="F200" s="77">
        <v>100</v>
      </c>
      <c r="G200" s="20">
        <v>4</v>
      </c>
      <c r="H200" s="75">
        <f t="shared" si="16"/>
        <v>110.06941712522095</v>
      </c>
      <c r="J200" s="77">
        <f t="shared" si="18"/>
        <v>10</v>
      </c>
      <c r="K200" s="20">
        <f t="shared" si="19"/>
        <v>4</v>
      </c>
      <c r="L200" s="78">
        <f t="shared" si="17"/>
        <v>10.491397291363098</v>
      </c>
    </row>
    <row r="201" spans="6:12" x14ac:dyDescent="0.25">
      <c r="F201" s="77">
        <v>100</v>
      </c>
      <c r="G201" s="20">
        <v>5</v>
      </c>
      <c r="H201" s="75">
        <f t="shared" si="16"/>
        <v>112.74137659327852</v>
      </c>
      <c r="J201" s="77">
        <f t="shared" si="18"/>
        <v>10</v>
      </c>
      <c r="K201" s="20">
        <f t="shared" si="19"/>
        <v>5</v>
      </c>
      <c r="L201" s="78">
        <f t="shared" si="17"/>
        <v>10.617974222669716</v>
      </c>
    </row>
    <row r="202" spans="6:12" x14ac:dyDescent="0.25">
      <c r="F202" s="77">
        <v>100</v>
      </c>
      <c r="G202" s="20">
        <v>6</v>
      </c>
      <c r="H202" s="75">
        <f t="shared" si="16"/>
        <v>115.47819846894582</v>
      </c>
      <c r="J202" s="77">
        <f t="shared" si="18"/>
        <v>10</v>
      </c>
      <c r="K202" s="20">
        <f t="shared" si="19"/>
        <v>6</v>
      </c>
      <c r="L202" s="78">
        <f t="shared" si="17"/>
        <v>10.746078283213174</v>
      </c>
    </row>
    <row r="203" spans="6:12" x14ac:dyDescent="0.25">
      <c r="F203" s="77">
        <v>100</v>
      </c>
      <c r="G203" s="20">
        <v>7</v>
      </c>
      <c r="H203" s="75">
        <f t="shared" si="16"/>
        <v>118.28145730152693</v>
      </c>
      <c r="J203" s="77">
        <f t="shared" si="18"/>
        <v>10</v>
      </c>
      <c r="K203" s="20">
        <f t="shared" si="19"/>
        <v>7</v>
      </c>
      <c r="L203" s="78">
        <f t="shared" si="17"/>
        <v>10.875727897549062</v>
      </c>
    </row>
    <row r="204" spans="6:12" x14ac:dyDescent="0.25">
      <c r="F204" s="77">
        <v>100</v>
      </c>
      <c r="G204" s="20">
        <v>8</v>
      </c>
      <c r="H204" s="75">
        <f t="shared" si="16"/>
        <v>121.15276586285886</v>
      </c>
      <c r="J204" s="77">
        <f t="shared" si="18"/>
        <v>10</v>
      </c>
      <c r="K204" s="20">
        <f t="shared" si="19"/>
        <v>8</v>
      </c>
      <c r="L204" s="78">
        <f t="shared" si="17"/>
        <v>11.006941712522096</v>
      </c>
    </row>
    <row r="205" spans="6:12" x14ac:dyDescent="0.25">
      <c r="F205" s="77">
        <v>100</v>
      </c>
      <c r="G205" s="20">
        <v>9</v>
      </c>
      <c r="H205" s="75">
        <f t="shared" si="16"/>
        <v>124.09377607517196</v>
      </c>
      <c r="J205" s="77">
        <f t="shared" si="18"/>
        <v>10</v>
      </c>
      <c r="K205" s="20">
        <f t="shared" si="19"/>
        <v>9</v>
      </c>
      <c r="L205" s="78">
        <f t="shared" si="17"/>
        <v>11.139738599948023</v>
      </c>
    </row>
    <row r="206" spans="6:12" x14ac:dyDescent="0.25">
      <c r="F206" s="77">
        <v>100</v>
      </c>
      <c r="G206" s="20">
        <v>10</v>
      </c>
      <c r="H206" s="75">
        <f t="shared" si="16"/>
        <v>127.10617996147448</v>
      </c>
      <c r="J206" s="77">
        <f t="shared" si="18"/>
        <v>10</v>
      </c>
      <c r="K206" s="20">
        <f t="shared" si="19"/>
        <v>10</v>
      </c>
      <c r="L206" s="78">
        <f t="shared" si="17"/>
        <v>11.274137659327852</v>
      </c>
    </row>
    <row r="207" spans="6:12" x14ac:dyDescent="0.25">
      <c r="F207" s="77">
        <v>100</v>
      </c>
      <c r="G207" s="20">
        <v>11</v>
      </c>
      <c r="H207" s="75">
        <f t="shared" si="16"/>
        <v>130.19171061900778</v>
      </c>
      <c r="J207" s="77">
        <f t="shared" si="18"/>
        <v>10</v>
      </c>
      <c r="K207" s="20">
        <f t="shared" si="19"/>
        <v>11</v>
      </c>
      <c r="L207" s="78">
        <f t="shared" si="17"/>
        <v>11.41015822059483</v>
      </c>
    </row>
    <row r="208" spans="6:12" x14ac:dyDescent="0.25">
      <c r="F208" s="77">
        <v>100</v>
      </c>
      <c r="G208" s="20">
        <v>12</v>
      </c>
      <c r="H208" s="75">
        <f t="shared" si="16"/>
        <v>133.35214321633239</v>
      </c>
      <c r="J208" s="77">
        <f t="shared" si="18"/>
        <v>10</v>
      </c>
      <c r="K208" s="20">
        <f t="shared" si="19"/>
        <v>12</v>
      </c>
      <c r="L208" s="78">
        <f t="shared" si="17"/>
        <v>11.547819846894583</v>
      </c>
    </row>
    <row r="209" spans="6:12" x14ac:dyDescent="0.25">
      <c r="F209" s="77">
        <v>100</v>
      </c>
      <c r="G209" s="20">
        <v>13</v>
      </c>
      <c r="H209" s="75">
        <f t="shared" si="16"/>
        <v>136.58929601461867</v>
      </c>
      <c r="J209" s="77">
        <f t="shared" si="18"/>
        <v>10</v>
      </c>
      <c r="K209" s="20">
        <f t="shared" si="19"/>
        <v>13</v>
      </c>
      <c r="L209" s="78">
        <f t="shared" si="17"/>
        <v>11.687142337398766</v>
      </c>
    </row>
    <row r="210" spans="6:12" x14ac:dyDescent="0.25">
      <c r="F210" s="77">
        <v>100</v>
      </c>
      <c r="G210" s="20">
        <v>14</v>
      </c>
      <c r="H210" s="75">
        <f t="shared" si="16"/>
        <v>139.90503141372938</v>
      </c>
      <c r="J210" s="77">
        <f t="shared" si="18"/>
        <v>10</v>
      </c>
      <c r="K210" s="20">
        <f t="shared" si="19"/>
        <v>14</v>
      </c>
      <c r="L210" s="78">
        <f t="shared" si="17"/>
        <v>11.828145730152693</v>
      </c>
    </row>
    <row r="211" spans="6:12" x14ac:dyDescent="0.25">
      <c r="F211" s="77">
        <v>100</v>
      </c>
      <c r="G211" s="20">
        <v>15</v>
      </c>
      <c r="H211" s="75">
        <f t="shared" si="16"/>
        <v>143.30125702369628</v>
      </c>
      <c r="J211" s="77">
        <f t="shared" si="18"/>
        <v>10</v>
      </c>
      <c r="K211" s="20">
        <f t="shared" si="19"/>
        <v>15</v>
      </c>
      <c r="L211" s="78">
        <f t="shared" si="17"/>
        <v>11.970850304957299</v>
      </c>
    </row>
    <row r="212" spans="6:12" x14ac:dyDescent="0.25">
      <c r="F212" s="77">
        <v>100</v>
      </c>
      <c r="G212" s="20">
        <v>16</v>
      </c>
      <c r="H212" s="75">
        <f t="shared" si="16"/>
        <v>146.77992676220697</v>
      </c>
      <c r="J212" s="77">
        <f t="shared" si="18"/>
        <v>10</v>
      </c>
      <c r="K212" s="20">
        <f t="shared" si="19"/>
        <v>16</v>
      </c>
      <c r="L212" s="78">
        <f t="shared" si="17"/>
        <v>12.115276586285885</v>
      </c>
    </row>
    <row r="213" spans="6:12" x14ac:dyDescent="0.25">
      <c r="F213" s="77">
        <v>100</v>
      </c>
      <c r="G213" s="20">
        <v>17</v>
      </c>
      <c r="H213" s="75">
        <f t="shared" si="16"/>
        <v>150.34304197873342</v>
      </c>
      <c r="J213" s="77">
        <f t="shared" si="18"/>
        <v>10</v>
      </c>
      <c r="K213" s="20">
        <f t="shared" si="19"/>
        <v>17</v>
      </c>
      <c r="L213" s="78">
        <f t="shared" si="17"/>
        <v>12.261445346236039</v>
      </c>
    </row>
    <row r="214" spans="6:12" x14ac:dyDescent="0.25">
      <c r="F214" s="77">
        <v>100</v>
      </c>
      <c r="G214" s="20">
        <v>18</v>
      </c>
      <c r="H214" s="75">
        <f t="shared" si="16"/>
        <v>153.99265260594922</v>
      </c>
      <c r="J214" s="77">
        <f t="shared" si="18"/>
        <v>10</v>
      </c>
      <c r="K214" s="20">
        <f t="shared" si="19"/>
        <v>18</v>
      </c>
      <c r="L214" s="78">
        <f t="shared" si="17"/>
        <v>12.409377607517197</v>
      </c>
    </row>
    <row r="215" spans="6:12" x14ac:dyDescent="0.25">
      <c r="F215" s="77">
        <v>100</v>
      </c>
      <c r="G215" s="20">
        <v>19</v>
      </c>
      <c r="H215" s="75">
        <f t="shared" si="16"/>
        <v>157.73085833909727</v>
      </c>
      <c r="J215" s="77">
        <f t="shared" si="18"/>
        <v>10</v>
      </c>
      <c r="K215" s="20">
        <f t="shared" si="19"/>
        <v>19</v>
      </c>
      <c r="L215" s="78">
        <f t="shared" si="17"/>
        <v>12.559094646474215</v>
      </c>
    </row>
    <row r="216" spans="6:12" x14ac:dyDescent="0.25">
      <c r="F216" s="77">
        <v>100</v>
      </c>
      <c r="G216" s="20">
        <v>20</v>
      </c>
      <c r="H216" s="75">
        <f t="shared" si="16"/>
        <v>161.55980984398741</v>
      </c>
      <c r="J216" s="77">
        <f t="shared" si="18"/>
        <v>10</v>
      </c>
      <c r="K216" s="20">
        <f t="shared" si="19"/>
        <v>20</v>
      </c>
      <c r="L216" s="78">
        <f t="shared" si="17"/>
        <v>12.710617996147448</v>
      </c>
    </row>
    <row r="217" spans="6:12" x14ac:dyDescent="0.25">
      <c r="F217" s="77">
        <v>100</v>
      </c>
      <c r="G217" s="20">
        <v>21</v>
      </c>
      <c r="H217" s="75">
        <f t="shared" si="16"/>
        <v>165.48170999431815</v>
      </c>
      <c r="J217" s="77">
        <f t="shared" si="18"/>
        <v>10</v>
      </c>
      <c r="K217" s="20">
        <f t="shared" si="19"/>
        <v>21</v>
      </c>
      <c r="L217" s="78">
        <f t="shared" si="17"/>
        <v>12.863969449369746</v>
      </c>
    </row>
    <row r="218" spans="6:12" x14ac:dyDescent="0.25">
      <c r="F218" s="77">
        <v>100</v>
      </c>
      <c r="G218" s="20">
        <v>22</v>
      </c>
      <c r="H218" s="75">
        <f t="shared" si="16"/>
        <v>169.49881513903466</v>
      </c>
      <c r="J218" s="77">
        <f t="shared" si="18"/>
        <v>10</v>
      </c>
      <c r="K218" s="20">
        <f t="shared" si="19"/>
        <v>22</v>
      </c>
      <c r="L218" s="78">
        <f t="shared" si="17"/>
        <v>13.019171061900778</v>
      </c>
    </row>
    <row r="219" spans="6:12" x14ac:dyDescent="0.25">
      <c r="F219" s="77">
        <v>100</v>
      </c>
      <c r="G219" s="20">
        <v>23</v>
      </c>
      <c r="H219" s="75">
        <f t="shared" si="16"/>
        <v>173.61343640045231</v>
      </c>
      <c r="J219" s="77">
        <f t="shared" si="18"/>
        <v>10</v>
      </c>
      <c r="K219" s="20">
        <f t="shared" si="19"/>
        <v>23</v>
      </c>
      <c r="L219" s="78">
        <f t="shared" si="17"/>
        <v>13.176245155599236</v>
      </c>
    </row>
    <row r="220" spans="6:12" x14ac:dyDescent="0.25">
      <c r="F220" s="77">
        <v>100</v>
      </c>
      <c r="G220" s="20">
        <v>24</v>
      </c>
      <c r="H220" s="75">
        <f t="shared" si="16"/>
        <v>177.82794100389231</v>
      </c>
      <c r="J220" s="77">
        <f t="shared" si="18"/>
        <v>10</v>
      </c>
      <c r="K220" s="20">
        <f t="shared" si="19"/>
        <v>24</v>
      </c>
      <c r="L220" s="78">
        <f t="shared" si="17"/>
        <v>13.33521432163324</v>
      </c>
    </row>
    <row r="221" spans="6:12" x14ac:dyDescent="0.25">
      <c r="F221" s="77">
        <v>100</v>
      </c>
      <c r="G221" s="20">
        <v>25</v>
      </c>
      <c r="H221" s="75">
        <f t="shared" si="16"/>
        <v>182.14475363959451</v>
      </c>
      <c r="J221" s="77">
        <f t="shared" si="18"/>
        <v>10</v>
      </c>
      <c r="K221" s="20">
        <f t="shared" si="19"/>
        <v>25</v>
      </c>
      <c r="L221" s="78">
        <f t="shared" si="17"/>
        <v>13.496101423729542</v>
      </c>
    </row>
    <row r="222" spans="6:12" x14ac:dyDescent="0.25">
      <c r="F222" s="77">
        <v>100</v>
      </c>
      <c r="G222" s="20">
        <v>26</v>
      </c>
      <c r="H222" s="75">
        <f t="shared" si="16"/>
        <v>186.56635785769123</v>
      </c>
      <c r="J222" s="77">
        <f t="shared" si="18"/>
        <v>10</v>
      </c>
      <c r="K222" s="20">
        <f t="shared" si="19"/>
        <v>26</v>
      </c>
      <c r="L222" s="78">
        <f t="shared" si="17"/>
        <v>13.658929601461868</v>
      </c>
    </row>
    <row r="223" spans="6:12" x14ac:dyDescent="0.25">
      <c r="F223" s="77">
        <v>100</v>
      </c>
      <c r="G223" s="20">
        <v>27</v>
      </c>
      <c r="H223" s="75">
        <f t="shared" si="16"/>
        <v>191.09529749704407</v>
      </c>
      <c r="J223" s="77">
        <f t="shared" si="18"/>
        <v>10</v>
      </c>
      <c r="K223" s="20">
        <f t="shared" si="19"/>
        <v>27</v>
      </c>
      <c r="L223" s="78">
        <f t="shared" si="17"/>
        <v>13.823722273578998</v>
      </c>
    </row>
    <row r="224" spans="6:12" x14ac:dyDescent="0.25">
      <c r="F224" s="77">
        <v>100</v>
      </c>
      <c r="G224" s="20">
        <v>28</v>
      </c>
      <c r="H224" s="75">
        <f t="shared" si="16"/>
        <v>195.73417814876603</v>
      </c>
      <c r="J224" s="77">
        <f t="shared" si="18"/>
        <v>10</v>
      </c>
      <c r="K224" s="20">
        <f t="shared" si="19"/>
        <v>28</v>
      </c>
      <c r="L224" s="78">
        <f t="shared" si="17"/>
        <v>13.990503141372939</v>
      </c>
    </row>
    <row r="225" spans="6:12" x14ac:dyDescent="0.25">
      <c r="F225" s="77">
        <v>100</v>
      </c>
      <c r="G225" s="20">
        <v>29</v>
      </c>
      <c r="H225" s="75">
        <f t="shared" si="16"/>
        <v>200.48566865527135</v>
      </c>
      <c r="J225" s="77">
        <f t="shared" si="18"/>
        <v>10</v>
      </c>
      <c r="K225" s="20">
        <f t="shared" si="19"/>
        <v>29</v>
      </c>
      <c r="L225" s="78">
        <f t="shared" si="17"/>
        <v>14.159296192087773</v>
      </c>
    </row>
    <row r="226" spans="6:12" x14ac:dyDescent="0.25">
      <c r="F226" s="77">
        <v>100</v>
      </c>
      <c r="G226" s="20">
        <v>30</v>
      </c>
      <c r="H226" s="75">
        <f t="shared" si="16"/>
        <v>205.35250264571462</v>
      </c>
      <c r="J226" s="77">
        <f t="shared" si="18"/>
        <v>10</v>
      </c>
      <c r="K226" s="20">
        <f t="shared" si="19"/>
        <v>30</v>
      </c>
      <c r="L226" s="78">
        <f t="shared" si="17"/>
        <v>14.33012570236963</v>
      </c>
    </row>
    <row r="227" spans="6:12" x14ac:dyDescent="0.25">
      <c r="F227" s="77">
        <v>100</v>
      </c>
      <c r="G227" s="20">
        <v>31</v>
      </c>
      <c r="H227" s="75">
        <f t="shared" si="16"/>
        <v>210.33748010870337</v>
      </c>
      <c r="J227" s="77">
        <f t="shared" si="18"/>
        <v>10</v>
      </c>
      <c r="K227" s="20">
        <f t="shared" si="19"/>
        <v>31</v>
      </c>
      <c r="L227" s="78">
        <f t="shared" si="17"/>
        <v>14.503016241758242</v>
      </c>
    </row>
    <row r="228" spans="6:12" x14ac:dyDescent="0.25">
      <c r="F228" s="77">
        <v>100</v>
      </c>
      <c r="G228" s="20">
        <v>32</v>
      </c>
      <c r="H228" s="75">
        <f t="shared" si="16"/>
        <v>215.44346900318837</v>
      </c>
      <c r="J228" s="77">
        <f t="shared" si="18"/>
        <v>10</v>
      </c>
      <c r="K228" s="20">
        <f t="shared" si="19"/>
        <v>32</v>
      </c>
      <c r="L228" s="78">
        <f t="shared" si="17"/>
        <v>14.677992676220697</v>
      </c>
    </row>
    <row r="229" spans="6:12" x14ac:dyDescent="0.25">
      <c r="F229" s="77">
        <v>100</v>
      </c>
      <c r="G229" s="20">
        <v>33</v>
      </c>
      <c r="H229" s="75">
        <f t="shared" si="16"/>
        <v>220.67340690845901</v>
      </c>
      <c r="J229" s="77">
        <f t="shared" si="18"/>
        <v>10</v>
      </c>
      <c r="K229" s="20">
        <f t="shared" si="19"/>
        <v>33</v>
      </c>
      <c r="L229" s="78">
        <f t="shared" si="17"/>
        <v>14.855080171727749</v>
      </c>
    </row>
    <row r="230" spans="6:12" x14ac:dyDescent="0.25">
      <c r="F230" s="77">
        <v>100</v>
      </c>
      <c r="G230" s="20">
        <v>34</v>
      </c>
      <c r="H230" s="75">
        <f t="shared" si="16"/>
        <v>226.03030271419203</v>
      </c>
      <c r="J230" s="77">
        <f t="shared" si="18"/>
        <v>10</v>
      </c>
      <c r="K230" s="20">
        <f t="shared" si="19"/>
        <v>34</v>
      </c>
      <c r="L230" s="78">
        <f t="shared" si="17"/>
        <v>15.034304197873343</v>
      </c>
    </row>
    <row r="231" spans="6:12" x14ac:dyDescent="0.25">
      <c r="F231" s="77">
        <v>100</v>
      </c>
      <c r="G231" s="20">
        <v>35</v>
      </c>
      <c r="H231" s="75">
        <f t="shared" si="16"/>
        <v>231.51723835152734</v>
      </c>
      <c r="J231" s="77">
        <f t="shared" si="18"/>
        <v>10</v>
      </c>
      <c r="K231" s="20">
        <f t="shared" si="19"/>
        <v>35</v>
      </c>
      <c r="L231" s="78">
        <f t="shared" si="17"/>
        <v>15.215690531537744</v>
      </c>
    </row>
    <row r="232" spans="6:12" x14ac:dyDescent="0.25">
      <c r="F232" s="77">
        <v>100</v>
      </c>
      <c r="G232" s="20">
        <v>36</v>
      </c>
      <c r="H232" s="75">
        <f t="shared" si="16"/>
        <v>237.13737056616554</v>
      </c>
      <c r="J232" s="77">
        <f t="shared" si="18"/>
        <v>10</v>
      </c>
      <c r="K232" s="20">
        <f t="shared" si="19"/>
        <v>36</v>
      </c>
      <c r="L232" s="78">
        <f t="shared" si="17"/>
        <v>15.399265260594921</v>
      </c>
    </row>
    <row r="233" spans="6:12" x14ac:dyDescent="0.25">
      <c r="F233" s="77">
        <v>100</v>
      </c>
      <c r="G233" s="20">
        <v>37</v>
      </c>
      <c r="H233" s="75">
        <f t="shared" si="16"/>
        <v>242.89393273450793</v>
      </c>
      <c r="J233" s="77">
        <f t="shared" si="18"/>
        <v>10</v>
      </c>
      <c r="K233" s="20">
        <f t="shared" si="19"/>
        <v>37</v>
      </c>
      <c r="L233" s="78">
        <f t="shared" si="17"/>
        <v>15.585054787664621</v>
      </c>
    </row>
    <row r="234" spans="6:12" x14ac:dyDescent="0.25">
      <c r="F234" s="77">
        <v>100</v>
      </c>
      <c r="G234" s="20">
        <v>38</v>
      </c>
      <c r="H234" s="75">
        <f t="shared" si="16"/>
        <v>248.79023672388362</v>
      </c>
      <c r="J234" s="77">
        <f t="shared" si="18"/>
        <v>10</v>
      </c>
      <c r="K234" s="20">
        <f t="shared" si="19"/>
        <v>38</v>
      </c>
      <c r="L234" s="78">
        <f t="shared" si="17"/>
        <v>15.773085833909725</v>
      </c>
    </row>
    <row r="235" spans="6:12" x14ac:dyDescent="0.25">
      <c r="F235" s="77">
        <v>100</v>
      </c>
      <c r="G235" s="20">
        <v>39</v>
      </c>
      <c r="H235" s="75">
        <f t="shared" si="16"/>
        <v>254.8296747979347</v>
      </c>
      <c r="J235" s="77">
        <f t="shared" si="18"/>
        <v>10</v>
      </c>
      <c r="K235" s="20">
        <f t="shared" si="19"/>
        <v>39</v>
      </c>
      <c r="L235" s="78">
        <f t="shared" si="17"/>
        <v>15.963385442879423</v>
      </c>
    </row>
    <row r="236" spans="6:12" x14ac:dyDescent="0.25">
      <c r="F236" s="77">
        <v>100</v>
      </c>
      <c r="G236" s="20">
        <v>40</v>
      </c>
      <c r="H236" s="75">
        <f t="shared" si="16"/>
        <v>261.0157215682537</v>
      </c>
      <c r="J236" s="77">
        <f t="shared" si="18"/>
        <v>10</v>
      </c>
      <c r="K236" s="20">
        <f t="shared" si="19"/>
        <v>40</v>
      </c>
      <c r="L236" s="78">
        <f t="shared" si="17"/>
        <v>16.155980984398742</v>
      </c>
    </row>
    <row r="237" spans="6:12" x14ac:dyDescent="0.25">
      <c r="F237" s="77">
        <v>100</v>
      </c>
      <c r="G237" s="20">
        <v>41</v>
      </c>
      <c r="H237" s="75">
        <f t="shared" si="16"/>
        <v>267.35193599339908</v>
      </c>
      <c r="J237" s="77">
        <f t="shared" si="18"/>
        <v>10</v>
      </c>
      <c r="K237" s="20">
        <f t="shared" si="19"/>
        <v>41</v>
      </c>
      <c r="L237" s="78">
        <f t="shared" si="17"/>
        <v>16.350900158505009</v>
      </c>
    </row>
    <row r="238" spans="6:12" x14ac:dyDescent="0.25">
      <c r="F238" s="77">
        <v>100</v>
      </c>
      <c r="G238" s="20">
        <v>42</v>
      </c>
      <c r="H238" s="75">
        <f t="shared" si="16"/>
        <v>273.84196342643617</v>
      </c>
      <c r="J238" s="77">
        <f t="shared" si="18"/>
        <v>10</v>
      </c>
      <c r="K238" s="20">
        <f t="shared" si="19"/>
        <v>42</v>
      </c>
      <c r="L238" s="78">
        <f t="shared" si="17"/>
        <v>16.548170999431814</v>
      </c>
    </row>
    <row r="239" spans="6:12" x14ac:dyDescent="0.25">
      <c r="F239" s="77">
        <v>100</v>
      </c>
      <c r="G239" s="20">
        <v>43</v>
      </c>
      <c r="H239" s="75">
        <f t="shared" si="16"/>
        <v>280.48953771218282</v>
      </c>
      <c r="J239" s="77">
        <f t="shared" si="18"/>
        <v>10</v>
      </c>
      <c r="K239" s="20">
        <f t="shared" si="19"/>
        <v>43</v>
      </c>
      <c r="L239" s="78">
        <f t="shared" si="17"/>
        <v>16.74782187964103</v>
      </c>
    </row>
    <row r="240" spans="6:12" x14ac:dyDescent="0.25">
      <c r="F240" s="77">
        <v>100</v>
      </c>
      <c r="G240" s="20">
        <v>44</v>
      </c>
      <c r="H240" s="75">
        <f t="shared" si="16"/>
        <v>287.29848333536643</v>
      </c>
      <c r="J240" s="77">
        <f t="shared" si="18"/>
        <v>10</v>
      </c>
      <c r="K240" s="20">
        <f t="shared" si="19"/>
        <v>44</v>
      </c>
      <c r="L240" s="78">
        <f t="shared" si="17"/>
        <v>16.949881513903467</v>
      </c>
    </row>
    <row r="241" spans="6:12" x14ac:dyDescent="0.25">
      <c r="F241" s="77">
        <v>100</v>
      </c>
      <c r="G241" s="20">
        <v>45</v>
      </c>
      <c r="H241" s="75">
        <f t="shared" si="16"/>
        <v>294.27271762092823</v>
      </c>
      <c r="J241" s="77">
        <f t="shared" si="18"/>
        <v>10</v>
      </c>
      <c r="K241" s="20">
        <f t="shared" si="19"/>
        <v>45</v>
      </c>
      <c r="L241" s="78">
        <f t="shared" si="17"/>
        <v>17.15437896342879</v>
      </c>
    </row>
    <row r="242" spans="6:12" x14ac:dyDescent="0.25">
      <c r="F242" s="77">
        <v>100</v>
      </c>
      <c r="G242" s="20">
        <v>46</v>
      </c>
      <c r="H242" s="75">
        <f t="shared" si="16"/>
        <v>301.41625298773909</v>
      </c>
      <c r="J242" s="77">
        <f t="shared" si="18"/>
        <v>10</v>
      </c>
      <c r="K242" s="20">
        <f t="shared" si="19"/>
        <v>46</v>
      </c>
      <c r="L242" s="78">
        <f t="shared" si="17"/>
        <v>17.361343640045234</v>
      </c>
    </row>
    <row r="243" spans="6:12" x14ac:dyDescent="0.25">
      <c r="F243" s="77">
        <v>100</v>
      </c>
      <c r="G243" s="20">
        <v>47</v>
      </c>
      <c r="H243" s="75">
        <f t="shared" si="16"/>
        <v>308.7331992570264</v>
      </c>
      <c r="J243" s="77">
        <f t="shared" si="18"/>
        <v>10</v>
      </c>
      <c r="K243" s="20">
        <f t="shared" si="19"/>
        <v>47</v>
      </c>
      <c r="L243" s="78">
        <f t="shared" si="17"/>
        <v>17.570805310429755</v>
      </c>
    </row>
    <row r="244" spans="6:12" x14ac:dyDescent="0.25">
      <c r="F244" s="77">
        <v>100</v>
      </c>
      <c r="G244" s="20">
        <v>48</v>
      </c>
      <c r="H244" s="75">
        <f t="shared" si="16"/>
        <v>316.22776601683796</v>
      </c>
      <c r="J244" s="77">
        <f t="shared" si="18"/>
        <v>10</v>
      </c>
      <c r="K244" s="20">
        <f t="shared" si="19"/>
        <v>48</v>
      </c>
      <c r="L244" s="78">
        <f t="shared" si="17"/>
        <v>17.782794100389228</v>
      </c>
    </row>
    <row r="245" spans="6:12" x14ac:dyDescent="0.25">
      <c r="F245" s="77">
        <v>100</v>
      </c>
      <c r="G245" s="20">
        <v>49</v>
      </c>
      <c r="H245" s="75">
        <f t="shared" si="16"/>
        <v>323.90426504390308</v>
      </c>
      <c r="J245" s="77">
        <f t="shared" si="18"/>
        <v>10</v>
      </c>
      <c r="K245" s="20">
        <f t="shared" si="19"/>
        <v>49</v>
      </c>
      <c r="L245" s="78">
        <f t="shared" si="17"/>
        <v>17.997340499193292</v>
      </c>
    </row>
    <row r="246" spans="6:12" x14ac:dyDescent="0.25">
      <c r="F246" s="77">
        <v>100</v>
      </c>
      <c r="G246" s="20">
        <v>50</v>
      </c>
      <c r="H246" s="75">
        <f t="shared" si="16"/>
        <v>331.76711278428581</v>
      </c>
      <c r="J246" s="77">
        <f t="shared" si="18"/>
        <v>10</v>
      </c>
      <c r="K246" s="20">
        <f t="shared" si="19"/>
        <v>50</v>
      </c>
      <c r="L246" s="78">
        <f t="shared" si="17"/>
        <v>18.214475363959451</v>
      </c>
    </row>
    <row r="247" spans="6:12" x14ac:dyDescent="0.25">
      <c r="F247" s="77">
        <v>100</v>
      </c>
      <c r="G247" s="20">
        <v>51</v>
      </c>
      <c r="H247" s="75">
        <f t="shared" si="16"/>
        <v>339.82083289425594</v>
      </c>
      <c r="J247" s="77">
        <f t="shared" si="18"/>
        <v>10</v>
      </c>
      <c r="K247" s="20">
        <f t="shared" si="19"/>
        <v>51</v>
      </c>
      <c r="L247" s="78">
        <f t="shared" si="17"/>
        <v>18.434229924091106</v>
      </c>
    </row>
    <row r="248" spans="6:12" x14ac:dyDescent="0.25">
      <c r="F248" s="77">
        <v>100</v>
      </c>
      <c r="G248" s="20">
        <v>52</v>
      </c>
      <c r="H248" s="75">
        <f t="shared" si="16"/>
        <v>348.07005884284104</v>
      </c>
      <c r="J248" s="77">
        <f t="shared" si="18"/>
        <v>10</v>
      </c>
      <c r="K248" s="20">
        <f t="shared" si="19"/>
        <v>52</v>
      </c>
      <c r="L248" s="78">
        <f t="shared" si="17"/>
        <v>18.656635785769122</v>
      </c>
    </row>
    <row r="249" spans="6:12" x14ac:dyDescent="0.25">
      <c r="F249" s="77">
        <v>100</v>
      </c>
      <c r="G249" s="20">
        <v>53</v>
      </c>
      <c r="H249" s="75">
        <f t="shared" si="16"/>
        <v>356.51953657755496</v>
      </c>
      <c r="J249" s="77">
        <f t="shared" si="18"/>
        <v>10</v>
      </c>
      <c r="K249" s="20">
        <f t="shared" si="19"/>
        <v>53</v>
      </c>
      <c r="L249" s="78">
        <f t="shared" si="17"/>
        <v>18.881724936497591</v>
      </c>
    </row>
    <row r="250" spans="6:12" x14ac:dyDescent="0.25">
      <c r="F250" s="77">
        <v>100</v>
      </c>
      <c r="G250" s="20">
        <v>54</v>
      </c>
      <c r="H250" s="75">
        <f t="shared" si="16"/>
        <v>365.17412725483774</v>
      </c>
      <c r="J250" s="77">
        <f t="shared" si="18"/>
        <v>10</v>
      </c>
      <c r="K250" s="20">
        <f t="shared" si="19"/>
        <v>54</v>
      </c>
      <c r="L250" s="78">
        <f t="shared" si="17"/>
        <v>19.109529749704407</v>
      </c>
    </row>
    <row r="251" spans="6:12" x14ac:dyDescent="0.25">
      <c r="F251" s="77">
        <v>100</v>
      </c>
      <c r="G251" s="20">
        <v>55</v>
      </c>
      <c r="H251" s="75">
        <f t="shared" si="16"/>
        <v>374.03881003677861</v>
      </c>
      <c r="J251" s="77">
        <f t="shared" si="18"/>
        <v>10</v>
      </c>
      <c r="K251" s="20">
        <f t="shared" si="19"/>
        <v>55</v>
      </c>
      <c r="L251" s="78">
        <f t="shared" si="17"/>
        <v>19.340082989397398</v>
      </c>
    </row>
    <row r="252" spans="6:12" x14ac:dyDescent="0.25">
      <c r="F252" s="77">
        <v>100</v>
      </c>
      <c r="G252" s="20">
        <v>56</v>
      </c>
      <c r="H252" s="75">
        <f t="shared" si="16"/>
        <v>383.11868495572884</v>
      </c>
      <c r="J252" s="77">
        <f t="shared" si="18"/>
        <v>10</v>
      </c>
      <c r="K252" s="20">
        <f t="shared" si="19"/>
        <v>56</v>
      </c>
      <c r="L252" s="78">
        <f t="shared" si="17"/>
        <v>19.573417814876603</v>
      </c>
    </row>
    <row r="253" spans="6:12" x14ac:dyDescent="0.25">
      <c r="F253" s="77">
        <v>100</v>
      </c>
      <c r="G253" s="20">
        <v>57</v>
      </c>
      <c r="H253" s="75">
        <f t="shared" si="16"/>
        <v>392.41897584845361</v>
      </c>
      <c r="J253" s="77">
        <f t="shared" si="18"/>
        <v>10</v>
      </c>
      <c r="K253" s="20">
        <f t="shared" si="19"/>
        <v>57</v>
      </c>
      <c r="L253" s="78">
        <f t="shared" si="17"/>
        <v>19.80956778550339</v>
      </c>
    </row>
    <row r="254" spans="6:12" x14ac:dyDescent="0.25">
      <c r="F254" s="77">
        <v>100</v>
      </c>
      <c r="G254" s="20">
        <v>58</v>
      </c>
      <c r="H254" s="75">
        <f t="shared" si="16"/>
        <v>401.94503336151257</v>
      </c>
      <c r="J254" s="77">
        <f t="shared" si="18"/>
        <v>10</v>
      </c>
      <c r="K254" s="20">
        <f t="shared" si="19"/>
        <v>58</v>
      </c>
      <c r="L254" s="78">
        <f t="shared" si="17"/>
        <v>20.048566865527135</v>
      </c>
    </row>
    <row r="255" spans="6:12" x14ac:dyDescent="0.25">
      <c r="F255" s="77">
        <v>100</v>
      </c>
      <c r="G255" s="20">
        <v>59</v>
      </c>
      <c r="H255" s="75">
        <f t="shared" si="16"/>
        <v>411.70233802959484</v>
      </c>
      <c r="J255" s="77">
        <f t="shared" si="18"/>
        <v>10</v>
      </c>
      <c r="K255" s="20">
        <f t="shared" si="19"/>
        <v>59</v>
      </c>
      <c r="L255" s="78">
        <f t="shared" si="17"/>
        <v>20.290449428970145</v>
      </c>
    </row>
    <row r="256" spans="6:12" x14ac:dyDescent="0.25">
      <c r="F256" s="77">
        <v>100</v>
      </c>
      <c r="G256" s="20">
        <v>60</v>
      </c>
      <c r="H256" s="75">
        <f t="shared" si="16"/>
        <v>421.69650342858233</v>
      </c>
      <c r="J256" s="77">
        <f t="shared" si="18"/>
        <v>10</v>
      </c>
      <c r="K256" s="20">
        <f t="shared" si="19"/>
        <v>60</v>
      </c>
      <c r="L256" s="78">
        <f t="shared" si="17"/>
        <v>20.535250264571463</v>
      </c>
    </row>
    <row r="257" spans="6:12" x14ac:dyDescent="0.25">
      <c r="F257" s="77">
        <v>100</v>
      </c>
      <c r="G257" s="20">
        <v>61</v>
      </c>
      <c r="H257" s="75">
        <f t="shared" si="16"/>
        <v>431.93327940515445</v>
      </c>
      <c r="J257" s="77">
        <f t="shared" si="18"/>
        <v>10</v>
      </c>
      <c r="K257" s="20">
        <f t="shared" si="19"/>
        <v>61</v>
      </c>
      <c r="L257" s="78">
        <f t="shared" si="17"/>
        <v>20.78300458079039</v>
      </c>
    </row>
    <row r="258" spans="6:12" x14ac:dyDescent="0.25">
      <c r="F258" s="77">
        <v>100</v>
      </c>
      <c r="G258" s="20">
        <v>62</v>
      </c>
      <c r="H258" s="75">
        <f t="shared" si="16"/>
        <v>442.41855538479183</v>
      </c>
      <c r="J258" s="77">
        <f t="shared" si="18"/>
        <v>10</v>
      </c>
      <c r="K258" s="20">
        <f t="shared" si="19"/>
        <v>62</v>
      </c>
      <c r="L258" s="78">
        <f t="shared" si="17"/>
        <v>21.033748010870337</v>
      </c>
    </row>
    <row r="259" spans="6:12" x14ac:dyDescent="0.25">
      <c r="F259" s="77">
        <v>100</v>
      </c>
      <c r="G259" s="20">
        <v>63</v>
      </c>
      <c r="H259" s="75">
        <f t="shared" si="16"/>
        <v>453.1583637600819</v>
      </c>
      <c r="J259" s="77">
        <f t="shared" si="18"/>
        <v>10</v>
      </c>
      <c r="K259" s="20">
        <f t="shared" si="19"/>
        <v>63</v>
      </c>
      <c r="L259" s="78">
        <f t="shared" si="17"/>
        <v>21.287516617963725</v>
      </c>
    </row>
    <row r="260" spans="6:12" x14ac:dyDescent="0.25">
      <c r="F260" s="77">
        <v>100</v>
      </c>
      <c r="G260" s="20">
        <v>64</v>
      </c>
      <c r="H260" s="75">
        <f t="shared" ref="H260:H323" si="20">F260*10^(G260/96)</f>
        <v>464.15888336127796</v>
      </c>
      <c r="J260" s="77">
        <f t="shared" si="18"/>
        <v>10</v>
      </c>
      <c r="K260" s="20">
        <f t="shared" si="19"/>
        <v>64</v>
      </c>
      <c r="L260" s="78">
        <f t="shared" si="17"/>
        <v>21.544346900318839</v>
      </c>
    </row>
    <row r="261" spans="6:12" x14ac:dyDescent="0.25">
      <c r="F261" s="77">
        <v>100</v>
      </c>
      <c r="G261" s="20">
        <v>65</v>
      </c>
      <c r="H261" s="75">
        <f t="shared" si="20"/>
        <v>475.42644301110568</v>
      </c>
      <c r="J261" s="77">
        <f t="shared" si="18"/>
        <v>10</v>
      </c>
      <c r="K261" s="20">
        <f t="shared" si="19"/>
        <v>65</v>
      </c>
      <c r="L261" s="78">
        <f t="shared" ref="L261:L324" si="21">J261*10^(K261/192)</f>
        <v>21.804275796529122</v>
      </c>
    </row>
    <row r="262" spans="6:12" x14ac:dyDescent="0.25">
      <c r="F262" s="77">
        <v>100</v>
      </c>
      <c r="G262" s="20">
        <v>66</v>
      </c>
      <c r="H262" s="75">
        <f t="shared" si="20"/>
        <v>486.96752516586315</v>
      </c>
      <c r="J262" s="77">
        <f t="shared" ref="J262:J325" si="22">J69*10</f>
        <v>10</v>
      </c>
      <c r="K262" s="20">
        <f t="shared" ref="K262:K325" si="23">K261+1</f>
        <v>66</v>
      </c>
      <c r="L262" s="78">
        <f t="shared" si="21"/>
        <v>22.067340690845899</v>
      </c>
    </row>
    <row r="263" spans="6:12" x14ac:dyDescent="0.25">
      <c r="F263" s="77">
        <v>100</v>
      </c>
      <c r="G263" s="20">
        <v>67</v>
      </c>
      <c r="H263" s="75">
        <f t="shared" si="20"/>
        <v>498.78876964491059</v>
      </c>
      <c r="J263" s="77">
        <f t="shared" si="22"/>
        <v>10</v>
      </c>
      <c r="K263" s="20">
        <f t="shared" si="23"/>
        <v>67</v>
      </c>
      <c r="L263" s="78">
        <f t="shared" si="21"/>
        <v>22.333579418555161</v>
      </c>
    </row>
    <row r="264" spans="6:12" x14ac:dyDescent="0.25">
      <c r="F264" s="77">
        <v>100</v>
      </c>
      <c r="G264" s="20">
        <v>68</v>
      </c>
      <c r="H264" s="75">
        <f t="shared" si="20"/>
        <v>510.89697745069287</v>
      </c>
      <c r="J264" s="77">
        <f t="shared" si="22"/>
        <v>10</v>
      </c>
      <c r="K264" s="20">
        <f t="shared" si="23"/>
        <v>68</v>
      </c>
      <c r="L264" s="78">
        <f t="shared" si="21"/>
        <v>22.6030302714192</v>
      </c>
    </row>
    <row r="265" spans="6:12" x14ac:dyDescent="0.25">
      <c r="F265" s="77">
        <v>100</v>
      </c>
      <c r="G265" s="20">
        <v>69</v>
      </c>
      <c r="H265" s="75">
        <f t="shared" si="20"/>
        <v>523.29911468149476</v>
      </c>
      <c r="J265" s="77">
        <f t="shared" si="22"/>
        <v>10</v>
      </c>
      <c r="K265" s="20">
        <f t="shared" si="23"/>
        <v>69</v>
      </c>
      <c r="L265" s="78">
        <f t="shared" si="21"/>
        <v>22.875732003183963</v>
      </c>
    </row>
    <row r="266" spans="6:12" x14ac:dyDescent="0.25">
      <c r="F266" s="77">
        <v>100</v>
      </c>
      <c r="G266" s="20">
        <v>70</v>
      </c>
      <c r="H266" s="75">
        <f t="shared" si="20"/>
        <v>536.00231653917922</v>
      </c>
      <c r="J266" s="77">
        <f t="shared" si="22"/>
        <v>10</v>
      </c>
      <c r="K266" s="20">
        <f t="shared" si="23"/>
        <v>70</v>
      </c>
      <c r="L266" s="78">
        <f t="shared" si="21"/>
        <v>23.151723835152733</v>
      </c>
    </row>
    <row r="267" spans="6:12" x14ac:dyDescent="0.25">
      <c r="F267" s="77">
        <v>100</v>
      </c>
      <c r="G267" s="20">
        <v>71</v>
      </c>
      <c r="H267" s="75">
        <f t="shared" si="20"/>
        <v>549.0138914342142</v>
      </c>
      <c r="J267" s="77">
        <f t="shared" si="22"/>
        <v>10</v>
      </c>
      <c r="K267" s="20">
        <f t="shared" si="23"/>
        <v>71</v>
      </c>
      <c r="L267" s="78">
        <f t="shared" si="21"/>
        <v>23.431045461827225</v>
      </c>
    </row>
    <row r="268" spans="6:12" x14ac:dyDescent="0.25">
      <c r="F268" s="77">
        <v>100</v>
      </c>
      <c r="G268" s="20">
        <v>72</v>
      </c>
      <c r="H268" s="75">
        <f t="shared" si="20"/>
        <v>562.34132519034915</v>
      </c>
      <c r="J268" s="77">
        <f t="shared" si="22"/>
        <v>10</v>
      </c>
      <c r="K268" s="20">
        <f t="shared" si="23"/>
        <v>72</v>
      </c>
      <c r="L268" s="78">
        <f t="shared" si="21"/>
        <v>23.713737056616555</v>
      </c>
    </row>
    <row r="269" spans="6:12" x14ac:dyDescent="0.25">
      <c r="F269" s="77">
        <v>100</v>
      </c>
      <c r="G269" s="20">
        <v>73</v>
      </c>
      <c r="H269" s="75">
        <f t="shared" si="20"/>
        <v>575.99228535136285</v>
      </c>
      <c r="J269" s="77">
        <f t="shared" si="22"/>
        <v>10</v>
      </c>
      <c r="K269" s="20">
        <f t="shared" si="23"/>
        <v>73</v>
      </c>
      <c r="L269" s="78">
        <f t="shared" si="21"/>
        <v>23.999839277615234</v>
      </c>
    </row>
    <row r="270" spans="6:12" x14ac:dyDescent="0.25">
      <c r="F270" s="77">
        <v>100</v>
      </c>
      <c r="G270" s="20">
        <v>74</v>
      </c>
      <c r="H270" s="75">
        <f t="shared" si="20"/>
        <v>589.97462559235657</v>
      </c>
      <c r="J270" s="77">
        <f t="shared" si="22"/>
        <v>10</v>
      </c>
      <c r="K270" s="20">
        <f t="shared" si="23"/>
        <v>74</v>
      </c>
      <c r="L270" s="78">
        <f t="shared" si="21"/>
        <v>24.289393273450791</v>
      </c>
    </row>
    <row r="271" spans="6:12" x14ac:dyDescent="0.25">
      <c r="F271" s="77">
        <v>100</v>
      </c>
      <c r="G271" s="20">
        <v>75</v>
      </c>
      <c r="H271" s="75">
        <f t="shared" si="20"/>
        <v>604.29639023813286</v>
      </c>
      <c r="J271" s="77">
        <f t="shared" si="22"/>
        <v>10</v>
      </c>
      <c r="K271" s="20">
        <f t="shared" si="23"/>
        <v>75</v>
      </c>
      <c r="L271" s="78">
        <f t="shared" si="21"/>
        <v>24.582440689201977</v>
      </c>
    </row>
    <row r="272" spans="6:12" x14ac:dyDescent="0.25">
      <c r="F272" s="77">
        <v>100</v>
      </c>
      <c r="G272" s="20">
        <v>76</v>
      </c>
      <c r="H272" s="75">
        <f t="shared" si="20"/>
        <v>618.9658188912606</v>
      </c>
      <c r="J272" s="77">
        <f t="shared" si="22"/>
        <v>10</v>
      </c>
      <c r="K272" s="20">
        <f t="shared" si="23"/>
        <v>76</v>
      </c>
      <c r="L272" s="78">
        <f t="shared" si="21"/>
        <v>24.879023672388364</v>
      </c>
    </row>
    <row r="273" spans="6:12" x14ac:dyDescent="0.25">
      <c r="F273" s="77">
        <v>100</v>
      </c>
      <c r="G273" s="20">
        <v>77</v>
      </c>
      <c r="H273" s="75">
        <f t="shared" si="20"/>
        <v>633.99135117248454</v>
      </c>
      <c r="J273" s="77">
        <f t="shared" si="22"/>
        <v>10</v>
      </c>
      <c r="K273" s="20">
        <f t="shared" si="23"/>
        <v>77</v>
      </c>
      <c r="L273" s="78">
        <f t="shared" si="21"/>
        <v>25.179184879032217</v>
      </c>
    </row>
    <row r="274" spans="6:12" x14ac:dyDescent="0.25">
      <c r="F274" s="77">
        <v>100</v>
      </c>
      <c r="G274" s="20">
        <v>78</v>
      </c>
      <c r="H274" s="75">
        <f t="shared" si="20"/>
        <v>649.38163157621148</v>
      </c>
      <c r="J274" s="77">
        <f t="shared" si="22"/>
        <v>10</v>
      </c>
      <c r="K274" s="20">
        <f t="shared" si="23"/>
        <v>78</v>
      </c>
      <c r="L274" s="78">
        <f t="shared" si="21"/>
        <v>25.482967479793469</v>
      </c>
    </row>
    <row r="275" spans="6:12" x14ac:dyDescent="0.25">
      <c r="F275" s="77">
        <v>100</v>
      </c>
      <c r="G275" s="20">
        <v>79</v>
      </c>
      <c r="H275" s="75">
        <f t="shared" si="20"/>
        <v>665.14551444386336</v>
      </c>
      <c r="J275" s="77">
        <f t="shared" si="22"/>
        <v>10</v>
      </c>
      <c r="K275" s="20">
        <f t="shared" si="23"/>
        <v>79</v>
      </c>
      <c r="L275" s="78">
        <f t="shared" si="21"/>
        <v>25.790415166178761</v>
      </c>
    </row>
    <row r="276" spans="6:12" x14ac:dyDescent="0.25">
      <c r="F276" s="77">
        <v>100</v>
      </c>
      <c r="G276" s="20">
        <v>80</v>
      </c>
      <c r="H276" s="75">
        <f t="shared" si="20"/>
        <v>681.29206905796138</v>
      </c>
      <c r="J276" s="77">
        <f t="shared" si="22"/>
        <v>10</v>
      </c>
      <c r="K276" s="20">
        <f t="shared" si="23"/>
        <v>80</v>
      </c>
      <c r="L276" s="78">
        <f t="shared" si="21"/>
        <v>26.101572156825373</v>
      </c>
    </row>
    <row r="277" spans="6:12" x14ac:dyDescent="0.25">
      <c r="F277" s="77">
        <v>100</v>
      </c>
      <c r="G277" s="20">
        <v>81</v>
      </c>
      <c r="H277" s="75">
        <f t="shared" si="20"/>
        <v>697.83058485986646</v>
      </c>
      <c r="J277" s="77">
        <f t="shared" si="22"/>
        <v>10</v>
      </c>
      <c r="K277" s="20">
        <f t="shared" si="23"/>
        <v>81</v>
      </c>
      <c r="L277" s="78">
        <f t="shared" si="21"/>
        <v>26.416483203860928</v>
      </c>
    </row>
    <row r="278" spans="6:12" x14ac:dyDescent="0.25">
      <c r="F278" s="77">
        <v>100</v>
      </c>
      <c r="G278" s="20">
        <v>82</v>
      </c>
      <c r="H278" s="75">
        <f t="shared" si="20"/>
        <v>714.77057679418567</v>
      </c>
      <c r="J278" s="77">
        <f t="shared" si="22"/>
        <v>10</v>
      </c>
      <c r="K278" s="20">
        <f t="shared" si="23"/>
        <v>82</v>
      </c>
      <c r="L278" s="78">
        <f t="shared" si="21"/>
        <v>26.735193599339908</v>
      </c>
    </row>
    <row r="279" spans="6:12" x14ac:dyDescent="0.25">
      <c r="F279" s="77">
        <v>100</v>
      </c>
      <c r="G279" s="20">
        <v>83</v>
      </c>
      <c r="H279" s="75">
        <f t="shared" si="20"/>
        <v>732.12179078291308</v>
      </c>
      <c r="J279" s="77">
        <f t="shared" si="22"/>
        <v>10</v>
      </c>
      <c r="K279" s="20">
        <f t="shared" si="23"/>
        <v>83</v>
      </c>
      <c r="L279" s="78">
        <f t="shared" si="21"/>
        <v>27.057749181757767</v>
      </c>
    </row>
    <row r="280" spans="6:12" x14ac:dyDescent="0.25">
      <c r="F280" s="77">
        <v>100</v>
      </c>
      <c r="G280" s="20">
        <v>84</v>
      </c>
      <c r="H280" s="75">
        <f t="shared" si="20"/>
        <v>749.89420933245594</v>
      </c>
      <c r="J280" s="77">
        <f t="shared" si="22"/>
        <v>10</v>
      </c>
      <c r="K280" s="20">
        <f t="shared" si="23"/>
        <v>84</v>
      </c>
      <c r="L280" s="78">
        <f t="shared" si="21"/>
        <v>27.384196342643612</v>
      </c>
    </row>
    <row r="281" spans="6:12" x14ac:dyDescent="0.25">
      <c r="F281" s="77">
        <v>100</v>
      </c>
      <c r="G281" s="20">
        <v>85</v>
      </c>
      <c r="H281" s="75">
        <f t="shared" si="20"/>
        <v>768.09805727677553</v>
      </c>
      <c r="J281" s="77">
        <f t="shared" si="22"/>
        <v>10</v>
      </c>
      <c r="K281" s="20">
        <f t="shared" si="23"/>
        <v>85</v>
      </c>
      <c r="L281" s="78">
        <f t="shared" si="21"/>
        <v>27.714582033232531</v>
      </c>
    </row>
    <row r="282" spans="6:12" x14ac:dyDescent="0.25">
      <c r="F282" s="77">
        <v>100</v>
      </c>
      <c r="G282" s="20">
        <v>86</v>
      </c>
      <c r="H282" s="75">
        <f t="shared" si="20"/>
        <v>786.74380765994033</v>
      </c>
      <c r="J282" s="77">
        <f t="shared" si="22"/>
        <v>10</v>
      </c>
      <c r="K282" s="20">
        <f t="shared" si="23"/>
        <v>86</v>
      </c>
      <c r="L282" s="78">
        <f t="shared" si="21"/>
        <v>28.048953771218279</v>
      </c>
    </row>
    <row r="283" spans="6:12" x14ac:dyDescent="0.25">
      <c r="F283" s="77">
        <v>100</v>
      </c>
      <c r="G283" s="20">
        <v>87</v>
      </c>
      <c r="H283" s="75">
        <f t="shared" si="20"/>
        <v>805.84218776148191</v>
      </c>
      <c r="J283" s="77">
        <f t="shared" si="22"/>
        <v>10</v>
      </c>
      <c r="K283" s="20">
        <f t="shared" si="23"/>
        <v>87</v>
      </c>
      <c r="L283" s="78">
        <f t="shared" si="21"/>
        <v>28.387359647587548</v>
      </c>
    </row>
    <row r="284" spans="6:12" x14ac:dyDescent="0.25">
      <c r="F284" s="77">
        <v>100</v>
      </c>
      <c r="G284" s="20">
        <v>88</v>
      </c>
      <c r="H284" s="75">
        <f t="shared" si="20"/>
        <v>825.4041852680183</v>
      </c>
      <c r="J284" s="77">
        <f t="shared" si="22"/>
        <v>10</v>
      </c>
      <c r="K284" s="20">
        <f t="shared" si="23"/>
        <v>88</v>
      </c>
      <c r="L284" s="78">
        <f t="shared" si="21"/>
        <v>28.729848333536644</v>
      </c>
    </row>
    <row r="285" spans="6:12" x14ac:dyDescent="0.25">
      <c r="F285" s="77">
        <v>100</v>
      </c>
      <c r="G285" s="20">
        <v>89</v>
      </c>
      <c r="H285" s="75">
        <f t="shared" si="20"/>
        <v>845.44105459469245</v>
      </c>
      <c r="J285" s="77">
        <f t="shared" si="22"/>
        <v>10</v>
      </c>
      <c r="K285" s="20">
        <f t="shared" si="23"/>
        <v>89</v>
      </c>
      <c r="L285" s="78">
        <f t="shared" si="21"/>
        <v>29.076469087471615</v>
      </c>
    </row>
    <row r="286" spans="6:12" x14ac:dyDescent="0.25">
      <c r="F286" s="77">
        <v>100</v>
      </c>
      <c r="G286" s="20">
        <v>90</v>
      </c>
      <c r="H286" s="75">
        <f t="shared" si="20"/>
        <v>865.96432336006558</v>
      </c>
      <c r="J286" s="77">
        <f t="shared" si="22"/>
        <v>10</v>
      </c>
      <c r="K286" s="20">
        <f t="shared" si="23"/>
        <v>90</v>
      </c>
      <c r="L286" s="78">
        <f t="shared" si="21"/>
        <v>29.427271762092822</v>
      </c>
    </row>
    <row r="287" spans="6:12" x14ac:dyDescent="0.25">
      <c r="F287" s="77">
        <v>100</v>
      </c>
      <c r="G287" s="20">
        <v>91</v>
      </c>
      <c r="H287" s="75">
        <f t="shared" si="20"/>
        <v>886.98579901819187</v>
      </c>
      <c r="J287" s="77">
        <f t="shared" si="22"/>
        <v>10</v>
      </c>
      <c r="K287" s="20">
        <f t="shared" si="23"/>
        <v>91</v>
      </c>
      <c r="L287" s="78">
        <f t="shared" si="21"/>
        <v>29.782306811565014</v>
      </c>
    </row>
    <row r="288" spans="6:12" x14ac:dyDescent="0.25">
      <c r="F288" s="77">
        <v>100</v>
      </c>
      <c r="G288" s="20">
        <v>92</v>
      </c>
      <c r="H288" s="75">
        <f t="shared" si="20"/>
        <v>908.51757565168703</v>
      </c>
      <c r="J288" s="77">
        <f t="shared" si="22"/>
        <v>10</v>
      </c>
      <c r="K288" s="20">
        <f t="shared" si="23"/>
        <v>92</v>
      </c>
      <c r="L288" s="78">
        <f t="shared" si="21"/>
        <v>30.141625298773906</v>
      </c>
    </row>
    <row r="289" spans="6:12" x14ac:dyDescent="0.25">
      <c r="F289" s="77">
        <v>100</v>
      </c>
      <c r="G289" s="20">
        <v>93</v>
      </c>
      <c r="H289" s="75">
        <f t="shared" si="20"/>
        <v>930.57204092969903</v>
      </c>
      <c r="J289" s="77">
        <f t="shared" si="22"/>
        <v>10</v>
      </c>
      <c r="K289" s="20">
        <f t="shared" si="23"/>
        <v>93</v>
      </c>
      <c r="L289" s="78">
        <f t="shared" si="21"/>
        <v>30.505278902670256</v>
      </c>
    </row>
    <row r="290" spans="6:12" x14ac:dyDescent="0.25">
      <c r="F290" s="77">
        <v>100</v>
      </c>
      <c r="G290" s="20">
        <v>94</v>
      </c>
      <c r="H290" s="75">
        <f t="shared" si="20"/>
        <v>953.16188323478775</v>
      </c>
      <c r="J290" s="77">
        <f t="shared" si="22"/>
        <v>10</v>
      </c>
      <c r="K290" s="20">
        <f t="shared" si="23"/>
        <v>94</v>
      </c>
      <c r="L290" s="78">
        <f t="shared" si="21"/>
        <v>30.873319925702638</v>
      </c>
    </row>
    <row r="291" spans="6:12" x14ac:dyDescent="0.25">
      <c r="F291" s="77">
        <v>100</v>
      </c>
      <c r="G291" s="20">
        <v>95</v>
      </c>
      <c r="H291" s="75">
        <f t="shared" si="20"/>
        <v>976.30009896280785</v>
      </c>
      <c r="J291" s="77">
        <f t="shared" si="22"/>
        <v>10</v>
      </c>
      <c r="K291" s="20">
        <f t="shared" si="23"/>
        <v>95</v>
      </c>
      <c r="L291" s="78">
        <f t="shared" si="21"/>
        <v>31.245801301339799</v>
      </c>
    </row>
    <row r="292" spans="6:12" x14ac:dyDescent="0.25">
      <c r="F292" s="77">
        <v>100</v>
      </c>
      <c r="G292" s="20">
        <v>96</v>
      </c>
      <c r="H292" s="75">
        <f t="shared" si="20"/>
        <v>1000</v>
      </c>
      <c r="J292" s="77">
        <f t="shared" si="22"/>
        <v>10</v>
      </c>
      <c r="K292" s="20">
        <f t="shared" si="23"/>
        <v>96</v>
      </c>
      <c r="L292" s="78">
        <f t="shared" si="21"/>
        <v>31.622776601683796</v>
      </c>
    </row>
    <row r="293" spans="6:12" x14ac:dyDescent="0.25">
      <c r="F293" s="77">
        <f>F197*10</f>
        <v>1000</v>
      </c>
      <c r="G293" s="20">
        <v>1</v>
      </c>
      <c r="H293" s="75">
        <f t="shared" si="20"/>
        <v>1024.2752213815922</v>
      </c>
      <c r="J293" s="77">
        <f t="shared" si="22"/>
        <v>10</v>
      </c>
      <c r="K293" s="20">
        <f t="shared" si="23"/>
        <v>97</v>
      </c>
      <c r="L293" s="78">
        <f t="shared" si="21"/>
        <v>32.004300045175064</v>
      </c>
    </row>
    <row r="294" spans="6:12" x14ac:dyDescent="0.25">
      <c r="F294" s="77">
        <f t="shared" ref="F294:F357" si="24">F198*10</f>
        <v>1000</v>
      </c>
      <c r="G294" s="20">
        <v>2</v>
      </c>
      <c r="H294" s="75">
        <f t="shared" si="20"/>
        <v>1049.1397291363098</v>
      </c>
      <c r="J294" s="77">
        <f t="shared" si="22"/>
        <v>10</v>
      </c>
      <c r="K294" s="20">
        <f t="shared" si="23"/>
        <v>98</v>
      </c>
      <c r="L294" s="78">
        <f t="shared" si="21"/>
        <v>32.390426504390305</v>
      </c>
    </row>
    <row r="295" spans="6:12" x14ac:dyDescent="0.25">
      <c r="F295" s="77">
        <f t="shared" si="24"/>
        <v>1000</v>
      </c>
      <c r="G295" s="20">
        <v>3</v>
      </c>
      <c r="H295" s="75">
        <f t="shared" si="20"/>
        <v>1074.6078283213174</v>
      </c>
      <c r="J295" s="77">
        <f t="shared" si="22"/>
        <v>10</v>
      </c>
      <c r="K295" s="20">
        <f t="shared" si="23"/>
        <v>99</v>
      </c>
      <c r="L295" s="78">
        <f t="shared" si="21"/>
        <v>32.781211513934593</v>
      </c>
    </row>
    <row r="296" spans="6:12" x14ac:dyDescent="0.25">
      <c r="F296" s="77">
        <f t="shared" si="24"/>
        <v>1000</v>
      </c>
      <c r="G296" s="20">
        <v>4</v>
      </c>
      <c r="H296" s="75">
        <f t="shared" si="20"/>
        <v>1100.6941712522096</v>
      </c>
      <c r="J296" s="77">
        <f t="shared" si="22"/>
        <v>10</v>
      </c>
      <c r="K296" s="20">
        <f t="shared" si="23"/>
        <v>100</v>
      </c>
      <c r="L296" s="78">
        <f t="shared" si="21"/>
        <v>33.176711278428577</v>
      </c>
    </row>
    <row r="297" spans="6:12" x14ac:dyDescent="0.25">
      <c r="F297" s="77">
        <f t="shared" si="24"/>
        <v>1000</v>
      </c>
      <c r="G297" s="20">
        <v>5</v>
      </c>
      <c r="H297" s="75">
        <f t="shared" si="20"/>
        <v>1127.4137659327853</v>
      </c>
      <c r="J297" s="77">
        <f t="shared" si="22"/>
        <v>10</v>
      </c>
      <c r="K297" s="20">
        <f t="shared" si="23"/>
        <v>101</v>
      </c>
      <c r="L297" s="78">
        <f t="shared" si="21"/>
        <v>33.576982680592153</v>
      </c>
    </row>
    <row r="298" spans="6:12" x14ac:dyDescent="0.25">
      <c r="F298" s="77">
        <f t="shared" si="24"/>
        <v>1000</v>
      </c>
      <c r="G298" s="20">
        <v>6</v>
      </c>
      <c r="H298" s="75">
        <f t="shared" si="20"/>
        <v>1154.7819846894583</v>
      </c>
      <c r="J298" s="77">
        <f t="shared" si="22"/>
        <v>10</v>
      </c>
      <c r="K298" s="20">
        <f t="shared" si="23"/>
        <v>102</v>
      </c>
      <c r="L298" s="78">
        <f t="shared" si="21"/>
        <v>33.982083289425596</v>
      </c>
    </row>
    <row r="299" spans="6:12" x14ac:dyDescent="0.25">
      <c r="F299" s="77">
        <f t="shared" si="24"/>
        <v>1000</v>
      </c>
      <c r="G299" s="20">
        <v>7</v>
      </c>
      <c r="H299" s="75">
        <f t="shared" si="20"/>
        <v>1182.8145730152692</v>
      </c>
      <c r="J299" s="77">
        <f t="shared" si="22"/>
        <v>10</v>
      </c>
      <c r="K299" s="20">
        <f t="shared" si="23"/>
        <v>103</v>
      </c>
      <c r="L299" s="78">
        <f t="shared" si="21"/>
        <v>34.392071368489418</v>
      </c>
    </row>
    <row r="300" spans="6:12" x14ac:dyDescent="0.25">
      <c r="F300" s="77">
        <f t="shared" si="24"/>
        <v>1000</v>
      </c>
      <c r="G300" s="20">
        <v>8</v>
      </c>
      <c r="H300" s="75">
        <f t="shared" si="20"/>
        <v>1211.5276586285886</v>
      </c>
      <c r="J300" s="77">
        <f t="shared" si="22"/>
        <v>10</v>
      </c>
      <c r="K300" s="20">
        <f t="shared" si="23"/>
        <v>104</v>
      </c>
      <c r="L300" s="78">
        <f t="shared" si="21"/>
        <v>34.807005884284109</v>
      </c>
    </row>
    <row r="301" spans="6:12" x14ac:dyDescent="0.25">
      <c r="F301" s="77">
        <f t="shared" si="24"/>
        <v>1000</v>
      </c>
      <c r="G301" s="20">
        <v>9</v>
      </c>
      <c r="H301" s="75">
        <f t="shared" si="20"/>
        <v>1240.9377607517197</v>
      </c>
      <c r="J301" s="77">
        <f t="shared" si="22"/>
        <v>10</v>
      </c>
      <c r="K301" s="20">
        <f t="shared" si="23"/>
        <v>105</v>
      </c>
      <c r="L301" s="78">
        <f t="shared" si="21"/>
        <v>35.226946514731019</v>
      </c>
    </row>
    <row r="302" spans="6:12" x14ac:dyDescent="0.25">
      <c r="F302" s="77">
        <f t="shared" si="24"/>
        <v>1000</v>
      </c>
      <c r="G302" s="20">
        <v>10</v>
      </c>
      <c r="H302" s="75">
        <f t="shared" si="20"/>
        <v>1271.0617996147448</v>
      </c>
      <c r="J302" s="77">
        <f t="shared" si="22"/>
        <v>10</v>
      </c>
      <c r="K302" s="20">
        <f t="shared" si="23"/>
        <v>106</v>
      </c>
      <c r="L302" s="78">
        <f t="shared" si="21"/>
        <v>35.651953657755499</v>
      </c>
    </row>
    <row r="303" spans="6:12" x14ac:dyDescent="0.25">
      <c r="F303" s="77">
        <f t="shared" si="24"/>
        <v>1000</v>
      </c>
      <c r="G303" s="20">
        <v>11</v>
      </c>
      <c r="H303" s="75">
        <f t="shared" si="20"/>
        <v>1301.9171061900779</v>
      </c>
      <c r="J303" s="77">
        <f t="shared" si="22"/>
        <v>10</v>
      </c>
      <c r="K303" s="20">
        <f t="shared" si="23"/>
        <v>107</v>
      </c>
      <c r="L303" s="78">
        <f t="shared" si="21"/>
        <v>36.082088439973617</v>
      </c>
    </row>
    <row r="304" spans="6:12" x14ac:dyDescent="0.25">
      <c r="F304" s="77">
        <f t="shared" si="24"/>
        <v>1000</v>
      </c>
      <c r="G304" s="20">
        <v>12</v>
      </c>
      <c r="H304" s="75">
        <f t="shared" si="20"/>
        <v>1333.5214321633239</v>
      </c>
      <c r="J304" s="77">
        <f t="shared" si="22"/>
        <v>10</v>
      </c>
      <c r="K304" s="20">
        <f t="shared" si="23"/>
        <v>108</v>
      </c>
      <c r="L304" s="78">
        <f t="shared" si="21"/>
        <v>36.517412725483773</v>
      </c>
    </row>
    <row r="305" spans="6:12" x14ac:dyDescent="0.25">
      <c r="F305" s="77">
        <f t="shared" si="24"/>
        <v>1000</v>
      </c>
      <c r="G305" s="20">
        <v>13</v>
      </c>
      <c r="H305" s="75">
        <f t="shared" si="20"/>
        <v>1365.8929601461866</v>
      </c>
      <c r="J305" s="77">
        <f t="shared" si="22"/>
        <v>10</v>
      </c>
      <c r="K305" s="20">
        <f t="shared" si="23"/>
        <v>109</v>
      </c>
      <c r="L305" s="78">
        <f t="shared" si="21"/>
        <v>36.957989124764183</v>
      </c>
    </row>
    <row r="306" spans="6:12" x14ac:dyDescent="0.25">
      <c r="F306" s="77">
        <f t="shared" si="24"/>
        <v>1000</v>
      </c>
      <c r="G306" s="20">
        <v>14</v>
      </c>
      <c r="H306" s="75">
        <f t="shared" si="20"/>
        <v>1399.0503141372938</v>
      </c>
      <c r="J306" s="77">
        <f t="shared" si="22"/>
        <v>10</v>
      </c>
      <c r="K306" s="20">
        <f t="shared" si="23"/>
        <v>110</v>
      </c>
      <c r="L306" s="78">
        <f t="shared" si="21"/>
        <v>37.40388100367786</v>
      </c>
    </row>
    <row r="307" spans="6:12" x14ac:dyDescent="0.25">
      <c r="F307" s="77">
        <f t="shared" si="24"/>
        <v>1000</v>
      </c>
      <c r="G307" s="20">
        <v>15</v>
      </c>
      <c r="H307" s="75">
        <f t="shared" si="20"/>
        <v>1433.012570236963</v>
      </c>
      <c r="J307" s="77">
        <f t="shared" si="22"/>
        <v>10</v>
      </c>
      <c r="K307" s="20">
        <f t="shared" si="23"/>
        <v>111</v>
      </c>
      <c r="L307" s="78">
        <f t="shared" si="21"/>
        <v>37.855152492586299</v>
      </c>
    </row>
    <row r="308" spans="6:12" x14ac:dyDescent="0.25">
      <c r="F308" s="77">
        <f t="shared" si="24"/>
        <v>1000</v>
      </c>
      <c r="G308" s="20">
        <v>16</v>
      </c>
      <c r="H308" s="75">
        <f t="shared" si="20"/>
        <v>1467.7992676220697</v>
      </c>
      <c r="J308" s="77">
        <f t="shared" si="22"/>
        <v>10</v>
      </c>
      <c r="K308" s="20">
        <f t="shared" si="23"/>
        <v>112</v>
      </c>
      <c r="L308" s="78">
        <f t="shared" si="21"/>
        <v>38.311868495572881</v>
      </c>
    </row>
    <row r="309" spans="6:12" x14ac:dyDescent="0.25">
      <c r="F309" s="77">
        <f t="shared" si="24"/>
        <v>1000</v>
      </c>
      <c r="G309" s="20">
        <v>17</v>
      </c>
      <c r="H309" s="75">
        <f t="shared" si="20"/>
        <v>1503.4304197873344</v>
      </c>
      <c r="J309" s="77">
        <f t="shared" si="22"/>
        <v>10</v>
      </c>
      <c r="K309" s="20">
        <f t="shared" si="23"/>
        <v>113</v>
      </c>
      <c r="L309" s="78">
        <f t="shared" si="21"/>
        <v>38.77409469977777</v>
      </c>
    </row>
    <row r="310" spans="6:12" x14ac:dyDescent="0.25">
      <c r="F310" s="77">
        <f t="shared" si="24"/>
        <v>1000</v>
      </c>
      <c r="G310" s="20">
        <v>18</v>
      </c>
      <c r="H310" s="75">
        <f t="shared" si="20"/>
        <v>1539.9265260594921</v>
      </c>
      <c r="J310" s="77">
        <f t="shared" si="22"/>
        <v>10</v>
      </c>
      <c r="K310" s="20">
        <f t="shared" si="23"/>
        <v>114</v>
      </c>
      <c r="L310" s="78">
        <f t="shared" si="21"/>
        <v>39.241897584845361</v>
      </c>
    </row>
    <row r="311" spans="6:12" x14ac:dyDescent="0.25">
      <c r="F311" s="77">
        <f t="shared" si="24"/>
        <v>1000</v>
      </c>
      <c r="G311" s="20">
        <v>19</v>
      </c>
      <c r="H311" s="75">
        <f t="shared" si="20"/>
        <v>1577.3085833909727</v>
      </c>
      <c r="J311" s="77">
        <f t="shared" si="22"/>
        <v>10</v>
      </c>
      <c r="K311" s="20">
        <f t="shared" si="23"/>
        <v>115</v>
      </c>
      <c r="L311" s="78">
        <f t="shared" si="21"/>
        <v>39.715344432485708</v>
      </c>
    </row>
    <row r="312" spans="6:12" x14ac:dyDescent="0.25">
      <c r="F312" s="77">
        <f t="shared" si="24"/>
        <v>1000</v>
      </c>
      <c r="G312" s="20">
        <v>20</v>
      </c>
      <c r="H312" s="75">
        <f t="shared" si="20"/>
        <v>1615.5980984398741</v>
      </c>
      <c r="J312" s="77">
        <f t="shared" si="22"/>
        <v>10</v>
      </c>
      <c r="K312" s="20">
        <f t="shared" si="23"/>
        <v>116</v>
      </c>
      <c r="L312" s="78">
        <f t="shared" si="21"/>
        <v>40.194503336151257</v>
      </c>
    </row>
    <row r="313" spans="6:12" x14ac:dyDescent="0.25">
      <c r="F313" s="77">
        <f t="shared" si="24"/>
        <v>1000</v>
      </c>
      <c r="G313" s="20">
        <v>21</v>
      </c>
      <c r="H313" s="75">
        <f t="shared" si="20"/>
        <v>1654.8170999431816</v>
      </c>
      <c r="J313" s="77">
        <f t="shared" si="22"/>
        <v>10</v>
      </c>
      <c r="K313" s="20">
        <f t="shared" si="23"/>
        <v>117</v>
      </c>
      <c r="L313" s="78">
        <f t="shared" si="21"/>
        <v>40.679443210830478</v>
      </c>
    </row>
    <row r="314" spans="6:12" x14ac:dyDescent="0.25">
      <c r="F314" s="77">
        <f t="shared" si="24"/>
        <v>1000</v>
      </c>
      <c r="G314" s="20">
        <v>22</v>
      </c>
      <c r="H314" s="75">
        <f t="shared" si="20"/>
        <v>1694.9881513903467</v>
      </c>
      <c r="J314" s="77">
        <f t="shared" si="22"/>
        <v>10</v>
      </c>
      <c r="K314" s="20">
        <f t="shared" si="23"/>
        <v>118</v>
      </c>
      <c r="L314" s="78">
        <f t="shared" si="21"/>
        <v>41.17023380295948</v>
      </c>
    </row>
    <row r="315" spans="6:12" x14ac:dyDescent="0.25">
      <c r="F315" s="77">
        <f t="shared" si="24"/>
        <v>1000</v>
      </c>
      <c r="G315" s="20">
        <v>23</v>
      </c>
      <c r="H315" s="75">
        <f t="shared" si="20"/>
        <v>1736.1343640045231</v>
      </c>
      <c r="J315" s="77">
        <f t="shared" si="22"/>
        <v>10</v>
      </c>
      <c r="K315" s="20">
        <f t="shared" si="23"/>
        <v>119</v>
      </c>
      <c r="L315" s="78">
        <f t="shared" si="21"/>
        <v>41.666945700453297</v>
      </c>
    </row>
    <row r="316" spans="6:12" x14ac:dyDescent="0.25">
      <c r="F316" s="77">
        <f t="shared" si="24"/>
        <v>1000</v>
      </c>
      <c r="G316" s="20">
        <v>24</v>
      </c>
      <c r="H316" s="75">
        <f t="shared" si="20"/>
        <v>1778.2794100389231</v>
      </c>
      <c r="J316" s="77">
        <f t="shared" si="22"/>
        <v>10</v>
      </c>
      <c r="K316" s="20">
        <f t="shared" si="23"/>
        <v>120</v>
      </c>
      <c r="L316" s="78">
        <f t="shared" si="21"/>
        <v>42.169650342858233</v>
      </c>
    </row>
    <row r="317" spans="6:12" x14ac:dyDescent="0.25">
      <c r="F317" s="77">
        <f t="shared" si="24"/>
        <v>1000</v>
      </c>
      <c r="G317" s="20">
        <v>25</v>
      </c>
      <c r="H317" s="75">
        <f t="shared" si="20"/>
        <v>1821.4475363959452</v>
      </c>
      <c r="J317" s="77">
        <f t="shared" si="22"/>
        <v>10</v>
      </c>
      <c r="K317" s="20">
        <f t="shared" si="23"/>
        <v>121</v>
      </c>
      <c r="L317" s="78">
        <f t="shared" si="21"/>
        <v>42.678420031626587</v>
      </c>
    </row>
    <row r="318" spans="6:12" x14ac:dyDescent="0.25">
      <c r="F318" s="77">
        <f t="shared" si="24"/>
        <v>1000</v>
      </c>
      <c r="G318" s="20">
        <v>26</v>
      </c>
      <c r="H318" s="75">
        <f t="shared" si="20"/>
        <v>1865.6635785769122</v>
      </c>
      <c r="J318" s="77">
        <f t="shared" si="22"/>
        <v>10</v>
      </c>
      <c r="K318" s="20">
        <f t="shared" si="23"/>
        <v>122</v>
      </c>
      <c r="L318" s="78">
        <f t="shared" si="21"/>
        <v>43.193327940515445</v>
      </c>
    </row>
    <row r="319" spans="6:12" x14ac:dyDescent="0.25">
      <c r="F319" s="77">
        <f t="shared" si="24"/>
        <v>1000</v>
      </c>
      <c r="G319" s="20">
        <v>27</v>
      </c>
      <c r="H319" s="75">
        <f t="shared" si="20"/>
        <v>1910.9529749704407</v>
      </c>
      <c r="J319" s="77">
        <f t="shared" si="22"/>
        <v>10</v>
      </c>
      <c r="K319" s="20">
        <f t="shared" si="23"/>
        <v>123</v>
      </c>
      <c r="L319" s="78">
        <f t="shared" si="21"/>
        <v>43.714448126110895</v>
      </c>
    </row>
    <row r="320" spans="6:12" x14ac:dyDescent="0.25">
      <c r="F320" s="77">
        <f t="shared" si="24"/>
        <v>1000</v>
      </c>
      <c r="G320" s="20">
        <v>28</v>
      </c>
      <c r="H320" s="75">
        <f t="shared" si="20"/>
        <v>1957.3417814876605</v>
      </c>
      <c r="J320" s="77">
        <f t="shared" si="22"/>
        <v>10</v>
      </c>
      <c r="K320" s="20">
        <f t="shared" si="23"/>
        <v>124</v>
      </c>
      <c r="L320" s="78">
        <f t="shared" si="21"/>
        <v>44.241855538479186</v>
      </c>
    </row>
    <row r="321" spans="6:12" x14ac:dyDescent="0.25">
      <c r="F321" s="77">
        <f t="shared" si="24"/>
        <v>1000</v>
      </c>
      <c r="G321" s="20">
        <v>29</v>
      </c>
      <c r="H321" s="75">
        <f t="shared" si="20"/>
        <v>2004.8566865527137</v>
      </c>
      <c r="J321" s="77">
        <f t="shared" si="22"/>
        <v>10</v>
      </c>
      <c r="K321" s="20">
        <f t="shared" si="23"/>
        <v>125</v>
      </c>
      <c r="L321" s="78">
        <f t="shared" si="21"/>
        <v>44.775626031946373</v>
      </c>
    </row>
    <row r="322" spans="6:12" x14ac:dyDescent="0.25">
      <c r="F322" s="77">
        <f t="shared" si="24"/>
        <v>1000</v>
      </c>
      <c r="G322" s="20">
        <v>30</v>
      </c>
      <c r="H322" s="75">
        <f t="shared" si="20"/>
        <v>2053.5250264571464</v>
      </c>
      <c r="J322" s="77">
        <f t="shared" si="22"/>
        <v>10</v>
      </c>
      <c r="K322" s="20">
        <f t="shared" si="23"/>
        <v>126</v>
      </c>
      <c r="L322" s="78">
        <f t="shared" si="21"/>
        <v>45.315836376008185</v>
      </c>
    </row>
    <row r="323" spans="6:12" x14ac:dyDescent="0.25">
      <c r="F323" s="77">
        <f t="shared" si="24"/>
        <v>1000</v>
      </c>
      <c r="G323" s="20">
        <v>31</v>
      </c>
      <c r="H323" s="75">
        <f t="shared" si="20"/>
        <v>2103.3748010870336</v>
      </c>
      <c r="J323" s="77">
        <f t="shared" si="22"/>
        <v>10</v>
      </c>
      <c r="K323" s="20">
        <f t="shared" si="23"/>
        <v>127</v>
      </c>
      <c r="L323" s="78">
        <f t="shared" si="21"/>
        <v>45.862564266371265</v>
      </c>
    </row>
    <row r="324" spans="6:12" x14ac:dyDescent="0.25">
      <c r="F324" s="77">
        <f t="shared" si="24"/>
        <v>1000</v>
      </c>
      <c r="G324" s="20">
        <v>32</v>
      </c>
      <c r="H324" s="75">
        <f t="shared" ref="H324:H387" si="25">F324*10^(G324/96)</f>
        <v>2154.4346900318837</v>
      </c>
      <c r="J324" s="77">
        <f t="shared" si="22"/>
        <v>10</v>
      </c>
      <c r="K324" s="20">
        <f t="shared" si="23"/>
        <v>128</v>
      </c>
      <c r="L324" s="78">
        <f t="shared" si="21"/>
        <v>46.415888336127793</v>
      </c>
    </row>
    <row r="325" spans="6:12" x14ac:dyDescent="0.25">
      <c r="F325" s="77">
        <f t="shared" si="24"/>
        <v>1000</v>
      </c>
      <c r="G325" s="20">
        <v>33</v>
      </c>
      <c r="H325" s="75">
        <f t="shared" si="25"/>
        <v>2206.7340690845899</v>
      </c>
      <c r="J325" s="77">
        <f t="shared" si="22"/>
        <v>10</v>
      </c>
      <c r="K325" s="20">
        <f t="shared" si="23"/>
        <v>129</v>
      </c>
      <c r="L325" s="78">
        <f t="shared" ref="L325:L388" si="26">J325*10^(K325/192)</f>
        <v>46.97588816706493</v>
      </c>
    </row>
    <row r="326" spans="6:12" x14ac:dyDescent="0.25">
      <c r="F326" s="77">
        <f t="shared" si="24"/>
        <v>1000</v>
      </c>
      <c r="G326" s="20">
        <v>34</v>
      </c>
      <c r="H326" s="75">
        <f t="shared" si="25"/>
        <v>2260.3030271419202</v>
      </c>
      <c r="J326" s="77">
        <f t="shared" ref="J326:J388" si="27">J133*10</f>
        <v>10</v>
      </c>
      <c r="K326" s="20">
        <f t="shared" ref="K326:K371" si="28">K325+1</f>
        <v>130</v>
      </c>
      <c r="L326" s="78">
        <f t="shared" si="26"/>
        <v>47.54264430111057</v>
      </c>
    </row>
    <row r="327" spans="6:12" x14ac:dyDescent="0.25">
      <c r="F327" s="77">
        <f t="shared" si="24"/>
        <v>1000</v>
      </c>
      <c r="G327" s="20">
        <v>35</v>
      </c>
      <c r="H327" s="75">
        <f t="shared" si="25"/>
        <v>2315.1723835152734</v>
      </c>
      <c r="J327" s="77">
        <f t="shared" si="27"/>
        <v>10</v>
      </c>
      <c r="K327" s="20">
        <f t="shared" si="28"/>
        <v>131</v>
      </c>
      <c r="L327" s="78">
        <f t="shared" si="26"/>
        <v>48.116238251917338</v>
      </c>
    </row>
    <row r="328" spans="6:12" x14ac:dyDescent="0.25">
      <c r="F328" s="77">
        <f t="shared" si="24"/>
        <v>1000</v>
      </c>
      <c r="G328" s="20">
        <v>36</v>
      </c>
      <c r="H328" s="75">
        <f t="shared" si="25"/>
        <v>2371.3737056616555</v>
      </c>
      <c r="J328" s="77">
        <f t="shared" si="27"/>
        <v>10</v>
      </c>
      <c r="K328" s="20">
        <f t="shared" si="28"/>
        <v>132</v>
      </c>
      <c r="L328" s="78">
        <f t="shared" si="26"/>
        <v>48.696752516586315</v>
      </c>
    </row>
    <row r="329" spans="6:12" x14ac:dyDescent="0.25">
      <c r="F329" s="77">
        <f t="shared" si="24"/>
        <v>1000</v>
      </c>
      <c r="G329" s="20">
        <v>37</v>
      </c>
      <c r="H329" s="75">
        <f t="shared" si="25"/>
        <v>2428.9393273450792</v>
      </c>
      <c r="J329" s="77">
        <f t="shared" si="27"/>
        <v>10</v>
      </c>
      <c r="K329" s="20">
        <f t="shared" si="28"/>
        <v>133</v>
      </c>
      <c r="L329" s="78">
        <f t="shared" si="26"/>
        <v>49.284270587532077</v>
      </c>
    </row>
    <row r="330" spans="6:12" x14ac:dyDescent="0.25">
      <c r="F330" s="77">
        <f t="shared" si="24"/>
        <v>1000</v>
      </c>
      <c r="G330" s="20">
        <v>38</v>
      </c>
      <c r="H330" s="75">
        <f t="shared" si="25"/>
        <v>2487.9023672388362</v>
      </c>
      <c r="J330" s="77">
        <f t="shared" si="27"/>
        <v>10</v>
      </c>
      <c r="K330" s="20">
        <f t="shared" si="28"/>
        <v>134</v>
      </c>
      <c r="L330" s="78">
        <f t="shared" si="26"/>
        <v>49.878876964491063</v>
      </c>
    </row>
    <row r="331" spans="6:12" x14ac:dyDescent="0.25">
      <c r="F331" s="77">
        <f t="shared" si="24"/>
        <v>1000</v>
      </c>
      <c r="G331" s="20">
        <v>39</v>
      </c>
      <c r="H331" s="75">
        <f t="shared" si="25"/>
        <v>2548.2967479793469</v>
      </c>
      <c r="J331" s="77">
        <f t="shared" si="27"/>
        <v>10</v>
      </c>
      <c r="K331" s="20">
        <f t="shared" si="28"/>
        <v>135</v>
      </c>
      <c r="L331" s="78">
        <f t="shared" si="26"/>
        <v>50.480657166674717</v>
      </c>
    </row>
    <row r="332" spans="6:12" x14ac:dyDescent="0.25">
      <c r="F332" s="77">
        <f t="shared" si="24"/>
        <v>1000</v>
      </c>
      <c r="G332" s="20">
        <v>40</v>
      </c>
      <c r="H332" s="75">
        <f t="shared" si="25"/>
        <v>2610.1572156825373</v>
      </c>
      <c r="J332" s="77">
        <f t="shared" si="27"/>
        <v>10</v>
      </c>
      <c r="K332" s="20">
        <f t="shared" si="28"/>
        <v>136</v>
      </c>
      <c r="L332" s="78">
        <f t="shared" si="26"/>
        <v>51.089697745069287</v>
      </c>
    </row>
    <row r="333" spans="6:12" x14ac:dyDescent="0.25">
      <c r="F333" s="77">
        <f t="shared" si="24"/>
        <v>1000</v>
      </c>
      <c r="G333" s="20">
        <v>41</v>
      </c>
      <c r="H333" s="75">
        <f t="shared" si="25"/>
        <v>2673.5193599339909</v>
      </c>
      <c r="J333" s="77">
        <f t="shared" si="27"/>
        <v>10</v>
      </c>
      <c r="K333" s="20">
        <f t="shared" si="28"/>
        <v>137</v>
      </c>
      <c r="L333" s="78">
        <f t="shared" si="26"/>
        <v>51.706086294884003</v>
      </c>
    </row>
    <row r="334" spans="6:12" x14ac:dyDescent="0.25">
      <c r="F334" s="77">
        <f t="shared" si="24"/>
        <v>1000</v>
      </c>
      <c r="G334" s="20">
        <v>42</v>
      </c>
      <c r="H334" s="75">
        <f t="shared" si="25"/>
        <v>2738.4196342643613</v>
      </c>
      <c r="J334" s="77">
        <f t="shared" si="27"/>
        <v>10</v>
      </c>
      <c r="K334" s="20">
        <f t="shared" si="28"/>
        <v>138</v>
      </c>
      <c r="L334" s="78">
        <f t="shared" si="26"/>
        <v>52.329911468149476</v>
      </c>
    </row>
    <row r="335" spans="6:12" x14ac:dyDescent="0.25">
      <c r="F335" s="77">
        <f t="shared" si="24"/>
        <v>1000</v>
      </c>
      <c r="G335" s="20">
        <v>43</v>
      </c>
      <c r="H335" s="75">
        <f t="shared" si="25"/>
        <v>2804.895377121828</v>
      </c>
      <c r="J335" s="77">
        <f t="shared" si="27"/>
        <v>10</v>
      </c>
      <c r="K335" s="20">
        <f t="shared" si="28"/>
        <v>139</v>
      </c>
      <c r="L335" s="78">
        <f t="shared" si="26"/>
        <v>52.961262986468043</v>
      </c>
    </row>
    <row r="336" spans="6:12" x14ac:dyDescent="0.25">
      <c r="F336" s="77">
        <f t="shared" si="24"/>
        <v>1000</v>
      </c>
      <c r="G336" s="20">
        <v>44</v>
      </c>
      <c r="H336" s="75">
        <f t="shared" si="25"/>
        <v>2872.9848333536647</v>
      </c>
      <c r="J336" s="77">
        <f t="shared" si="27"/>
        <v>10</v>
      </c>
      <c r="K336" s="20">
        <f t="shared" si="28"/>
        <v>140</v>
      </c>
      <c r="L336" s="78">
        <f t="shared" si="26"/>
        <v>53.600231653917916</v>
      </c>
    </row>
    <row r="337" spans="6:12" x14ac:dyDescent="0.25">
      <c r="F337" s="77">
        <f t="shared" si="24"/>
        <v>1000</v>
      </c>
      <c r="G337" s="20">
        <v>45</v>
      </c>
      <c r="H337" s="75">
        <f t="shared" si="25"/>
        <v>2942.7271762092823</v>
      </c>
      <c r="J337" s="77">
        <f t="shared" si="27"/>
        <v>10</v>
      </c>
      <c r="K337" s="20">
        <f t="shared" si="28"/>
        <v>141</v>
      </c>
      <c r="L337" s="78">
        <f t="shared" si="26"/>
        <v>54.246909370113265</v>
      </c>
    </row>
    <row r="338" spans="6:12" x14ac:dyDescent="0.25">
      <c r="F338" s="77">
        <f t="shared" si="24"/>
        <v>1000</v>
      </c>
      <c r="G338" s="20">
        <v>46</v>
      </c>
      <c r="H338" s="75">
        <f t="shared" si="25"/>
        <v>3014.1625298773906</v>
      </c>
      <c r="J338" s="77">
        <f t="shared" si="27"/>
        <v>10</v>
      </c>
      <c r="K338" s="20">
        <f t="shared" si="28"/>
        <v>142</v>
      </c>
      <c r="L338" s="78">
        <f t="shared" si="26"/>
        <v>54.901389143421412</v>
      </c>
    </row>
    <row r="339" spans="6:12" x14ac:dyDescent="0.25">
      <c r="F339" s="77">
        <f t="shared" si="24"/>
        <v>1000</v>
      </c>
      <c r="G339" s="20">
        <v>47</v>
      </c>
      <c r="H339" s="75">
        <f t="shared" si="25"/>
        <v>3087.331992570264</v>
      </c>
      <c r="J339" s="77">
        <f t="shared" si="27"/>
        <v>10</v>
      </c>
      <c r="K339" s="20">
        <f t="shared" si="28"/>
        <v>143</v>
      </c>
      <c r="L339" s="78">
        <f t="shared" si="26"/>
        <v>55.563765104339929</v>
      </c>
    </row>
    <row r="340" spans="6:12" x14ac:dyDescent="0.25">
      <c r="F340" s="77">
        <f t="shared" si="24"/>
        <v>1000</v>
      </c>
      <c r="G340" s="20">
        <v>48</v>
      </c>
      <c r="H340" s="75">
        <f t="shared" si="25"/>
        <v>3162.2776601683795</v>
      </c>
      <c r="J340" s="77">
        <f t="shared" si="27"/>
        <v>10</v>
      </c>
      <c r="K340" s="20">
        <f t="shared" si="28"/>
        <v>144</v>
      </c>
      <c r="L340" s="78">
        <f t="shared" si="26"/>
        <v>56.234132519034922</v>
      </c>
    </row>
    <row r="341" spans="6:12" x14ac:dyDescent="0.25">
      <c r="F341" s="77">
        <f t="shared" si="24"/>
        <v>1000</v>
      </c>
      <c r="G341" s="20">
        <v>49</v>
      </c>
      <c r="H341" s="75">
        <f t="shared" si="25"/>
        <v>3239.0426504390307</v>
      </c>
      <c r="J341" s="77">
        <f t="shared" si="27"/>
        <v>10</v>
      </c>
      <c r="K341" s="20">
        <f t="shared" si="28"/>
        <v>145</v>
      </c>
      <c r="L341" s="78">
        <f t="shared" si="26"/>
        <v>56.912587803042591</v>
      </c>
    </row>
    <row r="342" spans="6:12" x14ac:dyDescent="0.25">
      <c r="F342" s="77">
        <f t="shared" si="24"/>
        <v>1000</v>
      </c>
      <c r="G342" s="20">
        <v>50</v>
      </c>
      <c r="H342" s="75">
        <f t="shared" si="25"/>
        <v>3317.6711278428579</v>
      </c>
      <c r="J342" s="77">
        <f t="shared" si="27"/>
        <v>10</v>
      </c>
      <c r="K342" s="20">
        <f t="shared" si="28"/>
        <v>146</v>
      </c>
      <c r="L342" s="78">
        <f t="shared" si="26"/>
        <v>57.599228535136284</v>
      </c>
    </row>
    <row r="343" spans="6:12" x14ac:dyDescent="0.25">
      <c r="F343" s="77">
        <f t="shared" si="24"/>
        <v>1000</v>
      </c>
      <c r="G343" s="20">
        <v>51</v>
      </c>
      <c r="H343" s="75">
        <f t="shared" si="25"/>
        <v>3398.2083289425591</v>
      </c>
      <c r="J343" s="77">
        <f t="shared" si="27"/>
        <v>10</v>
      </c>
      <c r="K343" s="20">
        <f t="shared" si="28"/>
        <v>147</v>
      </c>
      <c r="L343" s="78">
        <f t="shared" si="26"/>
        <v>58.294153471360758</v>
      </c>
    </row>
    <row r="344" spans="6:12" x14ac:dyDescent="0.25">
      <c r="F344" s="77">
        <f t="shared" si="24"/>
        <v>1000</v>
      </c>
      <c r="G344" s="20">
        <v>52</v>
      </c>
      <c r="H344" s="75">
        <f t="shared" si="25"/>
        <v>3480.7005884284104</v>
      </c>
      <c r="J344" s="77">
        <f t="shared" si="27"/>
        <v>10</v>
      </c>
      <c r="K344" s="20">
        <f t="shared" si="28"/>
        <v>148</v>
      </c>
      <c r="L344" s="78">
        <f t="shared" si="26"/>
        <v>58.997462559235657</v>
      </c>
    </row>
    <row r="345" spans="6:12" x14ac:dyDescent="0.25">
      <c r="F345" s="77">
        <f t="shared" si="24"/>
        <v>1000</v>
      </c>
      <c r="G345" s="20">
        <v>53</v>
      </c>
      <c r="H345" s="75">
        <f t="shared" si="25"/>
        <v>3565.1953657755494</v>
      </c>
      <c r="J345" s="77">
        <f t="shared" si="27"/>
        <v>10</v>
      </c>
      <c r="K345" s="20">
        <f t="shared" si="28"/>
        <v>149</v>
      </c>
      <c r="L345" s="78">
        <f t="shared" si="26"/>
        <v>59.709256952130538</v>
      </c>
    </row>
    <row r="346" spans="6:12" x14ac:dyDescent="0.25">
      <c r="F346" s="77">
        <f t="shared" si="24"/>
        <v>1000</v>
      </c>
      <c r="G346" s="20">
        <v>54</v>
      </c>
      <c r="H346" s="75">
        <f t="shared" si="25"/>
        <v>3651.7412725483778</v>
      </c>
      <c r="J346" s="77">
        <f t="shared" si="27"/>
        <v>10</v>
      </c>
      <c r="K346" s="20">
        <f t="shared" si="28"/>
        <v>150</v>
      </c>
      <c r="L346" s="78">
        <f t="shared" si="26"/>
        <v>60.429639023813294</v>
      </c>
    </row>
    <row r="347" spans="6:12" x14ac:dyDescent="0.25">
      <c r="F347" s="77">
        <f t="shared" si="24"/>
        <v>1000</v>
      </c>
      <c r="G347" s="20">
        <v>55</v>
      </c>
      <c r="H347" s="75">
        <f t="shared" si="25"/>
        <v>3740.3881003677857</v>
      </c>
      <c r="J347" s="77">
        <f t="shared" si="27"/>
        <v>10</v>
      </c>
      <c r="K347" s="20">
        <f t="shared" si="28"/>
        <v>151</v>
      </c>
      <c r="L347" s="78">
        <f t="shared" si="26"/>
        <v>61.158712383173892</v>
      </c>
    </row>
    <row r="348" spans="6:12" x14ac:dyDescent="0.25">
      <c r="F348" s="77">
        <f t="shared" si="24"/>
        <v>1000</v>
      </c>
      <c r="G348" s="20">
        <v>56</v>
      </c>
      <c r="H348" s="75">
        <f t="shared" si="25"/>
        <v>3831.1868495572885</v>
      </c>
      <c r="J348" s="77">
        <f t="shared" si="27"/>
        <v>10</v>
      </c>
      <c r="K348" s="20">
        <f t="shared" si="28"/>
        <v>152</v>
      </c>
      <c r="L348" s="78">
        <f t="shared" si="26"/>
        <v>61.896581889126061</v>
      </c>
    </row>
    <row r="349" spans="6:12" x14ac:dyDescent="0.25">
      <c r="F349" s="77">
        <f t="shared" si="24"/>
        <v>1000</v>
      </c>
      <c r="G349" s="20">
        <v>57</v>
      </c>
      <c r="H349" s="75">
        <f t="shared" si="25"/>
        <v>3924.189758484536</v>
      </c>
      <c r="J349" s="77">
        <f t="shared" si="27"/>
        <v>10</v>
      </c>
      <c r="K349" s="20">
        <f t="shared" si="28"/>
        <v>153</v>
      </c>
      <c r="L349" s="78">
        <f t="shared" si="26"/>
        <v>62.643353665688572</v>
      </c>
    </row>
    <row r="350" spans="6:12" x14ac:dyDescent="0.25">
      <c r="F350" s="77">
        <f t="shared" si="24"/>
        <v>1000</v>
      </c>
      <c r="G350" s="20">
        <v>58</v>
      </c>
      <c r="H350" s="75">
        <f t="shared" si="25"/>
        <v>4019.4503336151256</v>
      </c>
      <c r="J350" s="77">
        <f t="shared" si="27"/>
        <v>10</v>
      </c>
      <c r="K350" s="20">
        <f t="shared" si="28"/>
        <v>154</v>
      </c>
      <c r="L350" s="78">
        <f t="shared" si="26"/>
        <v>63.399135117248456</v>
      </c>
    </row>
    <row r="351" spans="6:12" x14ac:dyDescent="0.25">
      <c r="F351" s="77">
        <f t="shared" si="24"/>
        <v>1000</v>
      </c>
      <c r="G351" s="20">
        <v>59</v>
      </c>
      <c r="H351" s="75">
        <f t="shared" si="25"/>
        <v>4117.0233802959483</v>
      </c>
      <c r="J351" s="77">
        <f t="shared" si="27"/>
        <v>10</v>
      </c>
      <c r="K351" s="20">
        <f t="shared" si="28"/>
        <v>155</v>
      </c>
      <c r="L351" s="78">
        <f t="shared" si="26"/>
        <v>64.164034944008534</v>
      </c>
    </row>
    <row r="352" spans="6:12" x14ac:dyDescent="0.25">
      <c r="F352" s="77">
        <f t="shared" si="24"/>
        <v>1000</v>
      </c>
      <c r="G352" s="20">
        <v>60</v>
      </c>
      <c r="H352" s="75">
        <f t="shared" si="25"/>
        <v>4216.9650342858231</v>
      </c>
      <c r="J352" s="77">
        <f t="shared" si="27"/>
        <v>10</v>
      </c>
      <c r="K352" s="20">
        <f t="shared" si="28"/>
        <v>156</v>
      </c>
      <c r="L352" s="78">
        <f t="shared" si="26"/>
        <v>64.938163157621148</v>
      </c>
    </row>
    <row r="353" spans="6:12" x14ac:dyDescent="0.25">
      <c r="F353" s="77">
        <f t="shared" si="24"/>
        <v>1000</v>
      </c>
      <c r="G353" s="20">
        <v>61</v>
      </c>
      <c r="H353" s="75">
        <f t="shared" si="25"/>
        <v>4319.3327940515446</v>
      </c>
      <c r="J353" s="77">
        <f t="shared" si="27"/>
        <v>10</v>
      </c>
      <c r="K353" s="20">
        <f t="shared" si="28"/>
        <v>157</v>
      </c>
      <c r="L353" s="78">
        <f t="shared" si="26"/>
        <v>65.721631097010572</v>
      </c>
    </row>
    <row r="354" spans="6:12" x14ac:dyDescent="0.25">
      <c r="F354" s="77">
        <f t="shared" si="24"/>
        <v>1000</v>
      </c>
      <c r="G354" s="20">
        <v>62</v>
      </c>
      <c r="H354" s="75">
        <f t="shared" si="25"/>
        <v>4424.1855538479185</v>
      </c>
      <c r="J354" s="77">
        <f t="shared" si="27"/>
        <v>10</v>
      </c>
      <c r="K354" s="20">
        <f t="shared" si="28"/>
        <v>158</v>
      </c>
      <c r="L354" s="78">
        <f t="shared" si="26"/>
        <v>66.514551444386342</v>
      </c>
    </row>
    <row r="355" spans="6:12" x14ac:dyDescent="0.25">
      <c r="F355" s="77">
        <f t="shared" si="24"/>
        <v>1000</v>
      </c>
      <c r="G355" s="20">
        <v>63</v>
      </c>
      <c r="H355" s="75">
        <f t="shared" si="25"/>
        <v>4531.5836376008183</v>
      </c>
      <c r="J355" s="77">
        <f t="shared" si="27"/>
        <v>10</v>
      </c>
      <c r="K355" s="20">
        <f t="shared" si="28"/>
        <v>159</v>
      </c>
      <c r="L355" s="78">
        <f t="shared" si="26"/>
        <v>67.317038241449836</v>
      </c>
    </row>
    <row r="356" spans="6:12" x14ac:dyDescent="0.25">
      <c r="F356" s="77">
        <f t="shared" si="24"/>
        <v>1000</v>
      </c>
      <c r="G356" s="20">
        <v>64</v>
      </c>
      <c r="H356" s="75">
        <f t="shared" si="25"/>
        <v>4641.5888336127791</v>
      </c>
      <c r="J356" s="77">
        <f t="shared" si="27"/>
        <v>10</v>
      </c>
      <c r="K356" s="20">
        <f t="shared" si="28"/>
        <v>160</v>
      </c>
      <c r="L356" s="78">
        <f t="shared" si="26"/>
        <v>68.129206905796138</v>
      </c>
    </row>
    <row r="357" spans="6:12" x14ac:dyDescent="0.25">
      <c r="F357" s="77">
        <f t="shared" si="24"/>
        <v>1000</v>
      </c>
      <c r="G357" s="20">
        <v>65</v>
      </c>
      <c r="H357" s="75">
        <f t="shared" si="25"/>
        <v>4754.2644301110568</v>
      </c>
      <c r="J357" s="77">
        <f t="shared" si="27"/>
        <v>10</v>
      </c>
      <c r="K357" s="20">
        <f t="shared" si="28"/>
        <v>161</v>
      </c>
      <c r="L357" s="78">
        <f t="shared" si="26"/>
        <v>68.951174247514132</v>
      </c>
    </row>
    <row r="358" spans="6:12" x14ac:dyDescent="0.25">
      <c r="F358" s="77">
        <f t="shared" ref="F358:F388" si="29">F262*10</f>
        <v>1000</v>
      </c>
      <c r="G358" s="20">
        <v>66</v>
      </c>
      <c r="H358" s="75">
        <f t="shared" si="25"/>
        <v>4869.6752516586321</v>
      </c>
      <c r="J358" s="77">
        <f t="shared" si="27"/>
        <v>10</v>
      </c>
      <c r="K358" s="20">
        <f t="shared" si="28"/>
        <v>162</v>
      </c>
      <c r="L358" s="78">
        <f t="shared" si="26"/>
        <v>69.783058485986643</v>
      </c>
    </row>
    <row r="359" spans="6:12" x14ac:dyDescent="0.25">
      <c r="F359" s="77">
        <f t="shared" si="29"/>
        <v>1000</v>
      </c>
      <c r="G359" s="20">
        <v>67</v>
      </c>
      <c r="H359" s="75">
        <f t="shared" si="25"/>
        <v>4987.8876964491064</v>
      </c>
      <c r="J359" s="77">
        <f t="shared" si="27"/>
        <v>10</v>
      </c>
      <c r="K359" s="20">
        <f t="shared" si="28"/>
        <v>163</v>
      </c>
      <c r="L359" s="78">
        <f t="shared" si="26"/>
        <v>70.624979266893291</v>
      </c>
    </row>
    <row r="360" spans="6:12" x14ac:dyDescent="0.25">
      <c r="F360" s="77">
        <f t="shared" si="29"/>
        <v>1000</v>
      </c>
      <c r="G360" s="20">
        <v>68</v>
      </c>
      <c r="H360" s="75">
        <f t="shared" si="25"/>
        <v>5108.9697745069288</v>
      </c>
      <c r="J360" s="77">
        <f t="shared" si="27"/>
        <v>10</v>
      </c>
      <c r="K360" s="20">
        <f t="shared" si="28"/>
        <v>164</v>
      </c>
      <c r="L360" s="78">
        <f t="shared" si="26"/>
        <v>71.477057679418564</v>
      </c>
    </row>
    <row r="361" spans="6:12" x14ac:dyDescent="0.25">
      <c r="F361" s="77">
        <f t="shared" si="29"/>
        <v>1000</v>
      </c>
      <c r="G361" s="20">
        <v>69</v>
      </c>
      <c r="H361" s="75">
        <f t="shared" si="25"/>
        <v>5232.9911468149476</v>
      </c>
      <c r="J361" s="77">
        <f t="shared" si="27"/>
        <v>10</v>
      </c>
      <c r="K361" s="20">
        <f t="shared" si="28"/>
        <v>165</v>
      </c>
      <c r="L361" s="78">
        <f t="shared" si="26"/>
        <v>72.339416273667496</v>
      </c>
    </row>
    <row r="362" spans="6:12" x14ac:dyDescent="0.25">
      <c r="F362" s="77">
        <f t="shared" si="29"/>
        <v>1000</v>
      </c>
      <c r="G362" s="20">
        <v>70</v>
      </c>
      <c r="H362" s="75">
        <f t="shared" si="25"/>
        <v>5360.0231653917917</v>
      </c>
      <c r="J362" s="77">
        <f t="shared" si="27"/>
        <v>10</v>
      </c>
      <c r="K362" s="20">
        <f t="shared" si="28"/>
        <v>166</v>
      </c>
      <c r="L362" s="78">
        <f t="shared" si="26"/>
        <v>73.212179078291314</v>
      </c>
    </row>
    <row r="363" spans="6:12" x14ac:dyDescent="0.25">
      <c r="F363" s="77">
        <f t="shared" si="29"/>
        <v>1000</v>
      </c>
      <c r="G363" s="20">
        <v>71</v>
      </c>
      <c r="H363" s="75">
        <f t="shared" si="25"/>
        <v>5490.1389143421411</v>
      </c>
      <c r="J363" s="77">
        <f t="shared" si="27"/>
        <v>10</v>
      </c>
      <c r="K363" s="20">
        <f t="shared" si="28"/>
        <v>167</v>
      </c>
      <c r="L363" s="78">
        <f t="shared" si="26"/>
        <v>74.095471618325902</v>
      </c>
    </row>
    <row r="364" spans="6:12" x14ac:dyDescent="0.25">
      <c r="F364" s="77">
        <f t="shared" si="29"/>
        <v>1000</v>
      </c>
      <c r="G364" s="20">
        <v>72</v>
      </c>
      <c r="H364" s="75">
        <f t="shared" si="25"/>
        <v>5623.413251903492</v>
      </c>
      <c r="J364" s="77">
        <f t="shared" si="27"/>
        <v>10</v>
      </c>
      <c r="K364" s="20">
        <f t="shared" si="28"/>
        <v>168</v>
      </c>
      <c r="L364" s="78">
        <f t="shared" si="26"/>
        <v>74.989420933245597</v>
      </c>
    </row>
    <row r="365" spans="6:12" x14ac:dyDescent="0.25">
      <c r="F365" s="77">
        <f t="shared" si="29"/>
        <v>1000</v>
      </c>
      <c r="G365" s="20">
        <v>73</v>
      </c>
      <c r="H365" s="75">
        <f t="shared" si="25"/>
        <v>5759.9228535136281</v>
      </c>
      <c r="J365" s="77">
        <f t="shared" si="27"/>
        <v>10</v>
      </c>
      <c r="K365" s="20">
        <f t="shared" si="28"/>
        <v>169</v>
      </c>
      <c r="L365" s="78">
        <f t="shared" si="26"/>
        <v>75.894155595234281</v>
      </c>
    </row>
    <row r="366" spans="6:12" x14ac:dyDescent="0.25">
      <c r="F366" s="77">
        <f t="shared" si="29"/>
        <v>1000</v>
      </c>
      <c r="G366" s="20">
        <v>74</v>
      </c>
      <c r="H366" s="75">
        <f t="shared" si="25"/>
        <v>5899.7462559235655</v>
      </c>
      <c r="J366" s="77">
        <f t="shared" si="27"/>
        <v>10</v>
      </c>
      <c r="K366" s="20">
        <f t="shared" si="28"/>
        <v>170</v>
      </c>
      <c r="L366" s="78">
        <f t="shared" si="26"/>
        <v>76.809805727677542</v>
      </c>
    </row>
    <row r="367" spans="6:12" x14ac:dyDescent="0.25">
      <c r="F367" s="77">
        <f t="shared" si="29"/>
        <v>1000</v>
      </c>
      <c r="G367" s="20">
        <v>75</v>
      </c>
      <c r="H367" s="75">
        <f t="shared" si="25"/>
        <v>6042.9639023813288</v>
      </c>
      <c r="J367" s="77">
        <f t="shared" si="27"/>
        <v>10</v>
      </c>
      <c r="K367" s="20">
        <f t="shared" si="28"/>
        <v>171</v>
      </c>
      <c r="L367" s="78">
        <f t="shared" si="26"/>
        <v>77.736503023877617</v>
      </c>
    </row>
    <row r="368" spans="6:12" x14ac:dyDescent="0.25">
      <c r="F368" s="77">
        <f t="shared" si="29"/>
        <v>1000</v>
      </c>
      <c r="G368" s="20">
        <v>76</v>
      </c>
      <c r="H368" s="75">
        <f t="shared" si="25"/>
        <v>6189.6581889126064</v>
      </c>
      <c r="J368" s="77">
        <f t="shared" si="27"/>
        <v>10</v>
      </c>
      <c r="K368" s="20">
        <f t="shared" si="28"/>
        <v>172</v>
      </c>
      <c r="L368" s="78">
        <f t="shared" si="26"/>
        <v>78.67438076599403</v>
      </c>
    </row>
    <row r="369" spans="6:12" x14ac:dyDescent="0.25">
      <c r="F369" s="77">
        <f t="shared" si="29"/>
        <v>1000</v>
      </c>
      <c r="G369" s="20">
        <v>77</v>
      </c>
      <c r="H369" s="75">
        <f t="shared" si="25"/>
        <v>6339.9135117248461</v>
      </c>
      <c r="J369" s="77">
        <f t="shared" si="27"/>
        <v>10</v>
      </c>
      <c r="K369" s="20">
        <f t="shared" si="28"/>
        <v>173</v>
      </c>
      <c r="L369" s="78">
        <f t="shared" si="26"/>
        <v>79.623573844213041</v>
      </c>
    </row>
    <row r="370" spans="6:12" x14ac:dyDescent="0.25">
      <c r="F370" s="77">
        <f t="shared" si="29"/>
        <v>1000</v>
      </c>
      <c r="G370" s="20">
        <v>78</v>
      </c>
      <c r="H370" s="75">
        <f t="shared" si="25"/>
        <v>6493.8163157621148</v>
      </c>
      <c r="J370" s="77">
        <f t="shared" si="27"/>
        <v>10</v>
      </c>
      <c r="K370" s="20">
        <f t="shared" si="28"/>
        <v>174</v>
      </c>
      <c r="L370" s="78">
        <f t="shared" si="26"/>
        <v>80.584218776148191</v>
      </c>
    </row>
    <row r="371" spans="6:12" x14ac:dyDescent="0.25">
      <c r="F371" s="77">
        <f t="shared" si="29"/>
        <v>1000</v>
      </c>
      <c r="G371" s="20">
        <v>79</v>
      </c>
      <c r="H371" s="75">
        <f t="shared" si="25"/>
        <v>6651.4551444386334</v>
      </c>
      <c r="J371" s="77">
        <f t="shared" si="27"/>
        <v>10</v>
      </c>
      <c r="K371" s="20">
        <f t="shared" si="28"/>
        <v>175</v>
      </c>
      <c r="L371" s="78">
        <f t="shared" si="26"/>
        <v>81.556453726474871</v>
      </c>
    </row>
    <row r="372" spans="6:12" x14ac:dyDescent="0.25">
      <c r="F372" s="77">
        <f t="shared" si="29"/>
        <v>1000</v>
      </c>
      <c r="G372" s="20">
        <v>80</v>
      </c>
      <c r="H372" s="75">
        <f t="shared" si="25"/>
        <v>6812.9206905796136</v>
      </c>
      <c r="J372" s="77">
        <f t="shared" si="27"/>
        <v>10</v>
      </c>
      <c r="K372" s="20">
        <f>K371+1</f>
        <v>176</v>
      </c>
      <c r="L372" s="78">
        <f t="shared" si="26"/>
        <v>82.54041852680183</v>
      </c>
    </row>
    <row r="373" spans="6:12" x14ac:dyDescent="0.25">
      <c r="F373" s="77">
        <f t="shared" si="29"/>
        <v>1000</v>
      </c>
      <c r="G373" s="20">
        <v>81</v>
      </c>
      <c r="H373" s="75">
        <f t="shared" si="25"/>
        <v>6978.3058485986649</v>
      </c>
      <c r="J373" s="77">
        <f t="shared" si="27"/>
        <v>10</v>
      </c>
      <c r="K373" s="20">
        <f t="shared" ref="K373:K388" si="30">K372+1</f>
        <v>177</v>
      </c>
      <c r="L373" s="78">
        <f t="shared" si="26"/>
        <v>83.536254695782617</v>
      </c>
    </row>
    <row r="374" spans="6:12" x14ac:dyDescent="0.25">
      <c r="F374" s="77">
        <f t="shared" si="29"/>
        <v>1000</v>
      </c>
      <c r="G374" s="20">
        <v>82</v>
      </c>
      <c r="H374" s="75">
        <f t="shared" si="25"/>
        <v>7147.7057679418567</v>
      </c>
      <c r="J374" s="77">
        <f t="shared" si="27"/>
        <v>10</v>
      </c>
      <c r="K374" s="20">
        <f t="shared" si="30"/>
        <v>178</v>
      </c>
      <c r="L374" s="78">
        <f t="shared" si="26"/>
        <v>84.54410545946925</v>
      </c>
    </row>
    <row r="375" spans="6:12" x14ac:dyDescent="0.25">
      <c r="F375" s="77">
        <f t="shared" si="29"/>
        <v>1000</v>
      </c>
      <c r="G375" s="20">
        <v>83</v>
      </c>
      <c r="H375" s="75">
        <f t="shared" si="25"/>
        <v>7321.217907829131</v>
      </c>
      <c r="J375" s="77">
        <f t="shared" si="27"/>
        <v>10</v>
      </c>
      <c r="K375" s="20">
        <f t="shared" si="30"/>
        <v>179</v>
      </c>
      <c r="L375" s="78">
        <f t="shared" si="26"/>
        <v>85.564115771911844</v>
      </c>
    </row>
    <row r="376" spans="6:12" x14ac:dyDescent="0.25">
      <c r="F376" s="77">
        <f t="shared" si="29"/>
        <v>1000</v>
      </c>
      <c r="G376" s="20">
        <v>84</v>
      </c>
      <c r="H376" s="75">
        <f t="shared" si="25"/>
        <v>7498.9420933245592</v>
      </c>
      <c r="J376" s="77">
        <f t="shared" si="27"/>
        <v>10</v>
      </c>
      <c r="K376" s="20">
        <f t="shared" si="30"/>
        <v>180</v>
      </c>
      <c r="L376" s="78">
        <f t="shared" si="26"/>
        <v>86.596432336006558</v>
      </c>
    </row>
    <row r="377" spans="6:12" x14ac:dyDescent="0.25">
      <c r="F377" s="77">
        <f t="shared" si="29"/>
        <v>1000</v>
      </c>
      <c r="G377" s="20">
        <v>85</v>
      </c>
      <c r="H377" s="75">
        <f t="shared" si="25"/>
        <v>7680.9805727677549</v>
      </c>
      <c r="J377" s="77">
        <f t="shared" si="27"/>
        <v>10</v>
      </c>
      <c r="K377" s="20">
        <f t="shared" si="30"/>
        <v>181</v>
      </c>
      <c r="L377" s="78">
        <f t="shared" si="26"/>
        <v>87.641203624595207</v>
      </c>
    </row>
    <row r="378" spans="6:12" x14ac:dyDescent="0.25">
      <c r="F378" s="77">
        <f t="shared" si="29"/>
        <v>1000</v>
      </c>
      <c r="G378" s="20">
        <v>86</v>
      </c>
      <c r="H378" s="75">
        <f t="shared" si="25"/>
        <v>7867.4380765994028</v>
      </c>
      <c r="J378" s="77">
        <f t="shared" si="27"/>
        <v>10</v>
      </c>
      <c r="K378" s="20">
        <f t="shared" si="30"/>
        <v>182</v>
      </c>
      <c r="L378" s="78">
        <f t="shared" si="26"/>
        <v>88.698579901819187</v>
      </c>
    </row>
    <row r="379" spans="6:12" x14ac:dyDescent="0.25">
      <c r="F379" s="77">
        <f t="shared" si="29"/>
        <v>1000</v>
      </c>
      <c r="G379" s="20">
        <v>87</v>
      </c>
      <c r="H379" s="75">
        <f t="shared" si="25"/>
        <v>8058.4218776148191</v>
      </c>
      <c r="J379" s="77">
        <f t="shared" si="27"/>
        <v>10</v>
      </c>
      <c r="K379" s="20">
        <f t="shared" si="30"/>
        <v>183</v>
      </c>
      <c r="L379" s="78">
        <f t="shared" si="26"/>
        <v>89.768713244731444</v>
      </c>
    </row>
    <row r="380" spans="6:12" x14ac:dyDescent="0.25">
      <c r="F380" s="77">
        <f t="shared" si="29"/>
        <v>1000</v>
      </c>
      <c r="G380" s="20">
        <v>88</v>
      </c>
      <c r="H380" s="75">
        <f t="shared" si="25"/>
        <v>8254.0418526801841</v>
      </c>
      <c r="J380" s="77">
        <f t="shared" si="27"/>
        <v>10</v>
      </c>
      <c r="K380" s="20">
        <f t="shared" si="30"/>
        <v>184</v>
      </c>
      <c r="L380" s="78">
        <f t="shared" si="26"/>
        <v>90.851757565168697</v>
      </c>
    </row>
    <row r="381" spans="6:12" x14ac:dyDescent="0.25">
      <c r="F381" s="77">
        <f t="shared" si="29"/>
        <v>1000</v>
      </c>
      <c r="G381" s="20">
        <v>89</v>
      </c>
      <c r="H381" s="75">
        <f t="shared" si="25"/>
        <v>8454.4105459469247</v>
      </c>
      <c r="J381" s="77">
        <f t="shared" si="27"/>
        <v>10</v>
      </c>
      <c r="K381" s="20">
        <f t="shared" si="30"/>
        <v>185</v>
      </c>
      <c r="L381" s="78">
        <f t="shared" si="26"/>
        <v>91.947868631887943</v>
      </c>
    </row>
    <row r="382" spans="6:12" x14ac:dyDescent="0.25">
      <c r="F382" s="77">
        <f t="shared" si="29"/>
        <v>1000</v>
      </c>
      <c r="G382" s="20">
        <v>90</v>
      </c>
      <c r="H382" s="75">
        <f t="shared" si="25"/>
        <v>8659.6432336006565</v>
      </c>
      <c r="J382" s="77">
        <f t="shared" si="27"/>
        <v>10</v>
      </c>
      <c r="K382" s="20">
        <f t="shared" si="30"/>
        <v>186</v>
      </c>
      <c r="L382" s="78">
        <f t="shared" si="26"/>
        <v>93.057204092969897</v>
      </c>
    </row>
    <row r="383" spans="6:12" x14ac:dyDescent="0.25">
      <c r="F383" s="77">
        <f t="shared" si="29"/>
        <v>1000</v>
      </c>
      <c r="G383" s="20">
        <v>91</v>
      </c>
      <c r="H383" s="75">
        <f t="shared" si="25"/>
        <v>8869.8579901819176</v>
      </c>
      <c r="J383" s="77">
        <f t="shared" si="27"/>
        <v>10</v>
      </c>
      <c r="K383" s="20">
        <f t="shared" si="30"/>
        <v>187</v>
      </c>
      <c r="L383" s="78">
        <f t="shared" si="26"/>
        <v>94.179923498492599</v>
      </c>
    </row>
    <row r="384" spans="6:12" x14ac:dyDescent="0.25">
      <c r="F384" s="77">
        <f t="shared" si="29"/>
        <v>1000</v>
      </c>
      <c r="G384" s="20">
        <v>92</v>
      </c>
      <c r="H384" s="75">
        <f t="shared" si="25"/>
        <v>9085.17575651687</v>
      </c>
      <c r="J384" s="77">
        <f t="shared" si="27"/>
        <v>10</v>
      </c>
      <c r="K384" s="20">
        <f t="shared" si="30"/>
        <v>188</v>
      </c>
      <c r="L384" s="78">
        <f t="shared" si="26"/>
        <v>95.316188323478769</v>
      </c>
    </row>
    <row r="385" spans="6:12" x14ac:dyDescent="0.25">
      <c r="F385" s="77">
        <f t="shared" si="29"/>
        <v>1000</v>
      </c>
      <c r="G385" s="20">
        <v>93</v>
      </c>
      <c r="H385" s="75">
        <f t="shared" si="25"/>
        <v>9305.7204092969896</v>
      </c>
      <c r="J385" s="77">
        <f t="shared" si="27"/>
        <v>10</v>
      </c>
      <c r="K385" s="20">
        <f t="shared" si="30"/>
        <v>189</v>
      </c>
      <c r="L385" s="78">
        <f t="shared" si="26"/>
        <v>96.466161991119961</v>
      </c>
    </row>
    <row r="386" spans="6:12" x14ac:dyDescent="0.25">
      <c r="F386" s="77">
        <f t="shared" si="29"/>
        <v>1000</v>
      </c>
      <c r="G386" s="20">
        <v>94</v>
      </c>
      <c r="H386" s="75">
        <f t="shared" si="25"/>
        <v>9531.6188323478782</v>
      </c>
      <c r="J386" s="77">
        <f t="shared" si="27"/>
        <v>10</v>
      </c>
      <c r="K386" s="20">
        <f t="shared" si="30"/>
        <v>190</v>
      </c>
      <c r="L386" s="78">
        <f t="shared" si="26"/>
        <v>97.630009896280797</v>
      </c>
    </row>
    <row r="387" spans="6:12" x14ac:dyDescent="0.25">
      <c r="F387" s="77">
        <f t="shared" si="29"/>
        <v>1000</v>
      </c>
      <c r="G387" s="20">
        <v>95</v>
      </c>
      <c r="H387" s="75">
        <f t="shared" si="25"/>
        <v>9763.000989628079</v>
      </c>
      <c r="J387" s="77">
        <f t="shared" si="27"/>
        <v>10</v>
      </c>
      <c r="K387" s="20">
        <f t="shared" si="30"/>
        <v>191</v>
      </c>
      <c r="L387" s="78">
        <f t="shared" si="26"/>
        <v>98.80789942928692</v>
      </c>
    </row>
    <row r="388" spans="6:12" x14ac:dyDescent="0.25">
      <c r="F388" s="77">
        <f t="shared" si="29"/>
        <v>1000</v>
      </c>
      <c r="G388" s="20">
        <v>96</v>
      </c>
      <c r="H388" s="75">
        <f t="shared" ref="H388:H451" si="31">F388*10^(G388/96)</f>
        <v>10000</v>
      </c>
      <c r="J388" s="77">
        <f t="shared" si="27"/>
        <v>10</v>
      </c>
      <c r="K388" s="20">
        <f t="shared" si="30"/>
        <v>192</v>
      </c>
      <c r="L388" s="78">
        <f t="shared" si="26"/>
        <v>100</v>
      </c>
    </row>
    <row r="389" spans="6:12" x14ac:dyDescent="0.25">
      <c r="F389" s="77">
        <f>F293*10</f>
        <v>10000</v>
      </c>
      <c r="G389" s="20">
        <v>1</v>
      </c>
      <c r="H389" s="75">
        <f t="shared" si="31"/>
        <v>10242.752213815922</v>
      </c>
      <c r="J389" s="77">
        <f>J197*10</f>
        <v>100</v>
      </c>
      <c r="K389" s="20">
        <v>1</v>
      </c>
      <c r="L389" s="78">
        <f t="shared" ref="L389:L452" si="32">J389*10^(K389/192)</f>
        <v>101.20648306218294</v>
      </c>
    </row>
    <row r="390" spans="6:12" x14ac:dyDescent="0.25">
      <c r="F390" s="77">
        <f t="shared" ref="F390:F453" si="33">F294*10</f>
        <v>10000</v>
      </c>
      <c r="G390" s="20">
        <v>2</v>
      </c>
      <c r="H390" s="75">
        <f t="shared" si="31"/>
        <v>10491.397291363099</v>
      </c>
      <c r="J390" s="77">
        <f t="shared" ref="J390:J453" si="34">J198*10</f>
        <v>100</v>
      </c>
      <c r="K390" s="20">
        <f t="shared" ref="K390:K453" si="35">K389+1</f>
        <v>2</v>
      </c>
      <c r="L390" s="78">
        <f t="shared" si="32"/>
        <v>102.42752213815922</v>
      </c>
    </row>
    <row r="391" spans="6:12" x14ac:dyDescent="0.25">
      <c r="F391" s="77">
        <f t="shared" si="33"/>
        <v>10000</v>
      </c>
      <c r="G391" s="20">
        <v>3</v>
      </c>
      <c r="H391" s="75">
        <f t="shared" si="31"/>
        <v>10746.078283213174</v>
      </c>
      <c r="J391" s="77">
        <f t="shared" si="34"/>
        <v>100</v>
      </c>
      <c r="K391" s="20">
        <f t="shared" si="35"/>
        <v>3</v>
      </c>
      <c r="L391" s="78">
        <f t="shared" si="32"/>
        <v>103.66329284376981</v>
      </c>
    </row>
    <row r="392" spans="6:12" x14ac:dyDescent="0.25">
      <c r="F392" s="77">
        <f t="shared" si="33"/>
        <v>10000</v>
      </c>
      <c r="G392" s="20">
        <v>4</v>
      </c>
      <c r="H392" s="75">
        <f t="shared" si="31"/>
        <v>11006.941712522095</v>
      </c>
      <c r="J392" s="77">
        <f t="shared" si="34"/>
        <v>100</v>
      </c>
      <c r="K392" s="20">
        <f t="shared" si="35"/>
        <v>4</v>
      </c>
      <c r="L392" s="78">
        <f t="shared" si="32"/>
        <v>104.91397291363099</v>
      </c>
    </row>
    <row r="393" spans="6:12" x14ac:dyDescent="0.25">
      <c r="F393" s="77">
        <f t="shared" si="33"/>
        <v>10000</v>
      </c>
      <c r="G393" s="20">
        <v>5</v>
      </c>
      <c r="H393" s="75">
        <f t="shared" si="31"/>
        <v>11274.137659327853</v>
      </c>
      <c r="J393" s="77">
        <f t="shared" si="34"/>
        <v>100</v>
      </c>
      <c r="K393" s="20">
        <f t="shared" si="35"/>
        <v>5</v>
      </c>
      <c r="L393" s="78">
        <f t="shared" si="32"/>
        <v>106.17974222669714</v>
      </c>
    </row>
    <row r="394" spans="6:12" x14ac:dyDescent="0.25">
      <c r="F394" s="77">
        <f t="shared" si="33"/>
        <v>10000</v>
      </c>
      <c r="G394" s="20">
        <v>6</v>
      </c>
      <c r="H394" s="75">
        <f t="shared" si="31"/>
        <v>11547.819846894583</v>
      </c>
      <c r="J394" s="77">
        <f t="shared" si="34"/>
        <v>100</v>
      </c>
      <c r="K394" s="20">
        <f t="shared" si="35"/>
        <v>6</v>
      </c>
      <c r="L394" s="78">
        <f t="shared" si="32"/>
        <v>107.46078283213174</v>
      </c>
    </row>
    <row r="395" spans="6:12" x14ac:dyDescent="0.25">
      <c r="F395" s="77">
        <f t="shared" si="33"/>
        <v>10000</v>
      </c>
      <c r="G395" s="20">
        <v>7</v>
      </c>
      <c r="H395" s="75">
        <f t="shared" si="31"/>
        <v>11828.145730152693</v>
      </c>
      <c r="J395" s="77">
        <f t="shared" si="34"/>
        <v>100</v>
      </c>
      <c r="K395" s="20">
        <f t="shared" si="35"/>
        <v>7</v>
      </c>
      <c r="L395" s="78">
        <f t="shared" si="32"/>
        <v>108.75727897549061</v>
      </c>
    </row>
    <row r="396" spans="6:12" x14ac:dyDescent="0.25">
      <c r="F396" s="77">
        <f t="shared" si="33"/>
        <v>10000</v>
      </c>
      <c r="G396" s="20">
        <v>8</v>
      </c>
      <c r="H396" s="75">
        <f t="shared" si="31"/>
        <v>12115.276586285885</v>
      </c>
      <c r="J396" s="77">
        <f t="shared" si="34"/>
        <v>100</v>
      </c>
      <c r="K396" s="20">
        <f t="shared" si="35"/>
        <v>8</v>
      </c>
      <c r="L396" s="78">
        <f t="shared" si="32"/>
        <v>110.06941712522095</v>
      </c>
    </row>
    <row r="397" spans="6:12" x14ac:dyDescent="0.25">
      <c r="F397" s="77">
        <f t="shared" si="33"/>
        <v>10000</v>
      </c>
      <c r="G397" s="20">
        <v>9</v>
      </c>
      <c r="H397" s="75">
        <f t="shared" si="31"/>
        <v>12409.377607517195</v>
      </c>
      <c r="J397" s="77">
        <f t="shared" si="34"/>
        <v>100</v>
      </c>
      <c r="K397" s="20">
        <f t="shared" si="35"/>
        <v>9</v>
      </c>
      <c r="L397" s="78">
        <f t="shared" si="32"/>
        <v>111.39738599948024</v>
      </c>
    </row>
    <row r="398" spans="6:12" x14ac:dyDescent="0.25">
      <c r="F398" s="77">
        <f t="shared" si="33"/>
        <v>10000</v>
      </c>
      <c r="G398" s="20">
        <v>10</v>
      </c>
      <c r="H398" s="75">
        <f t="shared" si="31"/>
        <v>12710.617996147448</v>
      </c>
      <c r="J398" s="77">
        <f t="shared" si="34"/>
        <v>100</v>
      </c>
      <c r="K398" s="20">
        <f t="shared" si="35"/>
        <v>10</v>
      </c>
      <c r="L398" s="78">
        <f t="shared" si="32"/>
        <v>112.74137659327852</v>
      </c>
    </row>
    <row r="399" spans="6:12" x14ac:dyDescent="0.25">
      <c r="F399" s="77">
        <f t="shared" si="33"/>
        <v>10000</v>
      </c>
      <c r="G399" s="20">
        <v>11</v>
      </c>
      <c r="H399" s="75">
        <f t="shared" si="31"/>
        <v>13019.171061900779</v>
      </c>
      <c r="J399" s="77">
        <f t="shared" si="34"/>
        <v>100</v>
      </c>
      <c r="K399" s="20">
        <f t="shared" si="35"/>
        <v>11</v>
      </c>
      <c r="L399" s="78">
        <f t="shared" si="32"/>
        <v>114.1015822059483</v>
      </c>
    </row>
    <row r="400" spans="6:12" x14ac:dyDescent="0.25">
      <c r="F400" s="77">
        <f t="shared" si="33"/>
        <v>10000</v>
      </c>
      <c r="G400" s="20">
        <v>12</v>
      </c>
      <c r="H400" s="75">
        <f t="shared" si="31"/>
        <v>13335.214321633241</v>
      </c>
      <c r="J400" s="77">
        <f t="shared" si="34"/>
        <v>100</v>
      </c>
      <c r="K400" s="20">
        <f t="shared" si="35"/>
        <v>12</v>
      </c>
      <c r="L400" s="78">
        <f t="shared" si="32"/>
        <v>115.47819846894582</v>
      </c>
    </row>
    <row r="401" spans="6:12" x14ac:dyDescent="0.25">
      <c r="F401" s="77">
        <f t="shared" si="33"/>
        <v>10000</v>
      </c>
      <c r="G401" s="20">
        <v>13</v>
      </c>
      <c r="H401" s="75">
        <f t="shared" si="31"/>
        <v>13658.929601461867</v>
      </c>
      <c r="J401" s="77">
        <f t="shared" si="34"/>
        <v>100</v>
      </c>
      <c r="K401" s="20">
        <f t="shared" si="35"/>
        <v>13</v>
      </c>
      <c r="L401" s="78">
        <f t="shared" si="32"/>
        <v>116.87142337398765</v>
      </c>
    </row>
    <row r="402" spans="6:12" x14ac:dyDescent="0.25">
      <c r="F402" s="77">
        <f t="shared" si="33"/>
        <v>10000</v>
      </c>
      <c r="G402" s="20">
        <v>14</v>
      </c>
      <c r="H402" s="75">
        <f t="shared" si="31"/>
        <v>13990.503141372939</v>
      </c>
      <c r="J402" s="77">
        <f t="shared" si="34"/>
        <v>100</v>
      </c>
      <c r="K402" s="20">
        <f t="shared" si="35"/>
        <v>14</v>
      </c>
      <c r="L402" s="78">
        <f t="shared" si="32"/>
        <v>118.28145730152693</v>
      </c>
    </row>
    <row r="403" spans="6:12" x14ac:dyDescent="0.25">
      <c r="F403" s="77">
        <f t="shared" si="33"/>
        <v>10000</v>
      </c>
      <c r="G403" s="20">
        <v>15</v>
      </c>
      <c r="H403" s="75">
        <f t="shared" si="31"/>
        <v>14330.125702369629</v>
      </c>
      <c r="J403" s="77">
        <f t="shared" si="34"/>
        <v>100</v>
      </c>
      <c r="K403" s="20">
        <f t="shared" si="35"/>
        <v>15</v>
      </c>
      <c r="L403" s="78">
        <f t="shared" si="32"/>
        <v>119.70850304957298</v>
      </c>
    </row>
    <row r="404" spans="6:12" x14ac:dyDescent="0.25">
      <c r="F404" s="77">
        <f t="shared" si="33"/>
        <v>10000</v>
      </c>
      <c r="G404" s="20">
        <v>16</v>
      </c>
      <c r="H404" s="75">
        <f t="shared" si="31"/>
        <v>14677.992676220696</v>
      </c>
      <c r="J404" s="77">
        <f t="shared" si="34"/>
        <v>100</v>
      </c>
      <c r="K404" s="20">
        <f t="shared" si="35"/>
        <v>16</v>
      </c>
      <c r="L404" s="78">
        <f t="shared" si="32"/>
        <v>121.15276586285886</v>
      </c>
    </row>
    <row r="405" spans="6:12" x14ac:dyDescent="0.25">
      <c r="F405" s="77">
        <f t="shared" si="33"/>
        <v>10000</v>
      </c>
      <c r="G405" s="20">
        <v>17</v>
      </c>
      <c r="H405" s="75">
        <f t="shared" si="31"/>
        <v>15034.304197873344</v>
      </c>
      <c r="J405" s="77">
        <f t="shared" si="34"/>
        <v>100</v>
      </c>
      <c r="K405" s="20">
        <f t="shared" si="35"/>
        <v>17</v>
      </c>
      <c r="L405" s="78">
        <f t="shared" si="32"/>
        <v>122.6144534623604</v>
      </c>
    </row>
    <row r="406" spans="6:12" x14ac:dyDescent="0.25">
      <c r="F406" s="77">
        <f t="shared" si="33"/>
        <v>10000</v>
      </c>
      <c r="G406" s="20">
        <v>18</v>
      </c>
      <c r="H406" s="75">
        <f t="shared" si="31"/>
        <v>15399.265260594921</v>
      </c>
      <c r="J406" s="77">
        <f t="shared" si="34"/>
        <v>100</v>
      </c>
      <c r="K406" s="20">
        <f t="shared" si="35"/>
        <v>18</v>
      </c>
      <c r="L406" s="78">
        <f t="shared" si="32"/>
        <v>124.09377607517196</v>
      </c>
    </row>
    <row r="407" spans="6:12" x14ac:dyDescent="0.25">
      <c r="F407" s="77">
        <f t="shared" si="33"/>
        <v>10000</v>
      </c>
      <c r="G407" s="20">
        <v>19</v>
      </c>
      <c r="H407" s="75">
        <f t="shared" si="31"/>
        <v>15773.085833909725</v>
      </c>
      <c r="J407" s="77">
        <f t="shared" si="34"/>
        <v>100</v>
      </c>
      <c r="K407" s="20">
        <f t="shared" si="35"/>
        <v>19</v>
      </c>
      <c r="L407" s="78">
        <f t="shared" si="32"/>
        <v>125.59094646474213</v>
      </c>
    </row>
    <row r="408" spans="6:12" x14ac:dyDescent="0.25">
      <c r="F408" s="77">
        <f t="shared" si="33"/>
        <v>10000</v>
      </c>
      <c r="G408" s="20">
        <v>20</v>
      </c>
      <c r="H408" s="75">
        <f t="shared" si="31"/>
        <v>16155.98098439874</v>
      </c>
      <c r="J408" s="77">
        <f t="shared" si="34"/>
        <v>100</v>
      </c>
      <c r="K408" s="20">
        <f t="shared" si="35"/>
        <v>20</v>
      </c>
      <c r="L408" s="78">
        <f t="shared" si="32"/>
        <v>127.10617996147448</v>
      </c>
    </row>
    <row r="409" spans="6:12" x14ac:dyDescent="0.25">
      <c r="F409" s="77">
        <f t="shared" si="33"/>
        <v>10000</v>
      </c>
      <c r="G409" s="20">
        <v>21</v>
      </c>
      <c r="H409" s="75">
        <f t="shared" si="31"/>
        <v>16548.170999431815</v>
      </c>
      <c r="J409" s="77">
        <f t="shared" si="34"/>
        <v>100</v>
      </c>
      <c r="K409" s="20">
        <f t="shared" si="35"/>
        <v>21</v>
      </c>
      <c r="L409" s="78">
        <f t="shared" si="32"/>
        <v>128.63969449369745</v>
      </c>
    </row>
    <row r="410" spans="6:12" x14ac:dyDescent="0.25">
      <c r="F410" s="77">
        <f t="shared" si="33"/>
        <v>10000</v>
      </c>
      <c r="G410" s="20">
        <v>22</v>
      </c>
      <c r="H410" s="75">
        <f t="shared" si="31"/>
        <v>16949.881513903467</v>
      </c>
      <c r="J410" s="77">
        <f t="shared" si="34"/>
        <v>100</v>
      </c>
      <c r="K410" s="20">
        <f t="shared" si="35"/>
        <v>22</v>
      </c>
      <c r="L410" s="78">
        <f t="shared" si="32"/>
        <v>130.19171061900778</v>
      </c>
    </row>
    <row r="411" spans="6:12" x14ac:dyDescent="0.25">
      <c r="F411" s="77">
        <f t="shared" si="33"/>
        <v>10000</v>
      </c>
      <c r="G411" s="20">
        <v>23</v>
      </c>
      <c r="H411" s="75">
        <f t="shared" si="31"/>
        <v>17361.343640045234</v>
      </c>
      <c r="J411" s="77">
        <f t="shared" si="34"/>
        <v>100</v>
      </c>
      <c r="K411" s="20">
        <f t="shared" si="35"/>
        <v>23</v>
      </c>
      <c r="L411" s="78">
        <f t="shared" si="32"/>
        <v>131.76245155599236</v>
      </c>
    </row>
    <row r="412" spans="6:12" x14ac:dyDescent="0.25">
      <c r="F412" s="77">
        <f t="shared" si="33"/>
        <v>10000</v>
      </c>
      <c r="G412" s="20">
        <v>24</v>
      </c>
      <c r="H412" s="75">
        <f t="shared" si="31"/>
        <v>17782.79410038923</v>
      </c>
      <c r="J412" s="77">
        <f t="shared" si="34"/>
        <v>100</v>
      </c>
      <c r="K412" s="20">
        <f t="shared" si="35"/>
        <v>24</v>
      </c>
      <c r="L412" s="78">
        <f t="shared" si="32"/>
        <v>133.35214321633239</v>
      </c>
    </row>
    <row r="413" spans="6:12" x14ac:dyDescent="0.25">
      <c r="F413" s="77">
        <f t="shared" si="33"/>
        <v>10000</v>
      </c>
      <c r="G413" s="20">
        <v>25</v>
      </c>
      <c r="H413" s="75">
        <f t="shared" si="31"/>
        <v>18214.475363959453</v>
      </c>
      <c r="J413" s="77">
        <f t="shared" si="34"/>
        <v>100</v>
      </c>
      <c r="K413" s="20">
        <f t="shared" si="35"/>
        <v>25</v>
      </c>
      <c r="L413" s="78">
        <f t="shared" si="32"/>
        <v>134.96101423729542</v>
      </c>
    </row>
    <row r="414" spans="6:12" x14ac:dyDescent="0.25">
      <c r="F414" s="77">
        <f t="shared" si="33"/>
        <v>10000</v>
      </c>
      <c r="G414" s="20">
        <v>26</v>
      </c>
      <c r="H414" s="75">
        <f t="shared" si="31"/>
        <v>18656.635785769122</v>
      </c>
      <c r="J414" s="77">
        <f t="shared" si="34"/>
        <v>100</v>
      </c>
      <c r="K414" s="20">
        <f t="shared" si="35"/>
        <v>26</v>
      </c>
      <c r="L414" s="78">
        <f t="shared" si="32"/>
        <v>136.58929601461867</v>
      </c>
    </row>
    <row r="415" spans="6:12" x14ac:dyDescent="0.25">
      <c r="F415" s="77">
        <f t="shared" si="33"/>
        <v>10000</v>
      </c>
      <c r="G415" s="20">
        <v>27</v>
      </c>
      <c r="H415" s="75">
        <f t="shared" si="31"/>
        <v>19109.529749704405</v>
      </c>
      <c r="J415" s="77">
        <f t="shared" si="34"/>
        <v>100</v>
      </c>
      <c r="K415" s="20">
        <f t="shared" si="35"/>
        <v>27</v>
      </c>
      <c r="L415" s="78">
        <f t="shared" si="32"/>
        <v>138.23722273578997</v>
      </c>
    </row>
    <row r="416" spans="6:12" x14ac:dyDescent="0.25">
      <c r="F416" s="77">
        <f t="shared" si="33"/>
        <v>10000</v>
      </c>
      <c r="G416" s="20">
        <v>28</v>
      </c>
      <c r="H416" s="75">
        <f t="shared" si="31"/>
        <v>19573.417814876604</v>
      </c>
      <c r="J416" s="77">
        <f t="shared" si="34"/>
        <v>100</v>
      </c>
      <c r="K416" s="20">
        <f t="shared" si="35"/>
        <v>28</v>
      </c>
      <c r="L416" s="78">
        <f t="shared" si="32"/>
        <v>139.90503141372938</v>
      </c>
    </row>
    <row r="417" spans="6:12" x14ac:dyDescent="0.25">
      <c r="F417" s="77">
        <f t="shared" si="33"/>
        <v>10000</v>
      </c>
      <c r="G417" s="20">
        <v>29</v>
      </c>
      <c r="H417" s="75">
        <f t="shared" si="31"/>
        <v>20048.566865527137</v>
      </c>
      <c r="J417" s="77">
        <f t="shared" si="34"/>
        <v>100</v>
      </c>
      <c r="K417" s="20">
        <f t="shared" si="35"/>
        <v>29</v>
      </c>
      <c r="L417" s="78">
        <f t="shared" si="32"/>
        <v>141.59296192087774</v>
      </c>
    </row>
    <row r="418" spans="6:12" x14ac:dyDescent="0.25">
      <c r="F418" s="77">
        <f t="shared" si="33"/>
        <v>10000</v>
      </c>
      <c r="G418" s="20">
        <v>30</v>
      </c>
      <c r="H418" s="75">
        <f t="shared" si="31"/>
        <v>20535.250264571463</v>
      </c>
      <c r="J418" s="77">
        <f t="shared" si="34"/>
        <v>100</v>
      </c>
      <c r="K418" s="20">
        <f t="shared" si="35"/>
        <v>30</v>
      </c>
      <c r="L418" s="78">
        <f t="shared" si="32"/>
        <v>143.30125702369628</v>
      </c>
    </row>
    <row r="419" spans="6:12" x14ac:dyDescent="0.25">
      <c r="F419" s="77">
        <f t="shared" si="33"/>
        <v>10000</v>
      </c>
      <c r="G419" s="20">
        <v>31</v>
      </c>
      <c r="H419" s="75">
        <f t="shared" si="31"/>
        <v>21033.748010870338</v>
      </c>
      <c r="J419" s="77">
        <f t="shared" si="34"/>
        <v>100</v>
      </c>
      <c r="K419" s="20">
        <f t="shared" si="35"/>
        <v>31</v>
      </c>
      <c r="L419" s="78">
        <f t="shared" si="32"/>
        <v>145.03016241758243</v>
      </c>
    </row>
    <row r="420" spans="6:12" x14ac:dyDescent="0.25">
      <c r="F420" s="77">
        <f t="shared" si="33"/>
        <v>10000</v>
      </c>
      <c r="G420" s="20">
        <v>32</v>
      </c>
      <c r="H420" s="75">
        <f t="shared" si="31"/>
        <v>21544.346900318837</v>
      </c>
      <c r="J420" s="77">
        <f t="shared" si="34"/>
        <v>100</v>
      </c>
      <c r="K420" s="20">
        <f t="shared" si="35"/>
        <v>32</v>
      </c>
      <c r="L420" s="78">
        <f t="shared" si="32"/>
        <v>146.77992676220697</v>
      </c>
    </row>
    <row r="421" spans="6:12" x14ac:dyDescent="0.25">
      <c r="F421" s="77">
        <f t="shared" si="33"/>
        <v>10000</v>
      </c>
      <c r="G421" s="20">
        <v>33</v>
      </c>
      <c r="H421" s="75">
        <f t="shared" si="31"/>
        <v>22067.3406908459</v>
      </c>
      <c r="J421" s="77">
        <f t="shared" si="34"/>
        <v>100</v>
      </c>
      <c r="K421" s="20">
        <f t="shared" si="35"/>
        <v>33</v>
      </c>
      <c r="L421" s="78">
        <f t="shared" si="32"/>
        <v>148.55080171727749</v>
      </c>
    </row>
    <row r="422" spans="6:12" x14ac:dyDescent="0.25">
      <c r="F422" s="77">
        <f t="shared" si="33"/>
        <v>10000</v>
      </c>
      <c r="G422" s="20">
        <v>34</v>
      </c>
      <c r="H422" s="75">
        <f t="shared" si="31"/>
        <v>22603.030271419204</v>
      </c>
      <c r="J422" s="77">
        <f t="shared" si="34"/>
        <v>100</v>
      </c>
      <c r="K422" s="20">
        <f t="shared" si="35"/>
        <v>34</v>
      </c>
      <c r="L422" s="78">
        <f t="shared" si="32"/>
        <v>150.34304197873342</v>
      </c>
    </row>
    <row r="423" spans="6:12" x14ac:dyDescent="0.25">
      <c r="F423" s="77">
        <f t="shared" si="33"/>
        <v>10000</v>
      </c>
      <c r="G423" s="20">
        <v>35</v>
      </c>
      <c r="H423" s="75">
        <f t="shared" si="31"/>
        <v>23151.723835152734</v>
      </c>
      <c r="J423" s="77">
        <f t="shared" si="34"/>
        <v>100</v>
      </c>
      <c r="K423" s="20">
        <f t="shared" si="35"/>
        <v>35</v>
      </c>
      <c r="L423" s="78">
        <f t="shared" si="32"/>
        <v>152.15690531537746</v>
      </c>
    </row>
    <row r="424" spans="6:12" x14ac:dyDescent="0.25">
      <c r="F424" s="77">
        <f t="shared" si="33"/>
        <v>10000</v>
      </c>
      <c r="G424" s="20">
        <v>36</v>
      </c>
      <c r="H424" s="75">
        <f t="shared" si="31"/>
        <v>23713.737056616555</v>
      </c>
      <c r="J424" s="77">
        <f t="shared" si="34"/>
        <v>100</v>
      </c>
      <c r="K424" s="20">
        <f t="shared" si="35"/>
        <v>36</v>
      </c>
      <c r="L424" s="78">
        <f t="shared" si="32"/>
        <v>153.99265260594922</v>
      </c>
    </row>
    <row r="425" spans="6:12" x14ac:dyDescent="0.25">
      <c r="F425" s="77">
        <f t="shared" si="33"/>
        <v>10000</v>
      </c>
      <c r="G425" s="20">
        <v>37</v>
      </c>
      <c r="H425" s="75">
        <f t="shared" si="31"/>
        <v>24289.393273450791</v>
      </c>
      <c r="J425" s="77">
        <f t="shared" si="34"/>
        <v>100</v>
      </c>
      <c r="K425" s="20">
        <f t="shared" si="35"/>
        <v>37</v>
      </c>
      <c r="L425" s="78">
        <f t="shared" si="32"/>
        <v>155.8505478766462</v>
      </c>
    </row>
    <row r="426" spans="6:12" x14ac:dyDescent="0.25">
      <c r="F426" s="77">
        <f t="shared" si="33"/>
        <v>10000</v>
      </c>
      <c r="G426" s="20">
        <v>38</v>
      </c>
      <c r="H426" s="75">
        <f t="shared" si="31"/>
        <v>24879.023672388365</v>
      </c>
      <c r="J426" s="77">
        <f t="shared" si="34"/>
        <v>100</v>
      </c>
      <c r="K426" s="20">
        <f t="shared" si="35"/>
        <v>38</v>
      </c>
      <c r="L426" s="78">
        <f t="shared" si="32"/>
        <v>157.73085833909727</v>
      </c>
    </row>
    <row r="427" spans="6:12" x14ac:dyDescent="0.25">
      <c r="F427" s="77">
        <f t="shared" si="33"/>
        <v>10000</v>
      </c>
      <c r="G427" s="20">
        <v>39</v>
      </c>
      <c r="H427" s="75">
        <f t="shared" si="31"/>
        <v>25482.967479793471</v>
      </c>
      <c r="J427" s="77">
        <f t="shared" si="34"/>
        <v>100</v>
      </c>
      <c r="K427" s="20">
        <f t="shared" si="35"/>
        <v>39</v>
      </c>
      <c r="L427" s="78">
        <f t="shared" si="32"/>
        <v>159.63385442879422</v>
      </c>
    </row>
    <row r="428" spans="6:12" x14ac:dyDescent="0.25">
      <c r="F428" s="77">
        <f t="shared" si="33"/>
        <v>10000</v>
      </c>
      <c r="G428" s="20">
        <v>40</v>
      </c>
      <c r="H428" s="75">
        <f t="shared" si="31"/>
        <v>26101.572156825372</v>
      </c>
      <c r="J428" s="77">
        <f t="shared" si="34"/>
        <v>100</v>
      </c>
      <c r="K428" s="20">
        <f t="shared" si="35"/>
        <v>40</v>
      </c>
      <c r="L428" s="78">
        <f t="shared" si="32"/>
        <v>161.55980984398741</v>
      </c>
    </row>
    <row r="429" spans="6:12" x14ac:dyDescent="0.25">
      <c r="F429" s="77">
        <f t="shared" si="33"/>
        <v>10000</v>
      </c>
      <c r="G429" s="20">
        <v>41</v>
      </c>
      <c r="H429" s="75">
        <f t="shared" si="31"/>
        <v>26735.193599339909</v>
      </c>
      <c r="J429" s="77">
        <f t="shared" si="34"/>
        <v>100</v>
      </c>
      <c r="K429" s="20">
        <f t="shared" si="35"/>
        <v>41</v>
      </c>
      <c r="L429" s="78">
        <f t="shared" si="32"/>
        <v>163.50900158505007</v>
      </c>
    </row>
    <row r="430" spans="6:12" x14ac:dyDescent="0.25">
      <c r="F430" s="77">
        <f t="shared" si="33"/>
        <v>10000</v>
      </c>
      <c r="G430" s="20">
        <v>42</v>
      </c>
      <c r="H430" s="75">
        <f t="shared" si="31"/>
        <v>27384.196342643616</v>
      </c>
      <c r="J430" s="77">
        <f t="shared" si="34"/>
        <v>100</v>
      </c>
      <c r="K430" s="20">
        <f t="shared" si="35"/>
        <v>42</v>
      </c>
      <c r="L430" s="78">
        <f t="shared" si="32"/>
        <v>165.48170999431815</v>
      </c>
    </row>
    <row r="431" spans="6:12" x14ac:dyDescent="0.25">
      <c r="F431" s="77">
        <f t="shared" si="33"/>
        <v>10000</v>
      </c>
      <c r="G431" s="20">
        <v>43</v>
      </c>
      <c r="H431" s="75">
        <f t="shared" si="31"/>
        <v>28048.953771218283</v>
      </c>
      <c r="J431" s="77">
        <f t="shared" si="34"/>
        <v>100</v>
      </c>
      <c r="K431" s="20">
        <f t="shared" si="35"/>
        <v>43</v>
      </c>
      <c r="L431" s="78">
        <f t="shared" si="32"/>
        <v>167.47821879641032</v>
      </c>
    </row>
    <row r="432" spans="6:12" x14ac:dyDescent="0.25">
      <c r="F432" s="77">
        <f t="shared" si="33"/>
        <v>10000</v>
      </c>
      <c r="G432" s="20">
        <v>44</v>
      </c>
      <c r="H432" s="75">
        <f t="shared" si="31"/>
        <v>28729.848333536644</v>
      </c>
      <c r="J432" s="77">
        <f t="shared" si="34"/>
        <v>100</v>
      </c>
      <c r="K432" s="20">
        <f t="shared" si="35"/>
        <v>44</v>
      </c>
      <c r="L432" s="78">
        <f t="shared" si="32"/>
        <v>169.49881513903466</v>
      </c>
    </row>
    <row r="433" spans="6:12" x14ac:dyDescent="0.25">
      <c r="F433" s="77">
        <f t="shared" si="33"/>
        <v>10000</v>
      </c>
      <c r="G433" s="20">
        <v>45</v>
      </c>
      <c r="H433" s="75">
        <f t="shared" si="31"/>
        <v>29427.271762092823</v>
      </c>
      <c r="J433" s="77">
        <f t="shared" si="34"/>
        <v>100</v>
      </c>
      <c r="K433" s="20">
        <f t="shared" si="35"/>
        <v>45</v>
      </c>
      <c r="L433" s="78">
        <f t="shared" si="32"/>
        <v>171.54378963428792</v>
      </c>
    </row>
    <row r="434" spans="6:12" x14ac:dyDescent="0.25">
      <c r="F434" s="77">
        <f t="shared" si="33"/>
        <v>10000</v>
      </c>
      <c r="G434" s="20">
        <v>46</v>
      </c>
      <c r="H434" s="75">
        <f t="shared" si="31"/>
        <v>30141.625298773906</v>
      </c>
      <c r="J434" s="77">
        <f t="shared" si="34"/>
        <v>100</v>
      </c>
      <c r="K434" s="20">
        <f t="shared" si="35"/>
        <v>46</v>
      </c>
      <c r="L434" s="78">
        <f t="shared" si="32"/>
        <v>173.61343640045231</v>
      </c>
    </row>
    <row r="435" spans="6:12" x14ac:dyDescent="0.25">
      <c r="F435" s="77">
        <f t="shared" si="33"/>
        <v>10000</v>
      </c>
      <c r="G435" s="20">
        <v>47</v>
      </c>
      <c r="H435" s="75">
        <f t="shared" si="31"/>
        <v>30873.319925702639</v>
      </c>
      <c r="J435" s="77">
        <f t="shared" si="34"/>
        <v>100</v>
      </c>
      <c r="K435" s="20">
        <f t="shared" si="35"/>
        <v>47</v>
      </c>
      <c r="L435" s="78">
        <f t="shared" si="32"/>
        <v>175.70805310429753</v>
      </c>
    </row>
    <row r="436" spans="6:12" x14ac:dyDescent="0.25">
      <c r="F436" s="77">
        <f t="shared" si="33"/>
        <v>10000</v>
      </c>
      <c r="G436" s="20">
        <v>48</v>
      </c>
      <c r="H436" s="75">
        <f t="shared" si="31"/>
        <v>31622.776601683796</v>
      </c>
      <c r="J436" s="77">
        <f t="shared" si="34"/>
        <v>100</v>
      </c>
      <c r="K436" s="20">
        <f t="shared" si="35"/>
        <v>48</v>
      </c>
      <c r="L436" s="78">
        <f t="shared" si="32"/>
        <v>177.82794100389231</v>
      </c>
    </row>
    <row r="437" spans="6:12" x14ac:dyDescent="0.25">
      <c r="F437" s="77">
        <f t="shared" si="33"/>
        <v>10000</v>
      </c>
      <c r="G437" s="20">
        <v>49</v>
      </c>
      <c r="H437" s="75">
        <f t="shared" si="31"/>
        <v>32390.426504390307</v>
      </c>
      <c r="J437" s="77">
        <f t="shared" si="34"/>
        <v>100</v>
      </c>
      <c r="K437" s="20">
        <f t="shared" si="35"/>
        <v>49</v>
      </c>
      <c r="L437" s="78">
        <f t="shared" si="32"/>
        <v>179.97340499193294</v>
      </c>
    </row>
    <row r="438" spans="6:12" x14ac:dyDescent="0.25">
      <c r="F438" s="77">
        <f t="shared" si="33"/>
        <v>10000</v>
      </c>
      <c r="G438" s="20">
        <v>50</v>
      </c>
      <c r="H438" s="75">
        <f t="shared" si="31"/>
        <v>33176.711278428578</v>
      </c>
      <c r="J438" s="77">
        <f t="shared" si="34"/>
        <v>100</v>
      </c>
      <c r="K438" s="20">
        <f t="shared" si="35"/>
        <v>50</v>
      </c>
      <c r="L438" s="78">
        <f t="shared" si="32"/>
        <v>182.14475363959451</v>
      </c>
    </row>
    <row r="439" spans="6:12" x14ac:dyDescent="0.25">
      <c r="F439" s="77">
        <f t="shared" si="33"/>
        <v>10000</v>
      </c>
      <c r="G439" s="20">
        <v>51</v>
      </c>
      <c r="H439" s="75">
        <f t="shared" si="31"/>
        <v>33982.083289425595</v>
      </c>
      <c r="J439" s="77">
        <f t="shared" si="34"/>
        <v>100</v>
      </c>
      <c r="K439" s="20">
        <f t="shared" si="35"/>
        <v>51</v>
      </c>
      <c r="L439" s="78">
        <f t="shared" si="32"/>
        <v>184.34229924091105</v>
      </c>
    </row>
    <row r="440" spans="6:12" x14ac:dyDescent="0.25">
      <c r="F440" s="77">
        <f t="shared" si="33"/>
        <v>10000</v>
      </c>
      <c r="G440" s="20">
        <v>52</v>
      </c>
      <c r="H440" s="75">
        <f t="shared" si="31"/>
        <v>34807.005884284103</v>
      </c>
      <c r="J440" s="77">
        <f t="shared" si="34"/>
        <v>100</v>
      </c>
      <c r="K440" s="20">
        <f t="shared" si="35"/>
        <v>52</v>
      </c>
      <c r="L440" s="78">
        <f t="shared" si="32"/>
        <v>186.56635785769123</v>
      </c>
    </row>
    <row r="441" spans="6:12" x14ac:dyDescent="0.25">
      <c r="F441" s="77">
        <f t="shared" si="33"/>
        <v>10000</v>
      </c>
      <c r="G441" s="20">
        <v>53</v>
      </c>
      <c r="H441" s="75">
        <f t="shared" si="31"/>
        <v>35651.953657755497</v>
      </c>
      <c r="J441" s="77">
        <f t="shared" si="34"/>
        <v>100</v>
      </c>
      <c r="K441" s="20">
        <f t="shared" si="35"/>
        <v>53</v>
      </c>
      <c r="L441" s="78">
        <f t="shared" si="32"/>
        <v>188.81724936497591</v>
      </c>
    </row>
    <row r="442" spans="6:12" x14ac:dyDescent="0.25">
      <c r="F442" s="77">
        <f t="shared" si="33"/>
        <v>10000</v>
      </c>
      <c r="G442" s="20">
        <v>54</v>
      </c>
      <c r="H442" s="75">
        <f t="shared" si="31"/>
        <v>36517.412725483773</v>
      </c>
      <c r="J442" s="77">
        <f t="shared" si="34"/>
        <v>100</v>
      </c>
      <c r="K442" s="20">
        <f t="shared" si="35"/>
        <v>54</v>
      </c>
      <c r="L442" s="78">
        <f t="shared" si="32"/>
        <v>191.09529749704407</v>
      </c>
    </row>
    <row r="443" spans="6:12" x14ac:dyDescent="0.25">
      <c r="F443" s="77">
        <f t="shared" si="33"/>
        <v>10000</v>
      </c>
      <c r="G443" s="20">
        <v>55</v>
      </c>
      <c r="H443" s="75">
        <f t="shared" si="31"/>
        <v>37403.88100367786</v>
      </c>
      <c r="J443" s="77">
        <f t="shared" si="34"/>
        <v>100</v>
      </c>
      <c r="K443" s="20">
        <f t="shared" si="35"/>
        <v>55</v>
      </c>
      <c r="L443" s="78">
        <f t="shared" si="32"/>
        <v>193.40082989397399</v>
      </c>
    </row>
    <row r="444" spans="6:12" x14ac:dyDescent="0.25">
      <c r="F444" s="77">
        <f t="shared" si="33"/>
        <v>10000</v>
      </c>
      <c r="G444" s="20">
        <v>56</v>
      </c>
      <c r="H444" s="75">
        <f t="shared" si="31"/>
        <v>38311.868495572882</v>
      </c>
      <c r="J444" s="77">
        <f t="shared" si="34"/>
        <v>100</v>
      </c>
      <c r="K444" s="20">
        <f t="shared" si="35"/>
        <v>56</v>
      </c>
      <c r="L444" s="78">
        <f t="shared" si="32"/>
        <v>195.73417814876603</v>
      </c>
    </row>
    <row r="445" spans="6:12" x14ac:dyDescent="0.25">
      <c r="F445" s="77">
        <f t="shared" si="33"/>
        <v>10000</v>
      </c>
      <c r="G445" s="20">
        <v>57</v>
      </c>
      <c r="H445" s="75">
        <f t="shared" si="31"/>
        <v>39241.897584845363</v>
      </c>
      <c r="J445" s="77">
        <f t="shared" si="34"/>
        <v>100</v>
      </c>
      <c r="K445" s="20">
        <f t="shared" si="35"/>
        <v>57</v>
      </c>
      <c r="L445" s="78">
        <f t="shared" si="32"/>
        <v>198.09567785503387</v>
      </c>
    </row>
    <row r="446" spans="6:12" x14ac:dyDescent="0.25">
      <c r="F446" s="77">
        <f t="shared" si="33"/>
        <v>10000</v>
      </c>
      <c r="G446" s="20">
        <v>58</v>
      </c>
      <c r="H446" s="75">
        <f t="shared" si="31"/>
        <v>40194.503336151254</v>
      </c>
      <c r="J446" s="77">
        <f t="shared" si="34"/>
        <v>100</v>
      </c>
      <c r="K446" s="20">
        <f t="shared" si="35"/>
        <v>58</v>
      </c>
      <c r="L446" s="78">
        <f t="shared" si="32"/>
        <v>200.48566865527135</v>
      </c>
    </row>
    <row r="447" spans="6:12" x14ac:dyDescent="0.25">
      <c r="F447" s="77">
        <f t="shared" si="33"/>
        <v>10000</v>
      </c>
      <c r="G447" s="20">
        <v>59</v>
      </c>
      <c r="H447" s="75">
        <f t="shared" si="31"/>
        <v>41170.233802959483</v>
      </c>
      <c r="J447" s="77">
        <f t="shared" si="34"/>
        <v>100</v>
      </c>
      <c r="K447" s="20">
        <f t="shared" si="35"/>
        <v>59</v>
      </c>
      <c r="L447" s="78">
        <f t="shared" si="32"/>
        <v>202.90449428970146</v>
      </c>
    </row>
    <row r="448" spans="6:12" x14ac:dyDescent="0.25">
      <c r="F448" s="77">
        <f t="shared" si="33"/>
        <v>10000</v>
      </c>
      <c r="G448" s="20">
        <v>60</v>
      </c>
      <c r="H448" s="75">
        <f t="shared" si="31"/>
        <v>42169.650342858229</v>
      </c>
      <c r="J448" s="77">
        <f t="shared" si="34"/>
        <v>100</v>
      </c>
      <c r="K448" s="20">
        <f t="shared" si="35"/>
        <v>60</v>
      </c>
      <c r="L448" s="78">
        <f t="shared" si="32"/>
        <v>205.35250264571462</v>
      </c>
    </row>
    <row r="449" spans="6:12" x14ac:dyDescent="0.25">
      <c r="F449" s="77">
        <f t="shared" si="33"/>
        <v>10000</v>
      </c>
      <c r="G449" s="20">
        <v>61</v>
      </c>
      <c r="H449" s="75">
        <f t="shared" si="31"/>
        <v>43193.327940515446</v>
      </c>
      <c r="J449" s="77">
        <f t="shared" si="34"/>
        <v>100</v>
      </c>
      <c r="K449" s="20">
        <f t="shared" si="35"/>
        <v>61</v>
      </c>
      <c r="L449" s="78">
        <f t="shared" si="32"/>
        <v>207.83004580790393</v>
      </c>
    </row>
    <row r="450" spans="6:12" x14ac:dyDescent="0.25">
      <c r="F450" s="77">
        <f t="shared" si="33"/>
        <v>10000</v>
      </c>
      <c r="G450" s="20">
        <v>62</v>
      </c>
      <c r="H450" s="75">
        <f t="shared" si="31"/>
        <v>44241.855538479183</v>
      </c>
      <c r="J450" s="77">
        <f t="shared" si="34"/>
        <v>100</v>
      </c>
      <c r="K450" s="20">
        <f t="shared" si="35"/>
        <v>62</v>
      </c>
      <c r="L450" s="78">
        <f t="shared" si="32"/>
        <v>210.33748010870337</v>
      </c>
    </row>
    <row r="451" spans="6:12" x14ac:dyDescent="0.25">
      <c r="F451" s="77">
        <f t="shared" si="33"/>
        <v>10000</v>
      </c>
      <c r="G451" s="20">
        <v>63</v>
      </c>
      <c r="H451" s="75">
        <f t="shared" si="31"/>
        <v>45315.836376008185</v>
      </c>
      <c r="J451" s="77">
        <f t="shared" si="34"/>
        <v>100</v>
      </c>
      <c r="K451" s="20">
        <f t="shared" si="35"/>
        <v>63</v>
      </c>
      <c r="L451" s="78">
        <f t="shared" si="32"/>
        <v>212.87516617963726</v>
      </c>
    </row>
    <row r="452" spans="6:12" x14ac:dyDescent="0.25">
      <c r="F452" s="77">
        <f t="shared" si="33"/>
        <v>10000</v>
      </c>
      <c r="G452" s="20">
        <v>64</v>
      </c>
      <c r="H452" s="75">
        <f t="shared" ref="H452:H515" si="36">F452*10^(G452/96)</f>
        <v>46415.888336127791</v>
      </c>
      <c r="J452" s="77">
        <f t="shared" si="34"/>
        <v>100</v>
      </c>
      <c r="K452" s="20">
        <f t="shared" si="35"/>
        <v>64</v>
      </c>
      <c r="L452" s="78">
        <f t="shared" si="32"/>
        <v>215.44346900318837</v>
      </c>
    </row>
    <row r="453" spans="6:12" x14ac:dyDescent="0.25">
      <c r="F453" s="77">
        <f t="shared" si="33"/>
        <v>10000</v>
      </c>
      <c r="G453" s="20">
        <v>65</v>
      </c>
      <c r="H453" s="75">
        <f t="shared" si="36"/>
        <v>47542.644301110573</v>
      </c>
      <c r="J453" s="77">
        <f t="shared" si="34"/>
        <v>100</v>
      </c>
      <c r="K453" s="20">
        <f t="shared" si="35"/>
        <v>65</v>
      </c>
      <c r="L453" s="78">
        <f t="shared" ref="L453:L516" si="37">J453*10^(K453/192)</f>
        <v>218.04275796529123</v>
      </c>
    </row>
    <row r="454" spans="6:12" x14ac:dyDescent="0.25">
      <c r="F454" s="77">
        <f t="shared" ref="F454:F484" si="38">F358*10</f>
        <v>10000</v>
      </c>
      <c r="G454" s="20">
        <v>66</v>
      </c>
      <c r="H454" s="75">
        <f t="shared" si="36"/>
        <v>48696.752516586319</v>
      </c>
      <c r="J454" s="77">
        <f t="shared" ref="J454:J517" si="39">J262*10</f>
        <v>100</v>
      </c>
      <c r="K454" s="20">
        <f t="shared" ref="K454:K517" si="40">K453+1</f>
        <v>66</v>
      </c>
      <c r="L454" s="78">
        <f t="shared" si="37"/>
        <v>220.67340690845901</v>
      </c>
    </row>
    <row r="455" spans="6:12" x14ac:dyDescent="0.25">
      <c r="F455" s="77">
        <f t="shared" si="38"/>
        <v>10000</v>
      </c>
      <c r="G455" s="20">
        <v>67</v>
      </c>
      <c r="H455" s="75">
        <f t="shared" si="36"/>
        <v>49878.876964491064</v>
      </c>
      <c r="J455" s="77">
        <f t="shared" si="39"/>
        <v>100</v>
      </c>
      <c r="K455" s="20">
        <f t="shared" si="40"/>
        <v>67</v>
      </c>
      <c r="L455" s="78">
        <f t="shared" si="37"/>
        <v>223.33579418555161</v>
      </c>
    </row>
    <row r="456" spans="6:12" x14ac:dyDescent="0.25">
      <c r="F456" s="77">
        <f t="shared" si="38"/>
        <v>10000</v>
      </c>
      <c r="G456" s="20">
        <v>68</v>
      </c>
      <c r="H456" s="75">
        <f t="shared" si="36"/>
        <v>51089.697745069287</v>
      </c>
      <c r="J456" s="77">
        <f t="shared" si="39"/>
        <v>100</v>
      </c>
      <c r="K456" s="20">
        <f t="shared" si="40"/>
        <v>68</v>
      </c>
      <c r="L456" s="78">
        <f t="shared" si="37"/>
        <v>226.03030271419203</v>
      </c>
    </row>
    <row r="457" spans="6:12" x14ac:dyDescent="0.25">
      <c r="F457" s="77">
        <f t="shared" si="38"/>
        <v>10000</v>
      </c>
      <c r="G457" s="20">
        <v>69</v>
      </c>
      <c r="H457" s="75">
        <f t="shared" si="36"/>
        <v>52329.911468149476</v>
      </c>
      <c r="J457" s="77">
        <f t="shared" si="39"/>
        <v>100</v>
      </c>
      <c r="K457" s="20">
        <f t="shared" si="40"/>
        <v>69</v>
      </c>
      <c r="L457" s="78">
        <f t="shared" si="37"/>
        <v>228.75732003183961</v>
      </c>
    </row>
    <row r="458" spans="6:12" x14ac:dyDescent="0.25">
      <c r="F458" s="77">
        <f t="shared" si="38"/>
        <v>10000</v>
      </c>
      <c r="G458" s="20">
        <v>70</v>
      </c>
      <c r="H458" s="75">
        <f t="shared" si="36"/>
        <v>53600.231653917916</v>
      </c>
      <c r="J458" s="77">
        <f t="shared" si="39"/>
        <v>100</v>
      </c>
      <c r="K458" s="20">
        <f t="shared" si="40"/>
        <v>70</v>
      </c>
      <c r="L458" s="78">
        <f t="shared" si="37"/>
        <v>231.51723835152734</v>
      </c>
    </row>
    <row r="459" spans="6:12" x14ac:dyDescent="0.25">
      <c r="F459" s="77">
        <f t="shared" si="38"/>
        <v>10000</v>
      </c>
      <c r="G459" s="20">
        <v>71</v>
      </c>
      <c r="H459" s="75">
        <f t="shared" si="36"/>
        <v>54901.389143421417</v>
      </c>
      <c r="J459" s="77">
        <f t="shared" si="39"/>
        <v>100</v>
      </c>
      <c r="K459" s="20">
        <f t="shared" si="40"/>
        <v>71</v>
      </c>
      <c r="L459" s="78">
        <f t="shared" si="37"/>
        <v>234.31045461827225</v>
      </c>
    </row>
    <row r="460" spans="6:12" x14ac:dyDescent="0.25">
      <c r="F460" s="77">
        <f t="shared" si="38"/>
        <v>10000</v>
      </c>
      <c r="G460" s="20">
        <v>72</v>
      </c>
      <c r="H460" s="75">
        <f t="shared" si="36"/>
        <v>56234.132519034923</v>
      </c>
      <c r="J460" s="77">
        <f t="shared" si="39"/>
        <v>100</v>
      </c>
      <c r="K460" s="20">
        <f t="shared" si="40"/>
        <v>72</v>
      </c>
      <c r="L460" s="78">
        <f t="shared" si="37"/>
        <v>237.13737056616554</v>
      </c>
    </row>
    <row r="461" spans="6:12" x14ac:dyDescent="0.25">
      <c r="F461" s="77">
        <f t="shared" si="38"/>
        <v>10000</v>
      </c>
      <c r="G461" s="20">
        <v>73</v>
      </c>
      <c r="H461" s="75">
        <f t="shared" si="36"/>
        <v>57599.228535136281</v>
      </c>
      <c r="J461" s="77">
        <f t="shared" si="39"/>
        <v>100</v>
      </c>
      <c r="K461" s="20">
        <f t="shared" si="40"/>
        <v>73</v>
      </c>
      <c r="L461" s="78">
        <f t="shared" si="37"/>
        <v>239.99839277615234</v>
      </c>
    </row>
    <row r="462" spans="6:12" x14ac:dyDescent="0.25">
      <c r="F462" s="77">
        <f t="shared" si="38"/>
        <v>10000</v>
      </c>
      <c r="G462" s="20">
        <v>74</v>
      </c>
      <c r="H462" s="75">
        <f t="shared" si="36"/>
        <v>58997.462559235653</v>
      </c>
      <c r="J462" s="77">
        <f t="shared" si="39"/>
        <v>100</v>
      </c>
      <c r="K462" s="20">
        <f t="shared" si="40"/>
        <v>74</v>
      </c>
      <c r="L462" s="78">
        <f t="shared" si="37"/>
        <v>242.89393273450793</v>
      </c>
    </row>
    <row r="463" spans="6:12" x14ac:dyDescent="0.25">
      <c r="F463" s="77">
        <f t="shared" si="38"/>
        <v>10000</v>
      </c>
      <c r="G463" s="20">
        <v>75</v>
      </c>
      <c r="H463" s="75">
        <f t="shared" si="36"/>
        <v>60429.639023813288</v>
      </c>
      <c r="J463" s="77">
        <f t="shared" si="39"/>
        <v>100</v>
      </c>
      <c r="K463" s="20">
        <f t="shared" si="40"/>
        <v>75</v>
      </c>
      <c r="L463" s="78">
        <f t="shared" si="37"/>
        <v>245.82440689201977</v>
      </c>
    </row>
    <row r="464" spans="6:12" x14ac:dyDescent="0.25">
      <c r="F464" s="77">
        <f t="shared" si="38"/>
        <v>10000</v>
      </c>
      <c r="G464" s="20">
        <v>76</v>
      </c>
      <c r="H464" s="75">
        <f t="shared" si="36"/>
        <v>61896.581889126064</v>
      </c>
      <c r="J464" s="77">
        <f t="shared" si="39"/>
        <v>100</v>
      </c>
      <c r="K464" s="20">
        <f t="shared" si="40"/>
        <v>76</v>
      </c>
      <c r="L464" s="78">
        <f t="shared" si="37"/>
        <v>248.79023672388362</v>
      </c>
    </row>
    <row r="465" spans="6:16" x14ac:dyDescent="0.25">
      <c r="F465" s="77">
        <f t="shared" si="38"/>
        <v>10000</v>
      </c>
      <c r="G465" s="20">
        <v>77</v>
      </c>
      <c r="H465" s="75">
        <f t="shared" si="36"/>
        <v>63399.135117248457</v>
      </c>
      <c r="J465" s="77">
        <f t="shared" si="39"/>
        <v>100</v>
      </c>
      <c r="K465" s="20">
        <f t="shared" si="40"/>
        <v>77</v>
      </c>
      <c r="L465" s="78">
        <f t="shared" si="37"/>
        <v>251.79184879032218</v>
      </c>
    </row>
    <row r="466" spans="6:16" x14ac:dyDescent="0.25">
      <c r="F466" s="77">
        <f t="shared" si="38"/>
        <v>10000</v>
      </c>
      <c r="G466" s="20">
        <v>78</v>
      </c>
      <c r="H466" s="75">
        <f t="shared" si="36"/>
        <v>64938.163157621151</v>
      </c>
      <c r="J466" s="77">
        <f t="shared" si="39"/>
        <v>100</v>
      </c>
      <c r="K466" s="20">
        <f t="shared" si="40"/>
        <v>78</v>
      </c>
      <c r="L466" s="78">
        <f t="shared" si="37"/>
        <v>254.8296747979347</v>
      </c>
      <c r="O466" s="80"/>
    </row>
    <row r="467" spans="6:16" x14ac:dyDescent="0.25">
      <c r="F467" s="77">
        <f t="shared" si="38"/>
        <v>10000</v>
      </c>
      <c r="G467" s="20">
        <v>79</v>
      </c>
      <c r="H467" s="75">
        <f t="shared" si="36"/>
        <v>66514.551444386336</v>
      </c>
      <c r="J467" s="77">
        <f t="shared" si="39"/>
        <v>100</v>
      </c>
      <c r="K467" s="20">
        <f t="shared" si="40"/>
        <v>79</v>
      </c>
      <c r="L467" s="78">
        <f t="shared" si="37"/>
        <v>257.90415166178764</v>
      </c>
    </row>
    <row r="468" spans="6:16" x14ac:dyDescent="0.25">
      <c r="F468" s="77">
        <f t="shared" si="38"/>
        <v>10000</v>
      </c>
      <c r="G468" s="20">
        <v>80</v>
      </c>
      <c r="H468" s="75">
        <f t="shared" si="36"/>
        <v>68129.206905796134</v>
      </c>
      <c r="J468" s="77">
        <f t="shared" si="39"/>
        <v>100</v>
      </c>
      <c r="K468" s="20">
        <f t="shared" si="40"/>
        <v>80</v>
      </c>
      <c r="L468" s="78">
        <f t="shared" si="37"/>
        <v>261.0157215682537</v>
      </c>
    </row>
    <row r="469" spans="6:16" x14ac:dyDescent="0.25">
      <c r="F469" s="77">
        <f t="shared" si="38"/>
        <v>10000</v>
      </c>
      <c r="G469" s="20">
        <v>81</v>
      </c>
      <c r="H469" s="75">
        <f t="shared" si="36"/>
        <v>69783.05848598665</v>
      </c>
      <c r="J469" s="77">
        <f t="shared" si="39"/>
        <v>100</v>
      </c>
      <c r="K469" s="20">
        <f t="shared" si="40"/>
        <v>81</v>
      </c>
      <c r="L469" s="78">
        <f t="shared" si="37"/>
        <v>264.16483203860929</v>
      </c>
    </row>
    <row r="470" spans="6:16" x14ac:dyDescent="0.25">
      <c r="F470" s="77">
        <f t="shared" si="38"/>
        <v>10000</v>
      </c>
      <c r="G470" s="20">
        <v>82</v>
      </c>
      <c r="H470" s="75">
        <f t="shared" si="36"/>
        <v>71477.057679418576</v>
      </c>
      <c r="J470" s="77">
        <f t="shared" si="39"/>
        <v>100</v>
      </c>
      <c r="K470" s="20">
        <f t="shared" si="40"/>
        <v>82</v>
      </c>
      <c r="L470" s="78">
        <f t="shared" si="37"/>
        <v>267.35193599339908</v>
      </c>
      <c r="O470" s="81"/>
      <c r="P470" s="81"/>
    </row>
    <row r="471" spans="6:16" x14ac:dyDescent="0.25">
      <c r="F471" s="77">
        <f t="shared" si="38"/>
        <v>10000</v>
      </c>
      <c r="G471" s="20">
        <v>83</v>
      </c>
      <c r="H471" s="75">
        <f t="shared" si="36"/>
        <v>73212.179078291301</v>
      </c>
      <c r="J471" s="77">
        <f t="shared" si="39"/>
        <v>100</v>
      </c>
      <c r="K471" s="20">
        <f t="shared" si="40"/>
        <v>83</v>
      </c>
      <c r="L471" s="78">
        <f t="shared" si="37"/>
        <v>270.57749181757765</v>
      </c>
      <c r="O471" s="82"/>
    </row>
    <row r="472" spans="6:16" x14ac:dyDescent="0.25">
      <c r="F472" s="77">
        <f t="shared" si="38"/>
        <v>10000</v>
      </c>
      <c r="G472" s="20">
        <v>84</v>
      </c>
      <c r="H472" s="75">
        <f t="shared" si="36"/>
        <v>74989.420933245594</v>
      </c>
      <c r="J472" s="77">
        <f t="shared" si="39"/>
        <v>100</v>
      </c>
      <c r="K472" s="20">
        <f t="shared" si="40"/>
        <v>84</v>
      </c>
      <c r="L472" s="78">
        <f t="shared" si="37"/>
        <v>273.84196342643617</v>
      </c>
    </row>
    <row r="473" spans="6:16" x14ac:dyDescent="0.25">
      <c r="F473" s="77">
        <f t="shared" si="38"/>
        <v>10000</v>
      </c>
      <c r="G473" s="20">
        <v>85</v>
      </c>
      <c r="H473" s="75">
        <f t="shared" si="36"/>
        <v>76809.805727677551</v>
      </c>
      <c r="J473" s="77">
        <f t="shared" si="39"/>
        <v>100</v>
      </c>
      <c r="K473" s="20">
        <f t="shared" si="40"/>
        <v>85</v>
      </c>
      <c r="L473" s="78">
        <f t="shared" si="37"/>
        <v>277.14582033232534</v>
      </c>
    </row>
    <row r="474" spans="6:16" x14ac:dyDescent="0.25">
      <c r="F474" s="77">
        <f t="shared" si="38"/>
        <v>10000</v>
      </c>
      <c r="G474" s="20">
        <v>86</v>
      </c>
      <c r="H474" s="75">
        <f t="shared" si="36"/>
        <v>78674.380765994036</v>
      </c>
      <c r="J474" s="77">
        <f t="shared" si="39"/>
        <v>100</v>
      </c>
      <c r="K474" s="20">
        <f t="shared" si="40"/>
        <v>86</v>
      </c>
      <c r="L474" s="78">
        <f t="shared" si="37"/>
        <v>280.48953771218282</v>
      </c>
    </row>
    <row r="475" spans="6:16" x14ac:dyDescent="0.25">
      <c r="F475" s="77">
        <f t="shared" si="38"/>
        <v>10000</v>
      </c>
      <c r="G475" s="20">
        <v>87</v>
      </c>
      <c r="H475" s="75">
        <f t="shared" si="36"/>
        <v>80584.218776148191</v>
      </c>
      <c r="J475" s="77">
        <f t="shared" si="39"/>
        <v>100</v>
      </c>
      <c r="K475" s="20">
        <f t="shared" si="40"/>
        <v>87</v>
      </c>
      <c r="L475" s="78">
        <f t="shared" si="37"/>
        <v>283.8735964758755</v>
      </c>
    </row>
    <row r="476" spans="6:16" x14ac:dyDescent="0.25">
      <c r="F476" s="77">
        <f t="shared" si="38"/>
        <v>10000</v>
      </c>
      <c r="G476" s="20">
        <v>88</v>
      </c>
      <c r="H476" s="75">
        <f t="shared" si="36"/>
        <v>82540.418526801834</v>
      </c>
      <c r="J476" s="77">
        <f t="shared" si="39"/>
        <v>100</v>
      </c>
      <c r="K476" s="20">
        <f t="shared" si="40"/>
        <v>88</v>
      </c>
      <c r="L476" s="78">
        <f t="shared" si="37"/>
        <v>287.29848333536643</v>
      </c>
    </row>
    <row r="477" spans="6:16" x14ac:dyDescent="0.25">
      <c r="F477" s="77">
        <f t="shared" si="38"/>
        <v>10000</v>
      </c>
      <c r="G477" s="20">
        <v>89</v>
      </c>
      <c r="H477" s="75">
        <f t="shared" si="36"/>
        <v>84544.10545946924</v>
      </c>
      <c r="J477" s="77">
        <f t="shared" si="39"/>
        <v>100</v>
      </c>
      <c r="K477" s="20">
        <f t="shared" si="40"/>
        <v>89</v>
      </c>
      <c r="L477" s="78">
        <f t="shared" si="37"/>
        <v>290.76469087471617</v>
      </c>
    </row>
    <row r="478" spans="6:16" x14ac:dyDescent="0.25">
      <c r="F478" s="77">
        <f t="shared" si="38"/>
        <v>10000</v>
      </c>
      <c r="G478" s="20">
        <v>90</v>
      </c>
      <c r="H478" s="75">
        <f t="shared" si="36"/>
        <v>86596.432336006561</v>
      </c>
      <c r="J478" s="77">
        <f t="shared" si="39"/>
        <v>100</v>
      </c>
      <c r="K478" s="20">
        <f t="shared" si="40"/>
        <v>90</v>
      </c>
      <c r="L478" s="78">
        <f t="shared" si="37"/>
        <v>294.27271762092823</v>
      </c>
    </row>
    <row r="479" spans="6:16" x14ac:dyDescent="0.25">
      <c r="F479" s="77">
        <f t="shared" si="38"/>
        <v>10000</v>
      </c>
      <c r="G479" s="20">
        <v>91</v>
      </c>
      <c r="H479" s="75">
        <f t="shared" si="36"/>
        <v>88698.57990181919</v>
      </c>
      <c r="J479" s="77">
        <f t="shared" si="39"/>
        <v>100</v>
      </c>
      <c r="K479" s="20">
        <f t="shared" si="40"/>
        <v>91</v>
      </c>
      <c r="L479" s="78">
        <f t="shared" si="37"/>
        <v>297.82306811565013</v>
      </c>
    </row>
    <row r="480" spans="6:16" x14ac:dyDescent="0.25">
      <c r="F480" s="77">
        <f t="shared" si="38"/>
        <v>10000</v>
      </c>
      <c r="G480" s="20">
        <v>92</v>
      </c>
      <c r="H480" s="75">
        <f t="shared" si="36"/>
        <v>90851.757565168708</v>
      </c>
      <c r="J480" s="77">
        <f t="shared" si="39"/>
        <v>100</v>
      </c>
      <c r="K480" s="20">
        <f t="shared" si="40"/>
        <v>92</v>
      </c>
      <c r="L480" s="78">
        <f t="shared" si="37"/>
        <v>301.41625298773909</v>
      </c>
    </row>
    <row r="481" spans="6:12" x14ac:dyDescent="0.25">
      <c r="F481" s="77">
        <f t="shared" si="38"/>
        <v>10000</v>
      </c>
      <c r="G481" s="20">
        <v>93</v>
      </c>
      <c r="H481" s="75">
        <f t="shared" si="36"/>
        <v>93057.2040929699</v>
      </c>
      <c r="J481" s="77">
        <f t="shared" si="39"/>
        <v>100</v>
      </c>
      <c r="K481" s="20">
        <f t="shared" si="40"/>
        <v>93</v>
      </c>
      <c r="L481" s="78">
        <f t="shared" si="37"/>
        <v>305.05278902670256</v>
      </c>
    </row>
    <row r="482" spans="6:12" x14ac:dyDescent="0.25">
      <c r="F482" s="77">
        <f t="shared" si="38"/>
        <v>10000</v>
      </c>
      <c r="G482" s="20">
        <v>94</v>
      </c>
      <c r="H482" s="75">
        <f t="shared" si="36"/>
        <v>95316.188323478782</v>
      </c>
      <c r="J482" s="77">
        <f t="shared" si="39"/>
        <v>100</v>
      </c>
      <c r="K482" s="20">
        <f t="shared" si="40"/>
        <v>94</v>
      </c>
      <c r="L482" s="78">
        <f t="shared" si="37"/>
        <v>308.7331992570264</v>
      </c>
    </row>
    <row r="483" spans="6:12" x14ac:dyDescent="0.25">
      <c r="F483" s="77">
        <f t="shared" si="38"/>
        <v>10000</v>
      </c>
      <c r="G483" s="20">
        <v>95</v>
      </c>
      <c r="H483" s="75">
        <f t="shared" si="36"/>
        <v>97630.009896280782</v>
      </c>
      <c r="J483" s="77">
        <f t="shared" si="39"/>
        <v>100</v>
      </c>
      <c r="K483" s="20">
        <f t="shared" si="40"/>
        <v>95</v>
      </c>
      <c r="L483" s="78">
        <f t="shared" si="37"/>
        <v>312.45801301339799</v>
      </c>
    </row>
    <row r="484" spans="6:12" x14ac:dyDescent="0.25">
      <c r="F484" s="77">
        <f t="shared" si="38"/>
        <v>10000</v>
      </c>
      <c r="G484" s="20">
        <v>96</v>
      </c>
      <c r="H484" s="75">
        <f t="shared" si="36"/>
        <v>100000</v>
      </c>
      <c r="J484" s="77">
        <f t="shared" si="39"/>
        <v>100</v>
      </c>
      <c r="K484" s="20">
        <f t="shared" si="40"/>
        <v>96</v>
      </c>
      <c r="L484" s="78">
        <f t="shared" si="37"/>
        <v>316.22776601683796</v>
      </c>
    </row>
    <row r="485" spans="6:12" x14ac:dyDescent="0.25">
      <c r="F485" s="77">
        <f>F389*10</f>
        <v>100000</v>
      </c>
      <c r="G485" s="20">
        <v>1</v>
      </c>
      <c r="H485" s="75">
        <f t="shared" si="36"/>
        <v>102427.52213815923</v>
      </c>
      <c r="J485" s="77">
        <f t="shared" si="39"/>
        <v>100</v>
      </c>
      <c r="K485" s="20">
        <f t="shared" si="40"/>
        <v>97</v>
      </c>
      <c r="L485" s="78">
        <f t="shared" si="37"/>
        <v>320.04300045175069</v>
      </c>
    </row>
    <row r="486" spans="6:12" x14ac:dyDescent="0.25">
      <c r="F486" s="77">
        <f t="shared" ref="F486:F549" si="41">F390*10</f>
        <v>100000</v>
      </c>
      <c r="G486" s="20">
        <v>2</v>
      </c>
      <c r="H486" s="75">
        <f t="shared" si="36"/>
        <v>104913.97291363098</v>
      </c>
      <c r="J486" s="77">
        <f t="shared" si="39"/>
        <v>100</v>
      </c>
      <c r="K486" s="20">
        <f t="shared" si="40"/>
        <v>98</v>
      </c>
      <c r="L486" s="78">
        <f t="shared" si="37"/>
        <v>323.90426504390308</v>
      </c>
    </row>
    <row r="487" spans="6:12" x14ac:dyDescent="0.25">
      <c r="F487" s="77">
        <f t="shared" si="41"/>
        <v>100000</v>
      </c>
      <c r="G487" s="20">
        <v>3</v>
      </c>
      <c r="H487" s="75">
        <f t="shared" si="36"/>
        <v>107460.78283213174</v>
      </c>
      <c r="J487" s="77">
        <f t="shared" si="39"/>
        <v>100</v>
      </c>
      <c r="K487" s="20">
        <f t="shared" si="40"/>
        <v>99</v>
      </c>
      <c r="L487" s="78">
        <f t="shared" si="37"/>
        <v>327.81211513934591</v>
      </c>
    </row>
    <row r="488" spans="6:12" x14ac:dyDescent="0.25">
      <c r="F488" s="77">
        <f t="shared" si="41"/>
        <v>100000</v>
      </c>
      <c r="G488" s="20">
        <v>4</v>
      </c>
      <c r="H488" s="75">
        <f t="shared" si="36"/>
        <v>110069.41712522096</v>
      </c>
      <c r="J488" s="77">
        <f t="shared" si="39"/>
        <v>100</v>
      </c>
      <c r="K488" s="20">
        <f t="shared" si="40"/>
        <v>100</v>
      </c>
      <c r="L488" s="78">
        <f t="shared" si="37"/>
        <v>331.76711278428581</v>
      </c>
    </row>
    <row r="489" spans="6:12" x14ac:dyDescent="0.25">
      <c r="F489" s="77">
        <f t="shared" si="41"/>
        <v>100000</v>
      </c>
      <c r="G489" s="20">
        <v>5</v>
      </c>
      <c r="H489" s="75">
        <f t="shared" si="36"/>
        <v>112741.37659327852</v>
      </c>
      <c r="J489" s="77">
        <f t="shared" si="39"/>
        <v>100</v>
      </c>
      <c r="K489" s="20">
        <f t="shared" si="40"/>
        <v>101</v>
      </c>
      <c r="L489" s="78">
        <f t="shared" si="37"/>
        <v>335.76982680592147</v>
      </c>
    </row>
    <row r="490" spans="6:12" x14ac:dyDescent="0.25">
      <c r="F490" s="77">
        <f t="shared" si="41"/>
        <v>100000</v>
      </c>
      <c r="G490" s="20">
        <v>6</v>
      </c>
      <c r="H490" s="75">
        <f t="shared" si="36"/>
        <v>115478.19846894582</v>
      </c>
      <c r="J490" s="77">
        <f t="shared" si="39"/>
        <v>100</v>
      </c>
      <c r="K490" s="20">
        <f t="shared" si="40"/>
        <v>102</v>
      </c>
      <c r="L490" s="78">
        <f t="shared" si="37"/>
        <v>339.82083289425594</v>
      </c>
    </row>
    <row r="491" spans="6:12" x14ac:dyDescent="0.25">
      <c r="F491" s="77">
        <f t="shared" si="41"/>
        <v>100000</v>
      </c>
      <c r="G491" s="20">
        <v>7</v>
      </c>
      <c r="H491" s="75">
        <f t="shared" si="36"/>
        <v>118281.45730152693</v>
      </c>
      <c r="J491" s="77">
        <f t="shared" si="39"/>
        <v>100</v>
      </c>
      <c r="K491" s="20">
        <f t="shared" si="40"/>
        <v>103</v>
      </c>
      <c r="L491" s="78">
        <f t="shared" si="37"/>
        <v>343.92071368489417</v>
      </c>
    </row>
    <row r="492" spans="6:12" x14ac:dyDescent="0.25">
      <c r="F492" s="77">
        <f t="shared" si="41"/>
        <v>100000</v>
      </c>
      <c r="G492" s="20">
        <v>8</v>
      </c>
      <c r="H492" s="75">
        <f t="shared" si="36"/>
        <v>121152.76586285885</v>
      </c>
      <c r="J492" s="77">
        <f t="shared" si="39"/>
        <v>100</v>
      </c>
      <c r="K492" s="20">
        <f t="shared" si="40"/>
        <v>104</v>
      </c>
      <c r="L492" s="78">
        <f t="shared" si="37"/>
        <v>348.07005884284104</v>
      </c>
    </row>
    <row r="493" spans="6:12" x14ac:dyDescent="0.25">
      <c r="F493" s="77">
        <f t="shared" si="41"/>
        <v>100000</v>
      </c>
      <c r="G493" s="20">
        <v>9</v>
      </c>
      <c r="H493" s="75">
        <f t="shared" si="36"/>
        <v>124093.77607517196</v>
      </c>
      <c r="J493" s="77">
        <f t="shared" si="39"/>
        <v>100</v>
      </c>
      <c r="K493" s="20">
        <f t="shared" si="40"/>
        <v>105</v>
      </c>
      <c r="L493" s="78">
        <f t="shared" si="37"/>
        <v>352.26946514731014</v>
      </c>
    </row>
    <row r="494" spans="6:12" x14ac:dyDescent="0.25">
      <c r="F494" s="77">
        <f t="shared" si="41"/>
        <v>100000</v>
      </c>
      <c r="G494" s="20">
        <v>10</v>
      </c>
      <c r="H494" s="75">
        <f t="shared" si="36"/>
        <v>127106.17996147448</v>
      </c>
      <c r="J494" s="77">
        <f t="shared" si="39"/>
        <v>100</v>
      </c>
      <c r="K494" s="20">
        <f t="shared" si="40"/>
        <v>106</v>
      </c>
      <c r="L494" s="78">
        <f t="shared" si="37"/>
        <v>356.51953657755496</v>
      </c>
    </row>
    <row r="495" spans="6:12" x14ac:dyDescent="0.25">
      <c r="F495" s="77">
        <f t="shared" si="41"/>
        <v>100000</v>
      </c>
      <c r="G495" s="20">
        <v>11</v>
      </c>
      <c r="H495" s="75">
        <f t="shared" si="36"/>
        <v>130191.71061900779</v>
      </c>
      <c r="J495" s="77">
        <f t="shared" si="39"/>
        <v>100</v>
      </c>
      <c r="K495" s="20">
        <f t="shared" si="40"/>
        <v>107</v>
      </c>
      <c r="L495" s="78">
        <f t="shared" si="37"/>
        <v>360.8208843997362</v>
      </c>
    </row>
    <row r="496" spans="6:12" x14ac:dyDescent="0.25">
      <c r="F496" s="77">
        <f t="shared" si="41"/>
        <v>100000</v>
      </c>
      <c r="G496" s="20">
        <v>12</v>
      </c>
      <c r="H496" s="75">
        <f t="shared" si="36"/>
        <v>133352.14321633239</v>
      </c>
      <c r="J496" s="77">
        <f t="shared" si="39"/>
        <v>100</v>
      </c>
      <c r="K496" s="20">
        <f t="shared" si="40"/>
        <v>108</v>
      </c>
      <c r="L496" s="78">
        <f t="shared" si="37"/>
        <v>365.17412725483774</v>
      </c>
    </row>
    <row r="497" spans="6:12" x14ac:dyDescent="0.25">
      <c r="F497" s="77">
        <f t="shared" si="41"/>
        <v>100000</v>
      </c>
      <c r="G497" s="20">
        <v>13</v>
      </c>
      <c r="H497" s="75">
        <f t="shared" si="36"/>
        <v>136589.29601461865</v>
      </c>
      <c r="J497" s="77">
        <f t="shared" si="39"/>
        <v>100</v>
      </c>
      <c r="K497" s="20">
        <f t="shared" si="40"/>
        <v>109</v>
      </c>
      <c r="L497" s="78">
        <f t="shared" si="37"/>
        <v>369.5798912476418</v>
      </c>
    </row>
    <row r="498" spans="6:12" x14ac:dyDescent="0.25">
      <c r="F498" s="77">
        <f t="shared" si="41"/>
        <v>100000</v>
      </c>
      <c r="G498" s="20">
        <v>14</v>
      </c>
      <c r="H498" s="75">
        <f t="shared" si="36"/>
        <v>139905.03141372939</v>
      </c>
      <c r="J498" s="77">
        <f t="shared" si="39"/>
        <v>100</v>
      </c>
      <c r="K498" s="20">
        <f t="shared" si="40"/>
        <v>110</v>
      </c>
      <c r="L498" s="78">
        <f t="shared" si="37"/>
        <v>374.03881003677861</v>
      </c>
    </row>
    <row r="499" spans="6:12" x14ac:dyDescent="0.25">
      <c r="F499" s="77">
        <f t="shared" si="41"/>
        <v>100000</v>
      </c>
      <c r="G499" s="20">
        <v>15</v>
      </c>
      <c r="H499" s="75">
        <f t="shared" si="36"/>
        <v>143301.25702369629</v>
      </c>
      <c r="J499" s="77">
        <f t="shared" si="39"/>
        <v>100</v>
      </c>
      <c r="K499" s="20">
        <f t="shared" si="40"/>
        <v>111</v>
      </c>
      <c r="L499" s="78">
        <f t="shared" si="37"/>
        <v>378.55152492586296</v>
      </c>
    </row>
    <row r="500" spans="6:12" x14ac:dyDescent="0.25">
      <c r="F500" s="77">
        <f t="shared" si="41"/>
        <v>100000</v>
      </c>
      <c r="G500" s="20">
        <v>16</v>
      </c>
      <c r="H500" s="75">
        <f t="shared" si="36"/>
        <v>146779.92676220697</v>
      </c>
      <c r="J500" s="77">
        <f t="shared" si="39"/>
        <v>100</v>
      </c>
      <c r="K500" s="20">
        <f t="shared" si="40"/>
        <v>112</v>
      </c>
      <c r="L500" s="78">
        <f t="shared" si="37"/>
        <v>383.11868495572884</v>
      </c>
    </row>
    <row r="501" spans="6:12" x14ac:dyDescent="0.25">
      <c r="F501" s="77">
        <f t="shared" si="41"/>
        <v>100000</v>
      </c>
      <c r="G501" s="20">
        <v>17</v>
      </c>
      <c r="H501" s="75">
        <f t="shared" si="36"/>
        <v>150343.04197873344</v>
      </c>
      <c r="J501" s="77">
        <f t="shared" si="39"/>
        <v>100</v>
      </c>
      <c r="K501" s="20">
        <f t="shared" si="40"/>
        <v>113</v>
      </c>
      <c r="L501" s="78">
        <f t="shared" si="37"/>
        <v>387.74094699777766</v>
      </c>
    </row>
    <row r="502" spans="6:12" x14ac:dyDescent="0.25">
      <c r="F502" s="77">
        <f t="shared" si="41"/>
        <v>100000</v>
      </c>
      <c r="G502" s="20">
        <v>18</v>
      </c>
      <c r="H502" s="75">
        <f t="shared" si="36"/>
        <v>153992.6526059492</v>
      </c>
      <c r="J502" s="77">
        <f t="shared" si="39"/>
        <v>100</v>
      </c>
      <c r="K502" s="20">
        <f t="shared" si="40"/>
        <v>114</v>
      </c>
      <c r="L502" s="78">
        <f t="shared" si="37"/>
        <v>392.41897584845361</v>
      </c>
    </row>
    <row r="503" spans="6:12" x14ac:dyDescent="0.25">
      <c r="F503" s="77">
        <f t="shared" si="41"/>
        <v>100000</v>
      </c>
      <c r="G503" s="20">
        <v>19</v>
      </c>
      <c r="H503" s="75">
        <f t="shared" si="36"/>
        <v>157730.85833909726</v>
      </c>
      <c r="J503" s="77">
        <f t="shared" si="39"/>
        <v>100</v>
      </c>
      <c r="K503" s="20">
        <f t="shared" si="40"/>
        <v>115</v>
      </c>
      <c r="L503" s="78">
        <f t="shared" si="37"/>
        <v>397.15344432485705</v>
      </c>
    </row>
    <row r="504" spans="6:12" x14ac:dyDescent="0.25">
      <c r="F504" s="77">
        <f t="shared" si="41"/>
        <v>100000</v>
      </c>
      <c r="G504" s="20">
        <v>20</v>
      </c>
      <c r="H504" s="75">
        <f t="shared" si="36"/>
        <v>161559.8098439874</v>
      </c>
      <c r="J504" s="77">
        <f t="shared" si="39"/>
        <v>100</v>
      </c>
      <c r="K504" s="20">
        <f t="shared" si="40"/>
        <v>116</v>
      </c>
      <c r="L504" s="78">
        <f t="shared" si="37"/>
        <v>401.94503336151257</v>
      </c>
    </row>
    <row r="505" spans="6:12" x14ac:dyDescent="0.25">
      <c r="F505" s="77">
        <f t="shared" si="41"/>
        <v>100000</v>
      </c>
      <c r="G505" s="20">
        <v>21</v>
      </c>
      <c r="H505" s="75">
        <f t="shared" si="36"/>
        <v>165481.70999431814</v>
      </c>
      <c r="J505" s="77">
        <f t="shared" si="39"/>
        <v>100</v>
      </c>
      <c r="K505" s="20">
        <f t="shared" si="40"/>
        <v>117</v>
      </c>
      <c r="L505" s="78">
        <f t="shared" si="37"/>
        <v>406.79443210830482</v>
      </c>
    </row>
    <row r="506" spans="6:12" x14ac:dyDescent="0.25">
      <c r="F506" s="77">
        <f t="shared" si="41"/>
        <v>100000</v>
      </c>
      <c r="G506" s="20">
        <v>22</v>
      </c>
      <c r="H506" s="75">
        <f t="shared" si="36"/>
        <v>169498.81513903468</v>
      </c>
      <c r="J506" s="77">
        <f t="shared" si="39"/>
        <v>100</v>
      </c>
      <c r="K506" s="20">
        <f t="shared" si="40"/>
        <v>118</v>
      </c>
      <c r="L506" s="78">
        <f t="shared" si="37"/>
        <v>411.70233802959484</v>
      </c>
    </row>
    <row r="507" spans="6:12" x14ac:dyDescent="0.25">
      <c r="F507" s="77">
        <f t="shared" si="41"/>
        <v>100000</v>
      </c>
      <c r="G507" s="20">
        <v>23</v>
      </c>
      <c r="H507" s="75">
        <f t="shared" si="36"/>
        <v>173613.43640045234</v>
      </c>
      <c r="J507" s="77">
        <f t="shared" si="39"/>
        <v>100</v>
      </c>
      <c r="K507" s="20">
        <f t="shared" si="40"/>
        <v>119</v>
      </c>
      <c r="L507" s="78">
        <f t="shared" si="37"/>
        <v>416.669457004533</v>
      </c>
    </row>
    <row r="508" spans="6:12" x14ac:dyDescent="0.25">
      <c r="F508" s="77">
        <f t="shared" si="41"/>
        <v>100000</v>
      </c>
      <c r="G508" s="20">
        <v>24</v>
      </c>
      <c r="H508" s="75">
        <f t="shared" si="36"/>
        <v>177827.94100389231</v>
      </c>
      <c r="J508" s="77">
        <f t="shared" si="39"/>
        <v>100</v>
      </c>
      <c r="K508" s="20">
        <f t="shared" si="40"/>
        <v>120</v>
      </c>
      <c r="L508" s="78">
        <f t="shared" si="37"/>
        <v>421.69650342858233</v>
      </c>
    </row>
    <row r="509" spans="6:12" x14ac:dyDescent="0.25">
      <c r="F509" s="77">
        <f t="shared" si="41"/>
        <v>100000</v>
      </c>
      <c r="G509" s="20">
        <v>25</v>
      </c>
      <c r="H509" s="75">
        <f t="shared" si="36"/>
        <v>182144.75363959454</v>
      </c>
      <c r="J509" s="77">
        <f t="shared" si="39"/>
        <v>100</v>
      </c>
      <c r="K509" s="20">
        <f t="shared" si="40"/>
        <v>121</v>
      </c>
      <c r="L509" s="78">
        <f t="shared" si="37"/>
        <v>426.78420031626587</v>
      </c>
    </row>
    <row r="510" spans="6:12" x14ac:dyDescent="0.25">
      <c r="F510" s="77">
        <f t="shared" si="41"/>
        <v>100000</v>
      </c>
      <c r="G510" s="20">
        <v>26</v>
      </c>
      <c r="H510" s="75">
        <f t="shared" si="36"/>
        <v>186566.35785769121</v>
      </c>
      <c r="J510" s="77">
        <f t="shared" si="39"/>
        <v>100</v>
      </c>
      <c r="K510" s="20">
        <f t="shared" si="40"/>
        <v>122</v>
      </c>
      <c r="L510" s="78">
        <f t="shared" si="37"/>
        <v>431.93327940515445</v>
      </c>
    </row>
    <row r="511" spans="6:12" x14ac:dyDescent="0.25">
      <c r="F511" s="77">
        <f t="shared" si="41"/>
        <v>100000</v>
      </c>
      <c r="G511" s="20">
        <v>27</v>
      </c>
      <c r="H511" s="75">
        <f t="shared" si="36"/>
        <v>191095.29749704406</v>
      </c>
      <c r="J511" s="77">
        <f t="shared" si="39"/>
        <v>100</v>
      </c>
      <c r="K511" s="20">
        <f t="shared" si="40"/>
        <v>123</v>
      </c>
      <c r="L511" s="78">
        <f t="shared" si="37"/>
        <v>437.14448126110898</v>
      </c>
    </row>
    <row r="512" spans="6:12" x14ac:dyDescent="0.25">
      <c r="F512" s="77">
        <f t="shared" si="41"/>
        <v>100000</v>
      </c>
      <c r="G512" s="20">
        <v>28</v>
      </c>
      <c r="H512" s="75">
        <f t="shared" si="36"/>
        <v>195734.17814876605</v>
      </c>
      <c r="J512" s="77">
        <f t="shared" si="39"/>
        <v>100</v>
      </c>
      <c r="K512" s="20">
        <f t="shared" si="40"/>
        <v>124</v>
      </c>
      <c r="L512" s="78">
        <f t="shared" si="37"/>
        <v>442.41855538479183</v>
      </c>
    </row>
    <row r="513" spans="6:12" x14ac:dyDescent="0.25">
      <c r="F513" s="77">
        <f t="shared" si="41"/>
        <v>100000</v>
      </c>
      <c r="G513" s="20">
        <v>29</v>
      </c>
      <c r="H513" s="75">
        <f t="shared" si="36"/>
        <v>200485.66865527135</v>
      </c>
      <c r="J513" s="77">
        <f t="shared" si="39"/>
        <v>100</v>
      </c>
      <c r="K513" s="20">
        <f t="shared" si="40"/>
        <v>125</v>
      </c>
      <c r="L513" s="78">
        <f t="shared" si="37"/>
        <v>447.75626031946371</v>
      </c>
    </row>
    <row r="514" spans="6:12" x14ac:dyDescent="0.25">
      <c r="F514" s="77">
        <f t="shared" si="41"/>
        <v>100000</v>
      </c>
      <c r="G514" s="20">
        <v>30</v>
      </c>
      <c r="H514" s="75">
        <f t="shared" si="36"/>
        <v>205352.50264571462</v>
      </c>
      <c r="J514" s="77">
        <f t="shared" si="39"/>
        <v>100</v>
      </c>
      <c r="K514" s="20">
        <f t="shared" si="40"/>
        <v>126</v>
      </c>
      <c r="L514" s="78">
        <f t="shared" si="37"/>
        <v>453.1583637600819</v>
      </c>
    </row>
    <row r="515" spans="6:12" x14ac:dyDescent="0.25">
      <c r="F515" s="77">
        <f t="shared" si="41"/>
        <v>100000</v>
      </c>
      <c r="G515" s="20">
        <v>31</v>
      </c>
      <c r="H515" s="75">
        <f t="shared" si="36"/>
        <v>210337.48010870337</v>
      </c>
      <c r="J515" s="77">
        <f t="shared" si="39"/>
        <v>100</v>
      </c>
      <c r="K515" s="20">
        <f t="shared" si="40"/>
        <v>127</v>
      </c>
      <c r="L515" s="78">
        <f t="shared" si="37"/>
        <v>458.6256426637126</v>
      </c>
    </row>
    <row r="516" spans="6:12" x14ac:dyDescent="0.25">
      <c r="F516" s="77">
        <f t="shared" si="41"/>
        <v>100000</v>
      </c>
      <c r="G516" s="20">
        <v>32</v>
      </c>
      <c r="H516" s="75">
        <f t="shared" ref="H516:H579" si="42">F516*10^(G516/96)</f>
        <v>215443.46900318839</v>
      </c>
      <c r="J516" s="77">
        <f t="shared" si="39"/>
        <v>100</v>
      </c>
      <c r="K516" s="20">
        <f t="shared" si="40"/>
        <v>128</v>
      </c>
      <c r="L516" s="78">
        <f t="shared" si="37"/>
        <v>464.15888336127796</v>
      </c>
    </row>
    <row r="517" spans="6:12" x14ac:dyDescent="0.25">
      <c r="F517" s="77">
        <f t="shared" si="41"/>
        <v>100000</v>
      </c>
      <c r="G517" s="20">
        <v>33</v>
      </c>
      <c r="H517" s="75">
        <f t="shared" si="42"/>
        <v>220673.406908459</v>
      </c>
      <c r="J517" s="77">
        <f t="shared" si="39"/>
        <v>100</v>
      </c>
      <c r="K517" s="20">
        <f t="shared" si="40"/>
        <v>129</v>
      </c>
      <c r="L517" s="78">
        <f t="shared" ref="L517:L580" si="43">J517*10^(K517/192)</f>
        <v>469.75888167064932</v>
      </c>
    </row>
    <row r="518" spans="6:12" x14ac:dyDescent="0.25">
      <c r="F518" s="77">
        <f t="shared" si="41"/>
        <v>100000</v>
      </c>
      <c r="G518" s="20">
        <v>34</v>
      </c>
      <c r="H518" s="75">
        <f t="shared" si="42"/>
        <v>226030.30271419202</v>
      </c>
      <c r="J518" s="77">
        <f t="shared" ref="J518:J580" si="44">J326*10</f>
        <v>100</v>
      </c>
      <c r="K518" s="20">
        <f t="shared" ref="K518:K563" si="45">K517+1</f>
        <v>130</v>
      </c>
      <c r="L518" s="78">
        <f t="shared" si="43"/>
        <v>475.42644301110568</v>
      </c>
    </row>
    <row r="519" spans="6:12" x14ac:dyDescent="0.25">
      <c r="F519" s="77">
        <f t="shared" si="41"/>
        <v>100000</v>
      </c>
      <c r="G519" s="20">
        <v>35</v>
      </c>
      <c r="H519" s="75">
        <f t="shared" si="42"/>
        <v>231517.23835152734</v>
      </c>
      <c r="J519" s="77">
        <f t="shared" si="44"/>
        <v>100</v>
      </c>
      <c r="K519" s="20">
        <f t="shared" si="45"/>
        <v>131</v>
      </c>
      <c r="L519" s="78">
        <f t="shared" si="43"/>
        <v>481.16238251917338</v>
      </c>
    </row>
    <row r="520" spans="6:12" x14ac:dyDescent="0.25">
      <c r="F520" s="77">
        <f t="shared" si="41"/>
        <v>100000</v>
      </c>
      <c r="G520" s="20">
        <v>36</v>
      </c>
      <c r="H520" s="75">
        <f t="shared" si="42"/>
        <v>237137.37056616554</v>
      </c>
      <c r="J520" s="77">
        <f t="shared" si="44"/>
        <v>100</v>
      </c>
      <c r="K520" s="20">
        <f t="shared" si="45"/>
        <v>132</v>
      </c>
      <c r="L520" s="78">
        <f t="shared" si="43"/>
        <v>486.96752516586315</v>
      </c>
    </row>
    <row r="521" spans="6:12" x14ac:dyDescent="0.25">
      <c r="F521" s="77">
        <f t="shared" si="41"/>
        <v>100000</v>
      </c>
      <c r="G521" s="20">
        <v>37</v>
      </c>
      <c r="H521" s="75">
        <f t="shared" si="42"/>
        <v>242893.93273450792</v>
      </c>
      <c r="J521" s="77">
        <f t="shared" si="44"/>
        <v>100</v>
      </c>
      <c r="K521" s="20">
        <f t="shared" si="45"/>
        <v>133</v>
      </c>
      <c r="L521" s="78">
        <f t="shared" si="43"/>
        <v>492.8427058753208</v>
      </c>
    </row>
    <row r="522" spans="6:12" x14ac:dyDescent="0.25">
      <c r="F522" s="77">
        <f t="shared" si="41"/>
        <v>100000</v>
      </c>
      <c r="G522" s="20">
        <v>38</v>
      </c>
      <c r="H522" s="75">
        <f t="shared" si="42"/>
        <v>248790.23672388363</v>
      </c>
      <c r="J522" s="77">
        <f t="shared" si="44"/>
        <v>100</v>
      </c>
      <c r="K522" s="20">
        <f t="shared" si="45"/>
        <v>134</v>
      </c>
      <c r="L522" s="78">
        <f t="shared" si="43"/>
        <v>498.78876964491059</v>
      </c>
    </row>
    <row r="523" spans="6:12" x14ac:dyDescent="0.25">
      <c r="F523" s="77">
        <f t="shared" si="41"/>
        <v>100000</v>
      </c>
      <c r="G523" s="20">
        <v>39</v>
      </c>
      <c r="H523" s="75">
        <f t="shared" si="42"/>
        <v>254829.67479793471</v>
      </c>
      <c r="J523" s="77">
        <f t="shared" si="44"/>
        <v>100</v>
      </c>
      <c r="K523" s="20">
        <f t="shared" si="45"/>
        <v>135</v>
      </c>
      <c r="L523" s="78">
        <f t="shared" si="43"/>
        <v>504.80657166674712</v>
      </c>
    </row>
    <row r="524" spans="6:12" x14ac:dyDescent="0.25">
      <c r="F524" s="77">
        <f t="shared" si="41"/>
        <v>100000</v>
      </c>
      <c r="G524" s="20">
        <v>40</v>
      </c>
      <c r="H524" s="75">
        <f t="shared" si="42"/>
        <v>261015.72156825374</v>
      </c>
      <c r="J524" s="77">
        <f t="shared" si="44"/>
        <v>100</v>
      </c>
      <c r="K524" s="20">
        <f t="shared" si="45"/>
        <v>136</v>
      </c>
      <c r="L524" s="78">
        <f t="shared" si="43"/>
        <v>510.89697745069287</v>
      </c>
    </row>
    <row r="525" spans="6:12" x14ac:dyDescent="0.25">
      <c r="F525" s="77">
        <f t="shared" si="41"/>
        <v>100000</v>
      </c>
      <c r="G525" s="20">
        <v>41</v>
      </c>
      <c r="H525" s="75">
        <f t="shared" si="42"/>
        <v>267351.93599339906</v>
      </c>
      <c r="J525" s="77">
        <f t="shared" si="44"/>
        <v>100</v>
      </c>
      <c r="K525" s="20">
        <f t="shared" si="45"/>
        <v>137</v>
      </c>
      <c r="L525" s="78">
        <f t="shared" si="43"/>
        <v>517.06086294884005</v>
      </c>
    </row>
    <row r="526" spans="6:12" x14ac:dyDescent="0.25">
      <c r="F526" s="77">
        <f t="shared" si="41"/>
        <v>100000</v>
      </c>
      <c r="G526" s="20">
        <v>42</v>
      </c>
      <c r="H526" s="75">
        <f t="shared" si="42"/>
        <v>273841.96342643612</v>
      </c>
      <c r="J526" s="77">
        <f t="shared" si="44"/>
        <v>100</v>
      </c>
      <c r="K526" s="20">
        <f t="shared" si="45"/>
        <v>138</v>
      </c>
      <c r="L526" s="78">
        <f t="shared" si="43"/>
        <v>523.29911468149476</v>
      </c>
    </row>
    <row r="527" spans="6:12" x14ac:dyDescent="0.25">
      <c r="F527" s="77">
        <f t="shared" si="41"/>
        <v>100000</v>
      </c>
      <c r="G527" s="20">
        <v>43</v>
      </c>
      <c r="H527" s="75">
        <f t="shared" si="42"/>
        <v>280489.53771218279</v>
      </c>
      <c r="J527" s="77">
        <f t="shared" si="44"/>
        <v>100</v>
      </c>
      <c r="K527" s="20">
        <f t="shared" si="45"/>
        <v>139</v>
      </c>
      <c r="L527" s="78">
        <f t="shared" si="43"/>
        <v>529.61262986468046</v>
      </c>
    </row>
    <row r="528" spans="6:12" x14ac:dyDescent="0.25">
      <c r="F528" s="77">
        <f t="shared" si="41"/>
        <v>100000</v>
      </c>
      <c r="G528" s="20">
        <v>44</v>
      </c>
      <c r="H528" s="75">
        <f t="shared" si="42"/>
        <v>287298.48333536647</v>
      </c>
      <c r="J528" s="77">
        <f t="shared" si="44"/>
        <v>100</v>
      </c>
      <c r="K528" s="20">
        <f t="shared" si="45"/>
        <v>140</v>
      </c>
      <c r="L528" s="78">
        <f t="shared" si="43"/>
        <v>536.00231653917922</v>
      </c>
    </row>
    <row r="529" spans="6:12" x14ac:dyDescent="0.25">
      <c r="F529" s="77">
        <f t="shared" si="41"/>
        <v>100000</v>
      </c>
      <c r="G529" s="20">
        <v>45</v>
      </c>
      <c r="H529" s="75">
        <f t="shared" si="42"/>
        <v>294272.71762092825</v>
      </c>
      <c r="J529" s="77">
        <f t="shared" si="44"/>
        <v>100</v>
      </c>
      <c r="K529" s="20">
        <f t="shared" si="45"/>
        <v>141</v>
      </c>
      <c r="L529" s="78">
        <f t="shared" si="43"/>
        <v>542.46909370113258</v>
      </c>
    </row>
    <row r="530" spans="6:12" x14ac:dyDescent="0.25">
      <c r="F530" s="77">
        <f t="shared" si="41"/>
        <v>100000</v>
      </c>
      <c r="G530" s="20">
        <v>46</v>
      </c>
      <c r="H530" s="75">
        <f t="shared" si="42"/>
        <v>301416.25298773905</v>
      </c>
      <c r="J530" s="77">
        <f t="shared" si="44"/>
        <v>100</v>
      </c>
      <c r="K530" s="20">
        <f t="shared" si="45"/>
        <v>142</v>
      </c>
      <c r="L530" s="78">
        <f t="shared" si="43"/>
        <v>549.0138914342142</v>
      </c>
    </row>
    <row r="531" spans="6:12" x14ac:dyDescent="0.25">
      <c r="F531" s="77">
        <f t="shared" si="41"/>
        <v>100000</v>
      </c>
      <c r="G531" s="20">
        <v>47</v>
      </c>
      <c r="H531" s="75">
        <f t="shared" si="42"/>
        <v>308733.19925702643</v>
      </c>
      <c r="J531" s="77">
        <f t="shared" si="44"/>
        <v>100</v>
      </c>
      <c r="K531" s="20">
        <f t="shared" si="45"/>
        <v>143</v>
      </c>
      <c r="L531" s="78">
        <f t="shared" si="43"/>
        <v>555.63765104339927</v>
      </c>
    </row>
    <row r="532" spans="6:12" x14ac:dyDescent="0.25">
      <c r="F532" s="77">
        <f t="shared" si="41"/>
        <v>100000</v>
      </c>
      <c r="G532" s="20">
        <v>48</v>
      </c>
      <c r="H532" s="75">
        <f t="shared" si="42"/>
        <v>316227.76601683797</v>
      </c>
      <c r="J532" s="77">
        <f t="shared" si="44"/>
        <v>100</v>
      </c>
      <c r="K532" s="20">
        <f t="shared" si="45"/>
        <v>144</v>
      </c>
      <c r="L532" s="78">
        <f t="shared" si="43"/>
        <v>562.34132519034915</v>
      </c>
    </row>
    <row r="533" spans="6:12" x14ac:dyDescent="0.25">
      <c r="F533" s="77">
        <f t="shared" si="41"/>
        <v>100000</v>
      </c>
      <c r="G533" s="20">
        <v>49</v>
      </c>
      <c r="H533" s="75">
        <f t="shared" si="42"/>
        <v>323904.26504390308</v>
      </c>
      <c r="J533" s="77">
        <f t="shared" si="44"/>
        <v>100</v>
      </c>
      <c r="K533" s="20">
        <f t="shared" si="45"/>
        <v>145</v>
      </c>
      <c r="L533" s="78">
        <f t="shared" si="43"/>
        <v>569.12587803042584</v>
      </c>
    </row>
    <row r="534" spans="6:12" x14ac:dyDescent="0.25">
      <c r="F534" s="77">
        <f t="shared" si="41"/>
        <v>100000</v>
      </c>
      <c r="G534" s="20">
        <v>50</v>
      </c>
      <c r="H534" s="75">
        <f t="shared" si="42"/>
        <v>331767.1127842858</v>
      </c>
      <c r="J534" s="77">
        <f t="shared" si="44"/>
        <v>100</v>
      </c>
      <c r="K534" s="20">
        <f t="shared" si="45"/>
        <v>146</v>
      </c>
      <c r="L534" s="78">
        <f t="shared" si="43"/>
        <v>575.99228535136285</v>
      </c>
    </row>
    <row r="535" spans="6:12" x14ac:dyDescent="0.25">
      <c r="F535" s="77">
        <f t="shared" si="41"/>
        <v>100000</v>
      </c>
      <c r="G535" s="20">
        <v>51</v>
      </c>
      <c r="H535" s="75">
        <f t="shared" si="42"/>
        <v>339820.83289425593</v>
      </c>
      <c r="J535" s="77">
        <f t="shared" si="44"/>
        <v>100</v>
      </c>
      <c r="K535" s="20">
        <f t="shared" si="45"/>
        <v>147</v>
      </c>
      <c r="L535" s="78">
        <f t="shared" si="43"/>
        <v>582.94153471360755</v>
      </c>
    </row>
    <row r="536" spans="6:12" x14ac:dyDescent="0.25">
      <c r="F536" s="77">
        <f t="shared" si="41"/>
        <v>100000</v>
      </c>
      <c r="G536" s="20">
        <v>52</v>
      </c>
      <c r="H536" s="75">
        <f t="shared" si="42"/>
        <v>348070.05884284107</v>
      </c>
      <c r="J536" s="77">
        <f t="shared" si="44"/>
        <v>100</v>
      </c>
      <c r="K536" s="20">
        <f t="shared" si="45"/>
        <v>148</v>
      </c>
      <c r="L536" s="78">
        <f t="shared" si="43"/>
        <v>589.97462559235657</v>
      </c>
    </row>
    <row r="537" spans="6:12" x14ac:dyDescent="0.25">
      <c r="F537" s="77">
        <f t="shared" si="41"/>
        <v>100000</v>
      </c>
      <c r="G537" s="20">
        <v>53</v>
      </c>
      <c r="H537" s="75">
        <f t="shared" si="42"/>
        <v>356519.53657755494</v>
      </c>
      <c r="J537" s="77">
        <f t="shared" si="44"/>
        <v>100</v>
      </c>
      <c r="K537" s="20">
        <f t="shared" si="45"/>
        <v>149</v>
      </c>
      <c r="L537" s="78">
        <f t="shared" si="43"/>
        <v>597.09256952130534</v>
      </c>
    </row>
    <row r="538" spans="6:12" x14ac:dyDescent="0.25">
      <c r="F538" s="77">
        <f t="shared" si="41"/>
        <v>100000</v>
      </c>
      <c r="G538" s="20">
        <v>54</v>
      </c>
      <c r="H538" s="75">
        <f t="shared" si="42"/>
        <v>365174.12725483777</v>
      </c>
      <c r="J538" s="77">
        <f t="shared" si="44"/>
        <v>100</v>
      </c>
      <c r="K538" s="20">
        <f t="shared" si="45"/>
        <v>150</v>
      </c>
      <c r="L538" s="78">
        <f t="shared" si="43"/>
        <v>604.29639023813286</v>
      </c>
    </row>
    <row r="539" spans="6:12" x14ac:dyDescent="0.25">
      <c r="F539" s="77">
        <f t="shared" si="41"/>
        <v>100000</v>
      </c>
      <c r="G539" s="20">
        <v>55</v>
      </c>
      <c r="H539" s="75">
        <f t="shared" si="42"/>
        <v>374038.81003677857</v>
      </c>
      <c r="J539" s="77">
        <f t="shared" si="44"/>
        <v>100</v>
      </c>
      <c r="K539" s="20">
        <f t="shared" si="45"/>
        <v>151</v>
      </c>
      <c r="L539" s="78">
        <f t="shared" si="43"/>
        <v>611.58712383173895</v>
      </c>
    </row>
    <row r="540" spans="6:12" x14ac:dyDescent="0.25">
      <c r="F540" s="77">
        <f t="shared" si="41"/>
        <v>100000</v>
      </c>
      <c r="G540" s="20">
        <v>56</v>
      </c>
      <c r="H540" s="75">
        <f t="shared" si="42"/>
        <v>383118.68495572882</v>
      </c>
      <c r="J540" s="77">
        <f t="shared" si="44"/>
        <v>100</v>
      </c>
      <c r="K540" s="20">
        <f t="shared" si="45"/>
        <v>152</v>
      </c>
      <c r="L540" s="78">
        <f t="shared" si="43"/>
        <v>618.9658188912606</v>
      </c>
    </row>
    <row r="541" spans="6:12" x14ac:dyDescent="0.25">
      <c r="F541" s="77">
        <f t="shared" si="41"/>
        <v>100000</v>
      </c>
      <c r="G541" s="20">
        <v>57</v>
      </c>
      <c r="H541" s="75">
        <f t="shared" si="42"/>
        <v>392418.97584845364</v>
      </c>
      <c r="J541" s="77">
        <f t="shared" si="44"/>
        <v>100</v>
      </c>
      <c r="K541" s="20">
        <f t="shared" si="45"/>
        <v>153</v>
      </c>
      <c r="L541" s="78">
        <f t="shared" si="43"/>
        <v>626.43353665688574</v>
      </c>
    </row>
    <row r="542" spans="6:12" x14ac:dyDescent="0.25">
      <c r="F542" s="77">
        <f t="shared" si="41"/>
        <v>100000</v>
      </c>
      <c r="G542" s="20">
        <v>58</v>
      </c>
      <c r="H542" s="75">
        <f t="shared" si="42"/>
        <v>401945.03336151259</v>
      </c>
      <c r="J542" s="77">
        <f t="shared" si="44"/>
        <v>100</v>
      </c>
      <c r="K542" s="20">
        <f t="shared" si="45"/>
        <v>154</v>
      </c>
      <c r="L542" s="78">
        <f t="shared" si="43"/>
        <v>633.99135117248454</v>
      </c>
    </row>
    <row r="543" spans="6:12" x14ac:dyDescent="0.25">
      <c r="F543" s="77">
        <f t="shared" si="41"/>
        <v>100000</v>
      </c>
      <c r="G543" s="20">
        <v>59</v>
      </c>
      <c r="H543" s="75">
        <f t="shared" si="42"/>
        <v>411702.3380295948</v>
      </c>
      <c r="J543" s="77">
        <f t="shared" si="44"/>
        <v>100</v>
      </c>
      <c r="K543" s="20">
        <f t="shared" si="45"/>
        <v>155</v>
      </c>
      <c r="L543" s="78">
        <f t="shared" si="43"/>
        <v>641.6403494400854</v>
      </c>
    </row>
    <row r="544" spans="6:12" x14ac:dyDescent="0.25">
      <c r="F544" s="77">
        <f t="shared" si="41"/>
        <v>100000</v>
      </c>
      <c r="G544" s="20">
        <v>60</v>
      </c>
      <c r="H544" s="75">
        <f t="shared" si="42"/>
        <v>421696.50342858233</v>
      </c>
      <c r="J544" s="77">
        <f t="shared" si="44"/>
        <v>100</v>
      </c>
      <c r="K544" s="20">
        <f t="shared" si="45"/>
        <v>156</v>
      </c>
      <c r="L544" s="78">
        <f t="shared" si="43"/>
        <v>649.38163157621148</v>
      </c>
    </row>
    <row r="545" spans="6:12" x14ac:dyDescent="0.25">
      <c r="F545" s="77">
        <f t="shared" si="41"/>
        <v>100000</v>
      </c>
      <c r="G545" s="20">
        <v>61</v>
      </c>
      <c r="H545" s="75">
        <f t="shared" si="42"/>
        <v>431933.27940515446</v>
      </c>
      <c r="J545" s="77">
        <f t="shared" si="44"/>
        <v>100</v>
      </c>
      <c r="K545" s="20">
        <f t="shared" si="45"/>
        <v>157</v>
      </c>
      <c r="L545" s="78">
        <f t="shared" si="43"/>
        <v>657.21631097010572</v>
      </c>
    </row>
    <row r="546" spans="6:12" x14ac:dyDescent="0.25">
      <c r="F546" s="77">
        <f t="shared" si="41"/>
        <v>100000</v>
      </c>
      <c r="G546" s="20">
        <v>62</v>
      </c>
      <c r="H546" s="75">
        <f t="shared" si="42"/>
        <v>442418.55538479181</v>
      </c>
      <c r="J546" s="77">
        <f t="shared" si="44"/>
        <v>100</v>
      </c>
      <c r="K546" s="20">
        <f t="shared" si="45"/>
        <v>158</v>
      </c>
      <c r="L546" s="78">
        <f t="shared" si="43"/>
        <v>665.14551444386336</v>
      </c>
    </row>
    <row r="547" spans="6:12" x14ac:dyDescent="0.25">
      <c r="F547" s="77">
        <f t="shared" si="41"/>
        <v>100000</v>
      </c>
      <c r="G547" s="20">
        <v>63</v>
      </c>
      <c r="H547" s="75">
        <f t="shared" si="42"/>
        <v>453158.36376008188</v>
      </c>
      <c r="J547" s="77">
        <f t="shared" si="44"/>
        <v>100</v>
      </c>
      <c r="K547" s="20">
        <f t="shared" si="45"/>
        <v>159</v>
      </c>
      <c r="L547" s="78">
        <f t="shared" si="43"/>
        <v>673.17038241449825</v>
      </c>
    </row>
    <row r="548" spans="6:12" x14ac:dyDescent="0.25">
      <c r="F548" s="77">
        <f t="shared" si="41"/>
        <v>100000</v>
      </c>
      <c r="G548" s="20">
        <v>64</v>
      </c>
      <c r="H548" s="75">
        <f t="shared" si="42"/>
        <v>464158.88336127793</v>
      </c>
      <c r="J548" s="77">
        <f t="shared" si="44"/>
        <v>100</v>
      </c>
      <c r="K548" s="20">
        <f t="shared" si="45"/>
        <v>160</v>
      </c>
      <c r="L548" s="78">
        <f t="shared" si="43"/>
        <v>681.29206905796138</v>
      </c>
    </row>
    <row r="549" spans="6:12" x14ac:dyDescent="0.25">
      <c r="F549" s="77">
        <f t="shared" si="41"/>
        <v>100000</v>
      </c>
      <c r="G549" s="20">
        <v>65</v>
      </c>
      <c r="H549" s="75">
        <f t="shared" si="42"/>
        <v>475426.4430111057</v>
      </c>
      <c r="J549" s="77">
        <f t="shared" si="44"/>
        <v>100</v>
      </c>
      <c r="K549" s="20">
        <f t="shared" si="45"/>
        <v>161</v>
      </c>
      <c r="L549" s="78">
        <f t="shared" si="43"/>
        <v>689.51174247514132</v>
      </c>
    </row>
    <row r="550" spans="6:12" x14ac:dyDescent="0.25">
      <c r="F550" s="77">
        <f t="shared" ref="F550:F580" si="46">F454*10</f>
        <v>100000</v>
      </c>
      <c r="G550" s="20">
        <v>66</v>
      </c>
      <c r="H550" s="75">
        <f t="shared" si="42"/>
        <v>486967.52516586316</v>
      </c>
      <c r="J550" s="77">
        <f t="shared" si="44"/>
        <v>100</v>
      </c>
      <c r="K550" s="20">
        <f t="shared" si="45"/>
        <v>162</v>
      </c>
      <c r="L550" s="78">
        <f t="shared" si="43"/>
        <v>697.83058485986646</v>
      </c>
    </row>
    <row r="551" spans="6:12" x14ac:dyDescent="0.25">
      <c r="F551" s="77">
        <f t="shared" si="46"/>
        <v>100000</v>
      </c>
      <c r="G551" s="20">
        <v>67</v>
      </c>
      <c r="H551" s="75">
        <f t="shared" si="42"/>
        <v>498788.76964491059</v>
      </c>
      <c r="J551" s="77">
        <f t="shared" si="44"/>
        <v>100</v>
      </c>
      <c r="K551" s="20">
        <f t="shared" si="45"/>
        <v>163</v>
      </c>
      <c r="L551" s="78">
        <f t="shared" si="43"/>
        <v>706.24979266893297</v>
      </c>
    </row>
    <row r="552" spans="6:12" x14ac:dyDescent="0.25">
      <c r="F552" s="77">
        <f t="shared" si="46"/>
        <v>100000</v>
      </c>
      <c r="G552" s="20">
        <v>68</v>
      </c>
      <c r="H552" s="75">
        <f t="shared" si="42"/>
        <v>510896.97745069291</v>
      </c>
      <c r="J552" s="77">
        <f t="shared" si="44"/>
        <v>100</v>
      </c>
      <c r="K552" s="20">
        <f t="shared" si="45"/>
        <v>164</v>
      </c>
      <c r="L552" s="78">
        <f t="shared" si="43"/>
        <v>714.77057679418567</v>
      </c>
    </row>
    <row r="553" spans="6:12" x14ac:dyDescent="0.25">
      <c r="F553" s="77">
        <f t="shared" si="46"/>
        <v>100000</v>
      </c>
      <c r="G553" s="20">
        <v>69</v>
      </c>
      <c r="H553" s="75">
        <f t="shared" si="42"/>
        <v>523299.11468149477</v>
      </c>
      <c r="J553" s="77">
        <f t="shared" si="44"/>
        <v>100</v>
      </c>
      <c r="K553" s="20">
        <f t="shared" si="45"/>
        <v>165</v>
      </c>
      <c r="L553" s="78">
        <f t="shared" si="43"/>
        <v>723.39416273667496</v>
      </c>
    </row>
    <row r="554" spans="6:12" x14ac:dyDescent="0.25">
      <c r="F554" s="77">
        <f t="shared" si="46"/>
        <v>100000</v>
      </c>
      <c r="G554" s="20">
        <v>70</v>
      </c>
      <c r="H554" s="75">
        <f t="shared" si="42"/>
        <v>536002.31653917918</v>
      </c>
      <c r="J554" s="77">
        <f t="shared" si="44"/>
        <v>100</v>
      </c>
      <c r="K554" s="20">
        <f t="shared" si="45"/>
        <v>166</v>
      </c>
      <c r="L554" s="78">
        <f t="shared" si="43"/>
        <v>732.12179078291308</v>
      </c>
    </row>
    <row r="555" spans="6:12" x14ac:dyDescent="0.25">
      <c r="F555" s="77">
        <f t="shared" si="46"/>
        <v>100000</v>
      </c>
      <c r="G555" s="20">
        <v>71</v>
      </c>
      <c r="H555" s="75">
        <f t="shared" si="42"/>
        <v>549013.89143421419</v>
      </c>
      <c r="J555" s="77">
        <f t="shared" si="44"/>
        <v>100</v>
      </c>
      <c r="K555" s="20">
        <f t="shared" si="45"/>
        <v>167</v>
      </c>
      <c r="L555" s="78">
        <f t="shared" si="43"/>
        <v>740.95471618325905</v>
      </c>
    </row>
    <row r="556" spans="6:12" x14ac:dyDescent="0.25">
      <c r="F556" s="77">
        <f t="shared" si="46"/>
        <v>100000</v>
      </c>
      <c r="G556" s="20">
        <v>72</v>
      </c>
      <c r="H556" s="75">
        <f t="shared" si="42"/>
        <v>562341.32519034925</v>
      </c>
      <c r="J556" s="77">
        <f t="shared" si="44"/>
        <v>100</v>
      </c>
      <c r="K556" s="20">
        <f t="shared" si="45"/>
        <v>168</v>
      </c>
      <c r="L556" s="78">
        <f t="shared" si="43"/>
        <v>749.89420933245594</v>
      </c>
    </row>
    <row r="557" spans="6:12" x14ac:dyDescent="0.25">
      <c r="F557" s="77">
        <f t="shared" si="46"/>
        <v>100000</v>
      </c>
      <c r="G557" s="20">
        <v>73</v>
      </c>
      <c r="H557" s="75">
        <f t="shared" si="42"/>
        <v>575992.28535136278</v>
      </c>
      <c r="J557" s="77">
        <f t="shared" si="44"/>
        <v>100</v>
      </c>
      <c r="K557" s="20">
        <f t="shared" si="45"/>
        <v>169</v>
      </c>
      <c r="L557" s="78">
        <f t="shared" si="43"/>
        <v>758.9415559523427</v>
      </c>
    </row>
    <row r="558" spans="6:12" x14ac:dyDescent="0.25">
      <c r="F558" s="77">
        <f t="shared" si="46"/>
        <v>100000</v>
      </c>
      <c r="G558" s="20">
        <v>74</v>
      </c>
      <c r="H558" s="75">
        <f t="shared" si="42"/>
        <v>589974.62559235655</v>
      </c>
      <c r="J558" s="77">
        <f t="shared" si="44"/>
        <v>100</v>
      </c>
      <c r="K558" s="20">
        <f t="shared" si="45"/>
        <v>170</v>
      </c>
      <c r="L558" s="78">
        <f t="shared" si="43"/>
        <v>768.09805727677553</v>
      </c>
    </row>
    <row r="559" spans="6:12" x14ac:dyDescent="0.25">
      <c r="F559" s="77">
        <f t="shared" si="46"/>
        <v>100000</v>
      </c>
      <c r="G559" s="20">
        <v>75</v>
      </c>
      <c r="H559" s="75">
        <f t="shared" si="42"/>
        <v>604296.39023813291</v>
      </c>
      <c r="J559" s="77">
        <f t="shared" si="44"/>
        <v>100</v>
      </c>
      <c r="K559" s="20">
        <f t="shared" si="45"/>
        <v>171</v>
      </c>
      <c r="L559" s="78">
        <f t="shared" si="43"/>
        <v>777.36503023877606</v>
      </c>
    </row>
    <row r="560" spans="6:12" x14ac:dyDescent="0.25">
      <c r="F560" s="77">
        <f t="shared" si="46"/>
        <v>100000</v>
      </c>
      <c r="G560" s="20">
        <v>76</v>
      </c>
      <c r="H560" s="75">
        <f t="shared" si="42"/>
        <v>618965.81889126066</v>
      </c>
      <c r="J560" s="77">
        <f t="shared" si="44"/>
        <v>100</v>
      </c>
      <c r="K560" s="20">
        <f t="shared" si="45"/>
        <v>172</v>
      </c>
      <c r="L560" s="78">
        <f t="shared" si="43"/>
        <v>786.74380765994033</v>
      </c>
    </row>
    <row r="561" spans="6:12" x14ac:dyDescent="0.25">
      <c r="F561" s="77">
        <f t="shared" si="46"/>
        <v>100000</v>
      </c>
      <c r="G561" s="20">
        <v>77</v>
      </c>
      <c r="H561" s="75">
        <f t="shared" si="42"/>
        <v>633991.35117248457</v>
      </c>
      <c r="J561" s="77">
        <f t="shared" si="44"/>
        <v>100</v>
      </c>
      <c r="K561" s="20">
        <f t="shared" si="45"/>
        <v>173</v>
      </c>
      <c r="L561" s="78">
        <f t="shared" si="43"/>
        <v>796.23573844213035</v>
      </c>
    </row>
    <row r="562" spans="6:12" x14ac:dyDescent="0.25">
      <c r="F562" s="77">
        <f t="shared" si="46"/>
        <v>100000</v>
      </c>
      <c r="G562" s="20">
        <v>78</v>
      </c>
      <c r="H562" s="75">
        <f t="shared" si="42"/>
        <v>649381.63157621154</v>
      </c>
      <c r="J562" s="77">
        <f t="shared" si="44"/>
        <v>100</v>
      </c>
      <c r="K562" s="20">
        <f t="shared" si="45"/>
        <v>174</v>
      </c>
      <c r="L562" s="78">
        <f t="shared" si="43"/>
        <v>805.84218776148191</v>
      </c>
    </row>
    <row r="563" spans="6:12" x14ac:dyDescent="0.25">
      <c r="F563" s="77">
        <f t="shared" si="46"/>
        <v>100000</v>
      </c>
      <c r="G563" s="20">
        <v>79</v>
      </c>
      <c r="H563" s="75">
        <f t="shared" si="42"/>
        <v>665145.51444386342</v>
      </c>
      <c r="J563" s="77">
        <f t="shared" si="44"/>
        <v>100</v>
      </c>
      <c r="K563" s="20">
        <f t="shared" si="45"/>
        <v>175</v>
      </c>
      <c r="L563" s="78">
        <f t="shared" si="43"/>
        <v>815.56453726474876</v>
      </c>
    </row>
    <row r="564" spans="6:12" x14ac:dyDescent="0.25">
      <c r="F564" s="77">
        <f t="shared" si="46"/>
        <v>100000</v>
      </c>
      <c r="G564" s="20">
        <v>80</v>
      </c>
      <c r="H564" s="75">
        <f t="shared" si="42"/>
        <v>681292.06905796146</v>
      </c>
      <c r="J564" s="77">
        <f t="shared" si="44"/>
        <v>100</v>
      </c>
      <c r="K564" s="20">
        <f>K563+1</f>
        <v>176</v>
      </c>
      <c r="L564" s="78">
        <f t="shared" si="43"/>
        <v>825.4041852680183</v>
      </c>
    </row>
    <row r="565" spans="6:12" x14ac:dyDescent="0.25">
      <c r="F565" s="77">
        <f t="shared" si="46"/>
        <v>100000</v>
      </c>
      <c r="G565" s="20">
        <v>81</v>
      </c>
      <c r="H565" s="75">
        <f t="shared" si="42"/>
        <v>697830.58485986653</v>
      </c>
      <c r="J565" s="77">
        <f t="shared" si="44"/>
        <v>100</v>
      </c>
      <c r="K565" s="20">
        <f t="shared" ref="K565:K580" si="47">K564+1</f>
        <v>177</v>
      </c>
      <c r="L565" s="78">
        <f t="shared" si="43"/>
        <v>835.36254695782623</v>
      </c>
    </row>
    <row r="566" spans="6:12" x14ac:dyDescent="0.25">
      <c r="F566" s="77">
        <f t="shared" si="46"/>
        <v>100000</v>
      </c>
      <c r="G566" s="20">
        <v>82</v>
      </c>
      <c r="H566" s="75">
        <f t="shared" si="42"/>
        <v>714770.57679418568</v>
      </c>
      <c r="J566" s="77">
        <f t="shared" si="44"/>
        <v>100</v>
      </c>
      <c r="K566" s="20">
        <f t="shared" si="47"/>
        <v>178</v>
      </c>
      <c r="L566" s="78">
        <f t="shared" si="43"/>
        <v>845.44105459469245</v>
      </c>
    </row>
    <row r="567" spans="6:12" x14ac:dyDescent="0.25">
      <c r="F567" s="77">
        <f t="shared" si="46"/>
        <v>100000</v>
      </c>
      <c r="G567" s="20">
        <v>83</v>
      </c>
      <c r="H567" s="75">
        <f t="shared" si="42"/>
        <v>732121.7907829131</v>
      </c>
      <c r="J567" s="77">
        <f t="shared" si="44"/>
        <v>100</v>
      </c>
      <c r="K567" s="20">
        <f t="shared" si="47"/>
        <v>179</v>
      </c>
      <c r="L567" s="78">
        <f t="shared" si="43"/>
        <v>855.64115771911838</v>
      </c>
    </row>
    <row r="568" spans="6:12" x14ac:dyDescent="0.25">
      <c r="F568" s="77">
        <f t="shared" si="46"/>
        <v>100000</v>
      </c>
      <c r="G568" s="20">
        <v>84</v>
      </c>
      <c r="H568" s="75">
        <f t="shared" si="42"/>
        <v>749894.20933245588</v>
      </c>
      <c r="J568" s="77">
        <f t="shared" si="44"/>
        <v>100</v>
      </c>
      <c r="K568" s="20">
        <f t="shared" si="47"/>
        <v>180</v>
      </c>
      <c r="L568" s="78">
        <f t="shared" si="43"/>
        <v>865.96432336006558</v>
      </c>
    </row>
    <row r="569" spans="6:12" x14ac:dyDescent="0.25">
      <c r="F569" s="77">
        <f t="shared" si="46"/>
        <v>100000</v>
      </c>
      <c r="G569" s="20">
        <v>85</v>
      </c>
      <c r="H569" s="75">
        <f t="shared" si="42"/>
        <v>768098.05727677548</v>
      </c>
      <c r="J569" s="77">
        <f t="shared" si="44"/>
        <v>100</v>
      </c>
      <c r="K569" s="20">
        <f t="shared" si="47"/>
        <v>181</v>
      </c>
      <c r="L569" s="78">
        <f t="shared" si="43"/>
        <v>876.41203624595198</v>
      </c>
    </row>
    <row r="570" spans="6:12" x14ac:dyDescent="0.25">
      <c r="F570" s="77">
        <f t="shared" si="46"/>
        <v>100000</v>
      </c>
      <c r="G570" s="20">
        <v>86</v>
      </c>
      <c r="H570" s="75">
        <f t="shared" si="42"/>
        <v>786743.80765994033</v>
      </c>
      <c r="J570" s="77">
        <f t="shared" si="44"/>
        <v>100</v>
      </c>
      <c r="K570" s="20">
        <f t="shared" si="47"/>
        <v>182</v>
      </c>
      <c r="L570" s="78">
        <f t="shared" si="43"/>
        <v>886.98579901819187</v>
      </c>
    </row>
    <row r="571" spans="6:12" x14ac:dyDescent="0.25">
      <c r="F571" s="77">
        <f t="shared" si="46"/>
        <v>100000</v>
      </c>
      <c r="G571" s="20">
        <v>87</v>
      </c>
      <c r="H571" s="75">
        <f t="shared" si="42"/>
        <v>805842.18776148185</v>
      </c>
      <c r="J571" s="77">
        <f t="shared" si="44"/>
        <v>100</v>
      </c>
      <c r="K571" s="20">
        <f t="shared" si="47"/>
        <v>183</v>
      </c>
      <c r="L571" s="78">
        <f t="shared" si="43"/>
        <v>897.68713244731441</v>
      </c>
    </row>
    <row r="572" spans="6:12" x14ac:dyDescent="0.25">
      <c r="F572" s="77">
        <f t="shared" si="46"/>
        <v>100000</v>
      </c>
      <c r="G572" s="20">
        <v>88</v>
      </c>
      <c r="H572" s="75">
        <f t="shared" si="42"/>
        <v>825404.18526801828</v>
      </c>
      <c r="J572" s="77">
        <f t="shared" si="44"/>
        <v>100</v>
      </c>
      <c r="K572" s="20">
        <f t="shared" si="47"/>
        <v>184</v>
      </c>
      <c r="L572" s="78">
        <f t="shared" si="43"/>
        <v>908.51757565168703</v>
      </c>
    </row>
    <row r="573" spans="6:12" x14ac:dyDescent="0.25">
      <c r="F573" s="77">
        <f t="shared" si="46"/>
        <v>100000</v>
      </c>
      <c r="G573" s="20">
        <v>89</v>
      </c>
      <c r="H573" s="75">
        <f t="shared" si="42"/>
        <v>845441.05459469242</v>
      </c>
      <c r="J573" s="77">
        <f t="shared" si="44"/>
        <v>100</v>
      </c>
      <c r="K573" s="20">
        <f t="shared" si="47"/>
        <v>185</v>
      </c>
      <c r="L573" s="78">
        <f t="shared" si="43"/>
        <v>919.47868631887934</v>
      </c>
    </row>
    <row r="574" spans="6:12" x14ac:dyDescent="0.25">
      <c r="F574" s="77">
        <f t="shared" si="46"/>
        <v>100000</v>
      </c>
      <c r="G574" s="20">
        <v>90</v>
      </c>
      <c r="H574" s="75">
        <f t="shared" si="42"/>
        <v>865964.32336006558</v>
      </c>
      <c r="J574" s="77">
        <f t="shared" si="44"/>
        <v>100</v>
      </c>
      <c r="K574" s="20">
        <f t="shared" si="47"/>
        <v>186</v>
      </c>
      <c r="L574" s="78">
        <f t="shared" si="43"/>
        <v>930.57204092969903</v>
      </c>
    </row>
    <row r="575" spans="6:12" x14ac:dyDescent="0.25">
      <c r="F575" s="77">
        <f t="shared" si="46"/>
        <v>100000</v>
      </c>
      <c r="G575" s="20">
        <v>91</v>
      </c>
      <c r="H575" s="75">
        <f t="shared" si="42"/>
        <v>886985.79901819187</v>
      </c>
      <c r="J575" s="77">
        <f t="shared" si="44"/>
        <v>100</v>
      </c>
      <c r="K575" s="20">
        <f t="shared" si="47"/>
        <v>187</v>
      </c>
      <c r="L575" s="78">
        <f t="shared" si="43"/>
        <v>941.7992349849261</v>
      </c>
    </row>
    <row r="576" spans="6:12" x14ac:dyDescent="0.25">
      <c r="F576" s="77">
        <f t="shared" si="46"/>
        <v>100000</v>
      </c>
      <c r="G576" s="20">
        <v>92</v>
      </c>
      <c r="H576" s="75">
        <f t="shared" si="42"/>
        <v>908517.57565168699</v>
      </c>
      <c r="J576" s="77">
        <f t="shared" si="44"/>
        <v>100</v>
      </c>
      <c r="K576" s="20">
        <f t="shared" si="47"/>
        <v>188</v>
      </c>
      <c r="L576" s="78">
        <f t="shared" si="43"/>
        <v>953.16188323478775</v>
      </c>
    </row>
    <row r="577" spans="6:12" x14ac:dyDescent="0.25">
      <c r="F577" s="77">
        <f t="shared" si="46"/>
        <v>100000</v>
      </c>
      <c r="G577" s="20">
        <v>93</v>
      </c>
      <c r="H577" s="75">
        <f t="shared" si="42"/>
        <v>930572.04092969897</v>
      </c>
      <c r="J577" s="77">
        <f t="shared" si="44"/>
        <v>100</v>
      </c>
      <c r="K577" s="20">
        <f t="shared" si="47"/>
        <v>189</v>
      </c>
      <c r="L577" s="78">
        <f t="shared" si="43"/>
        <v>964.66161991119964</v>
      </c>
    </row>
    <row r="578" spans="6:12" x14ac:dyDescent="0.25">
      <c r="F578" s="77">
        <f t="shared" si="46"/>
        <v>100000</v>
      </c>
      <c r="G578" s="20">
        <v>94</v>
      </c>
      <c r="H578" s="75">
        <f t="shared" si="42"/>
        <v>953161.88323478773</v>
      </c>
      <c r="J578" s="77">
        <f t="shared" si="44"/>
        <v>100</v>
      </c>
      <c r="K578" s="20">
        <f t="shared" si="47"/>
        <v>190</v>
      </c>
      <c r="L578" s="78">
        <f t="shared" si="43"/>
        <v>976.30009896280785</v>
      </c>
    </row>
    <row r="579" spans="6:12" x14ac:dyDescent="0.25">
      <c r="F579" s="77">
        <f t="shared" si="46"/>
        <v>100000</v>
      </c>
      <c r="G579" s="20">
        <v>95</v>
      </c>
      <c r="H579" s="75">
        <f t="shared" si="42"/>
        <v>976300.09896280791</v>
      </c>
      <c r="J579" s="77">
        <f t="shared" si="44"/>
        <v>100</v>
      </c>
      <c r="K579" s="20">
        <f t="shared" si="47"/>
        <v>191</v>
      </c>
      <c r="L579" s="78">
        <f t="shared" si="43"/>
        <v>988.0789942928692</v>
      </c>
    </row>
    <row r="580" spans="6:12" x14ac:dyDescent="0.25">
      <c r="F580" s="77">
        <f t="shared" si="46"/>
        <v>100000</v>
      </c>
      <c r="G580" s="20">
        <v>96</v>
      </c>
      <c r="H580" s="75">
        <f t="shared" ref="H580:H643" si="48">F580*10^(G580/96)</f>
        <v>1000000</v>
      </c>
      <c r="J580" s="77">
        <f t="shared" si="44"/>
        <v>100</v>
      </c>
      <c r="K580" s="20">
        <f t="shared" si="47"/>
        <v>192</v>
      </c>
      <c r="L580" s="78">
        <f t="shared" si="43"/>
        <v>1000</v>
      </c>
    </row>
    <row r="581" spans="6:12" x14ac:dyDescent="0.25">
      <c r="F581" s="77">
        <f>F485*10</f>
        <v>1000000</v>
      </c>
      <c r="G581" s="20">
        <v>1</v>
      </c>
      <c r="H581" s="75">
        <f t="shared" si="48"/>
        <v>1024275.2213815922</v>
      </c>
      <c r="J581" s="77">
        <f>J389*10</f>
        <v>1000</v>
      </c>
      <c r="K581" s="20">
        <v>1</v>
      </c>
      <c r="L581" s="78">
        <f t="shared" ref="L581:L644" si="49">J581*10^(K581/192)</f>
        <v>1012.0648306218294</v>
      </c>
    </row>
    <row r="582" spans="6:12" x14ac:dyDescent="0.25">
      <c r="F582" s="77">
        <f t="shared" ref="F582:F645" si="50">F486*10</f>
        <v>1000000</v>
      </c>
      <c r="G582" s="20">
        <v>2</v>
      </c>
      <c r="H582" s="75">
        <f t="shared" si="48"/>
        <v>1049139.7291363098</v>
      </c>
      <c r="J582" s="77">
        <f t="shared" ref="J582:J645" si="51">J390*10</f>
        <v>1000</v>
      </c>
      <c r="K582" s="20">
        <f t="shared" ref="K582:K645" si="52">K581+1</f>
        <v>2</v>
      </c>
      <c r="L582" s="78">
        <f t="shared" si="49"/>
        <v>1024.2752213815922</v>
      </c>
    </row>
    <row r="583" spans="6:12" x14ac:dyDescent="0.25">
      <c r="F583" s="77">
        <f t="shared" si="50"/>
        <v>1000000</v>
      </c>
      <c r="G583" s="20">
        <v>3</v>
      </c>
      <c r="H583" s="75">
        <f t="shared" si="48"/>
        <v>1074607.8283213174</v>
      </c>
      <c r="J583" s="77">
        <f t="shared" si="51"/>
        <v>1000</v>
      </c>
      <c r="K583" s="20">
        <f t="shared" si="52"/>
        <v>3</v>
      </c>
      <c r="L583" s="78">
        <f t="shared" si="49"/>
        <v>1036.632928437698</v>
      </c>
    </row>
    <row r="584" spans="6:12" x14ac:dyDescent="0.25">
      <c r="F584" s="77">
        <f t="shared" si="50"/>
        <v>1000000</v>
      </c>
      <c r="G584" s="20">
        <v>4</v>
      </c>
      <c r="H584" s="75">
        <f t="shared" si="48"/>
        <v>1100694.1712522097</v>
      </c>
      <c r="J584" s="77">
        <f t="shared" si="51"/>
        <v>1000</v>
      </c>
      <c r="K584" s="20">
        <f t="shared" si="52"/>
        <v>4</v>
      </c>
      <c r="L584" s="78">
        <f t="shared" si="49"/>
        <v>1049.1397291363098</v>
      </c>
    </row>
    <row r="585" spans="6:12" x14ac:dyDescent="0.25">
      <c r="F585" s="77">
        <f t="shared" si="50"/>
        <v>1000000</v>
      </c>
      <c r="G585" s="20">
        <v>5</v>
      </c>
      <c r="H585" s="75">
        <f t="shared" si="48"/>
        <v>1127413.7659327851</v>
      </c>
      <c r="J585" s="77">
        <f t="shared" si="51"/>
        <v>1000</v>
      </c>
      <c r="K585" s="20">
        <f t="shared" si="52"/>
        <v>5</v>
      </c>
      <c r="L585" s="78">
        <f t="shared" si="49"/>
        <v>1061.7974222669716</v>
      </c>
    </row>
    <row r="586" spans="6:12" x14ac:dyDescent="0.25">
      <c r="F586" s="77">
        <f t="shared" si="50"/>
        <v>1000000</v>
      </c>
      <c r="G586" s="20">
        <v>6</v>
      </c>
      <c r="H586" s="75">
        <f t="shared" si="48"/>
        <v>1154781.9846894583</v>
      </c>
      <c r="J586" s="77">
        <f t="shared" si="51"/>
        <v>1000</v>
      </c>
      <c r="K586" s="20">
        <f t="shared" si="52"/>
        <v>6</v>
      </c>
      <c r="L586" s="78">
        <f t="shared" si="49"/>
        <v>1074.6078283213174</v>
      </c>
    </row>
    <row r="587" spans="6:12" x14ac:dyDescent="0.25">
      <c r="F587" s="77">
        <f t="shared" si="50"/>
        <v>1000000</v>
      </c>
      <c r="G587" s="20">
        <v>7</v>
      </c>
      <c r="H587" s="75">
        <f t="shared" si="48"/>
        <v>1182814.5730152694</v>
      </c>
      <c r="J587" s="77">
        <f t="shared" si="51"/>
        <v>1000</v>
      </c>
      <c r="K587" s="20">
        <f t="shared" si="52"/>
        <v>7</v>
      </c>
      <c r="L587" s="78">
        <f t="shared" si="49"/>
        <v>1087.5727897549061</v>
      </c>
    </row>
    <row r="588" spans="6:12" x14ac:dyDescent="0.25">
      <c r="F588" s="77">
        <f t="shared" si="50"/>
        <v>1000000</v>
      </c>
      <c r="G588" s="20">
        <v>8</v>
      </c>
      <c r="H588" s="75">
        <f t="shared" si="48"/>
        <v>1211527.6586285885</v>
      </c>
      <c r="J588" s="77">
        <f t="shared" si="51"/>
        <v>1000</v>
      </c>
      <c r="K588" s="20">
        <f t="shared" si="52"/>
        <v>8</v>
      </c>
      <c r="L588" s="78">
        <f t="shared" si="49"/>
        <v>1100.6941712522096</v>
      </c>
    </row>
    <row r="589" spans="6:12" x14ac:dyDescent="0.25">
      <c r="F589" s="77">
        <f t="shared" si="50"/>
        <v>1000000</v>
      </c>
      <c r="G589" s="20">
        <v>9</v>
      </c>
      <c r="H589" s="75">
        <f t="shared" si="48"/>
        <v>1240937.7607517196</v>
      </c>
      <c r="J589" s="77">
        <f t="shared" si="51"/>
        <v>1000</v>
      </c>
      <c r="K589" s="20">
        <f t="shared" si="52"/>
        <v>9</v>
      </c>
      <c r="L589" s="78">
        <f t="shared" si="49"/>
        <v>1113.9738599948023</v>
      </c>
    </row>
    <row r="590" spans="6:12" x14ac:dyDescent="0.25">
      <c r="F590" s="77">
        <f t="shared" si="50"/>
        <v>1000000</v>
      </c>
      <c r="G590" s="20">
        <v>10</v>
      </c>
      <c r="H590" s="75">
        <f t="shared" si="48"/>
        <v>1271061.799614745</v>
      </c>
      <c r="J590" s="77">
        <f t="shared" si="51"/>
        <v>1000</v>
      </c>
      <c r="K590" s="20">
        <f t="shared" si="52"/>
        <v>10</v>
      </c>
      <c r="L590" s="78">
        <f t="shared" si="49"/>
        <v>1127.4137659327853</v>
      </c>
    </row>
    <row r="591" spans="6:12" x14ac:dyDescent="0.25">
      <c r="F591" s="77">
        <f t="shared" si="50"/>
        <v>1000000</v>
      </c>
      <c r="G591" s="20">
        <v>11</v>
      </c>
      <c r="H591" s="75">
        <f t="shared" si="48"/>
        <v>1301917.1061900777</v>
      </c>
      <c r="J591" s="77">
        <f t="shared" si="51"/>
        <v>1000</v>
      </c>
      <c r="K591" s="20">
        <f t="shared" si="52"/>
        <v>11</v>
      </c>
      <c r="L591" s="78">
        <f t="shared" si="49"/>
        <v>1141.0158220594831</v>
      </c>
    </row>
    <row r="592" spans="6:12" x14ac:dyDescent="0.25">
      <c r="F592" s="77">
        <f t="shared" si="50"/>
        <v>1000000</v>
      </c>
      <c r="G592" s="20">
        <v>12</v>
      </c>
      <c r="H592" s="75">
        <f t="shared" si="48"/>
        <v>1333521.432163324</v>
      </c>
      <c r="J592" s="77">
        <f t="shared" si="51"/>
        <v>1000</v>
      </c>
      <c r="K592" s="20">
        <f t="shared" si="52"/>
        <v>12</v>
      </c>
      <c r="L592" s="78">
        <f t="shared" si="49"/>
        <v>1154.7819846894583</v>
      </c>
    </row>
    <row r="593" spans="6:12" x14ac:dyDescent="0.25">
      <c r="F593" s="77">
        <f t="shared" si="50"/>
        <v>1000000</v>
      </c>
      <c r="G593" s="20">
        <v>13</v>
      </c>
      <c r="H593" s="75">
        <f t="shared" si="48"/>
        <v>1365892.9601461866</v>
      </c>
      <c r="J593" s="77">
        <f t="shared" si="51"/>
        <v>1000</v>
      </c>
      <c r="K593" s="20">
        <f t="shared" si="52"/>
        <v>13</v>
      </c>
      <c r="L593" s="78">
        <f t="shared" si="49"/>
        <v>1168.7142337398766</v>
      </c>
    </row>
    <row r="594" spans="6:12" x14ac:dyDescent="0.25">
      <c r="F594" s="77">
        <f t="shared" si="50"/>
        <v>1000000</v>
      </c>
      <c r="G594" s="20">
        <v>14</v>
      </c>
      <c r="H594" s="75">
        <f t="shared" si="48"/>
        <v>1399050.314137294</v>
      </c>
      <c r="J594" s="77">
        <f t="shared" si="51"/>
        <v>1000</v>
      </c>
      <c r="K594" s="20">
        <f t="shared" si="52"/>
        <v>14</v>
      </c>
      <c r="L594" s="78">
        <f t="shared" si="49"/>
        <v>1182.8145730152692</v>
      </c>
    </row>
    <row r="595" spans="6:12" x14ac:dyDescent="0.25">
      <c r="F595" s="77">
        <f t="shared" si="50"/>
        <v>1000000</v>
      </c>
      <c r="G595" s="20">
        <v>15</v>
      </c>
      <c r="H595" s="75">
        <f t="shared" si="48"/>
        <v>1433012.570236963</v>
      </c>
      <c r="J595" s="77">
        <f t="shared" si="51"/>
        <v>1000</v>
      </c>
      <c r="K595" s="20">
        <f t="shared" si="52"/>
        <v>15</v>
      </c>
      <c r="L595" s="78">
        <f t="shared" si="49"/>
        <v>1197.0850304957298</v>
      </c>
    </row>
    <row r="596" spans="6:12" x14ac:dyDescent="0.25">
      <c r="F596" s="77">
        <f t="shared" si="50"/>
        <v>1000000</v>
      </c>
      <c r="G596" s="20">
        <v>16</v>
      </c>
      <c r="H596" s="75">
        <f t="shared" si="48"/>
        <v>1467799.2676220697</v>
      </c>
      <c r="J596" s="77">
        <f t="shared" si="51"/>
        <v>1000</v>
      </c>
      <c r="K596" s="20">
        <f t="shared" si="52"/>
        <v>16</v>
      </c>
      <c r="L596" s="78">
        <f t="shared" si="49"/>
        <v>1211.5276586285886</v>
      </c>
    </row>
    <row r="597" spans="6:12" x14ac:dyDescent="0.25">
      <c r="F597" s="77">
        <f t="shared" si="50"/>
        <v>1000000</v>
      </c>
      <c r="G597" s="20">
        <v>17</v>
      </c>
      <c r="H597" s="75">
        <f t="shared" si="48"/>
        <v>1503430.4197873343</v>
      </c>
      <c r="J597" s="77">
        <f t="shared" si="51"/>
        <v>1000</v>
      </c>
      <c r="K597" s="20">
        <f t="shared" si="52"/>
        <v>17</v>
      </c>
      <c r="L597" s="78">
        <f t="shared" si="49"/>
        <v>1226.1445346236039</v>
      </c>
    </row>
    <row r="598" spans="6:12" x14ac:dyDescent="0.25">
      <c r="F598" s="77">
        <f t="shared" si="50"/>
        <v>1000000</v>
      </c>
      <c r="G598" s="20">
        <v>18</v>
      </c>
      <c r="H598" s="75">
        <f t="shared" si="48"/>
        <v>1539926.526059492</v>
      </c>
      <c r="J598" s="77">
        <f t="shared" si="51"/>
        <v>1000</v>
      </c>
      <c r="K598" s="20">
        <f t="shared" si="52"/>
        <v>18</v>
      </c>
      <c r="L598" s="78">
        <f t="shared" si="49"/>
        <v>1240.9377607517197</v>
      </c>
    </row>
    <row r="599" spans="6:12" x14ac:dyDescent="0.25">
      <c r="F599" s="77">
        <f t="shared" si="50"/>
        <v>1000000</v>
      </c>
      <c r="G599" s="20">
        <v>19</v>
      </c>
      <c r="H599" s="75">
        <f t="shared" si="48"/>
        <v>1577308.5833909726</v>
      </c>
      <c r="J599" s="77">
        <f t="shared" si="51"/>
        <v>1000</v>
      </c>
      <c r="K599" s="20">
        <f t="shared" si="52"/>
        <v>19</v>
      </c>
      <c r="L599" s="78">
        <f t="shared" si="49"/>
        <v>1255.9094646474214</v>
      </c>
    </row>
    <row r="600" spans="6:12" x14ac:dyDescent="0.25">
      <c r="F600" s="77">
        <f t="shared" si="50"/>
        <v>1000000</v>
      </c>
      <c r="G600" s="20">
        <v>20</v>
      </c>
      <c r="H600" s="75">
        <f t="shared" si="48"/>
        <v>1615598.0984398741</v>
      </c>
      <c r="J600" s="77">
        <f t="shared" si="51"/>
        <v>1000</v>
      </c>
      <c r="K600" s="20">
        <f t="shared" si="52"/>
        <v>20</v>
      </c>
      <c r="L600" s="78">
        <f t="shared" si="49"/>
        <v>1271.0617996147448</v>
      </c>
    </row>
    <row r="601" spans="6:12" x14ac:dyDescent="0.25">
      <c r="F601" s="77">
        <f t="shared" si="50"/>
        <v>1000000</v>
      </c>
      <c r="G601" s="20">
        <v>21</v>
      </c>
      <c r="H601" s="75">
        <f t="shared" si="48"/>
        <v>1654817.0999431815</v>
      </c>
      <c r="J601" s="77">
        <f t="shared" si="51"/>
        <v>1000</v>
      </c>
      <c r="K601" s="20">
        <f t="shared" si="52"/>
        <v>21</v>
      </c>
      <c r="L601" s="78">
        <f t="shared" si="49"/>
        <v>1286.3969449369745</v>
      </c>
    </row>
    <row r="602" spans="6:12" x14ac:dyDescent="0.25">
      <c r="F602" s="77">
        <f t="shared" si="50"/>
        <v>1000000</v>
      </c>
      <c r="G602" s="20">
        <v>22</v>
      </c>
      <c r="H602" s="75">
        <f t="shared" si="48"/>
        <v>1694988.1513903467</v>
      </c>
      <c r="J602" s="77">
        <f t="shared" si="51"/>
        <v>1000</v>
      </c>
      <c r="K602" s="20">
        <f t="shared" si="52"/>
        <v>22</v>
      </c>
      <c r="L602" s="78">
        <f t="shared" si="49"/>
        <v>1301.9171061900779</v>
      </c>
    </row>
    <row r="603" spans="6:12" x14ac:dyDescent="0.25">
      <c r="F603" s="77">
        <f t="shared" si="50"/>
        <v>1000000</v>
      </c>
      <c r="G603" s="20">
        <v>23</v>
      </c>
      <c r="H603" s="75">
        <f t="shared" si="48"/>
        <v>1736134.3640045233</v>
      </c>
      <c r="J603" s="77">
        <f t="shared" si="51"/>
        <v>1000</v>
      </c>
      <c r="K603" s="20">
        <f t="shared" si="52"/>
        <v>23</v>
      </c>
      <c r="L603" s="78">
        <f t="shared" si="49"/>
        <v>1317.6245155599236</v>
      </c>
    </row>
    <row r="604" spans="6:12" x14ac:dyDescent="0.25">
      <c r="F604" s="77">
        <f t="shared" si="50"/>
        <v>1000000</v>
      </c>
      <c r="G604" s="20">
        <v>24</v>
      </c>
      <c r="H604" s="75">
        <f t="shared" si="48"/>
        <v>1778279.4100389229</v>
      </c>
      <c r="J604" s="77">
        <f t="shared" si="51"/>
        <v>1000</v>
      </c>
      <c r="K604" s="20">
        <f t="shared" si="52"/>
        <v>24</v>
      </c>
      <c r="L604" s="78">
        <f t="shared" si="49"/>
        <v>1333.5214321633239</v>
      </c>
    </row>
    <row r="605" spans="6:12" x14ac:dyDescent="0.25">
      <c r="F605" s="77">
        <f t="shared" si="50"/>
        <v>1000000</v>
      </c>
      <c r="G605" s="20">
        <v>25</v>
      </c>
      <c r="H605" s="75">
        <f t="shared" si="48"/>
        <v>1821447.5363959454</v>
      </c>
      <c r="J605" s="77">
        <f t="shared" si="51"/>
        <v>1000</v>
      </c>
      <c r="K605" s="20">
        <f t="shared" si="52"/>
        <v>25</v>
      </c>
      <c r="L605" s="78">
        <f t="shared" si="49"/>
        <v>1349.610142372954</v>
      </c>
    </row>
    <row r="606" spans="6:12" x14ac:dyDescent="0.25">
      <c r="F606" s="77">
        <f t="shared" si="50"/>
        <v>1000000</v>
      </c>
      <c r="G606" s="20">
        <v>26</v>
      </c>
      <c r="H606" s="75">
        <f t="shared" si="48"/>
        <v>1865663.5785769122</v>
      </c>
      <c r="J606" s="77">
        <f t="shared" si="51"/>
        <v>1000</v>
      </c>
      <c r="K606" s="20">
        <f t="shared" si="52"/>
        <v>26</v>
      </c>
      <c r="L606" s="78">
        <f t="shared" si="49"/>
        <v>1365.8929601461866</v>
      </c>
    </row>
    <row r="607" spans="6:12" x14ac:dyDescent="0.25">
      <c r="F607" s="77">
        <f t="shared" si="50"/>
        <v>1000000</v>
      </c>
      <c r="G607" s="20">
        <v>27</v>
      </c>
      <c r="H607" s="75">
        <f t="shared" si="48"/>
        <v>1910952.9749704406</v>
      </c>
      <c r="J607" s="77">
        <f t="shared" si="51"/>
        <v>1000</v>
      </c>
      <c r="K607" s="20">
        <f t="shared" si="52"/>
        <v>27</v>
      </c>
      <c r="L607" s="78">
        <f t="shared" si="49"/>
        <v>1382.3722273578999</v>
      </c>
    </row>
    <row r="608" spans="6:12" x14ac:dyDescent="0.25">
      <c r="F608" s="77">
        <f t="shared" si="50"/>
        <v>1000000</v>
      </c>
      <c r="G608" s="20">
        <v>28</v>
      </c>
      <c r="H608" s="75">
        <f t="shared" si="48"/>
        <v>1957341.7814876602</v>
      </c>
      <c r="J608" s="77">
        <f t="shared" si="51"/>
        <v>1000</v>
      </c>
      <c r="K608" s="20">
        <f t="shared" si="52"/>
        <v>28</v>
      </c>
      <c r="L608" s="78">
        <f t="shared" si="49"/>
        <v>1399.0503141372938</v>
      </c>
    </row>
    <row r="609" spans="6:12" x14ac:dyDescent="0.25">
      <c r="F609" s="77">
        <f t="shared" si="50"/>
        <v>1000000</v>
      </c>
      <c r="G609" s="20">
        <v>29</v>
      </c>
      <c r="H609" s="75">
        <f t="shared" si="48"/>
        <v>2004856.6865527136</v>
      </c>
      <c r="J609" s="77">
        <f t="shared" si="51"/>
        <v>1000</v>
      </c>
      <c r="K609" s="20">
        <f t="shared" si="52"/>
        <v>29</v>
      </c>
      <c r="L609" s="78">
        <f t="shared" si="49"/>
        <v>1415.9296192087775</v>
      </c>
    </row>
    <row r="610" spans="6:12" x14ac:dyDescent="0.25">
      <c r="F610" s="77">
        <f t="shared" si="50"/>
        <v>1000000</v>
      </c>
      <c r="G610" s="20">
        <v>30</v>
      </c>
      <c r="H610" s="75">
        <f t="shared" si="48"/>
        <v>2053525.0264571463</v>
      </c>
      <c r="J610" s="77">
        <f t="shared" si="51"/>
        <v>1000</v>
      </c>
      <c r="K610" s="20">
        <f t="shared" si="52"/>
        <v>30</v>
      </c>
      <c r="L610" s="78">
        <f t="shared" si="49"/>
        <v>1433.012570236963</v>
      </c>
    </row>
    <row r="611" spans="6:12" x14ac:dyDescent="0.25">
      <c r="F611" s="77">
        <f t="shared" si="50"/>
        <v>1000000</v>
      </c>
      <c r="G611" s="20">
        <v>31</v>
      </c>
      <c r="H611" s="75">
        <f t="shared" si="48"/>
        <v>2103374.8010870335</v>
      </c>
      <c r="J611" s="77">
        <f t="shared" si="51"/>
        <v>1000</v>
      </c>
      <c r="K611" s="20">
        <f t="shared" si="52"/>
        <v>31</v>
      </c>
      <c r="L611" s="78">
        <f t="shared" si="49"/>
        <v>1450.3016241758241</v>
      </c>
    </row>
    <row r="612" spans="6:12" x14ac:dyDescent="0.25">
      <c r="F612" s="77">
        <f t="shared" si="50"/>
        <v>1000000</v>
      </c>
      <c r="G612" s="20">
        <v>32</v>
      </c>
      <c r="H612" s="75">
        <f t="shared" si="48"/>
        <v>2154434.6900318838</v>
      </c>
      <c r="J612" s="77">
        <f t="shared" si="51"/>
        <v>1000</v>
      </c>
      <c r="K612" s="20">
        <f t="shared" si="52"/>
        <v>32</v>
      </c>
      <c r="L612" s="78">
        <f t="shared" si="49"/>
        <v>1467.7992676220697</v>
      </c>
    </row>
    <row r="613" spans="6:12" x14ac:dyDescent="0.25">
      <c r="F613" s="77">
        <f t="shared" si="50"/>
        <v>1000000</v>
      </c>
      <c r="G613" s="20">
        <v>33</v>
      </c>
      <c r="H613" s="75">
        <f t="shared" si="48"/>
        <v>2206734.0690845898</v>
      </c>
      <c r="J613" s="77">
        <f t="shared" si="51"/>
        <v>1000</v>
      </c>
      <c r="K613" s="20">
        <f t="shared" si="52"/>
        <v>33</v>
      </c>
      <c r="L613" s="78">
        <f t="shared" si="49"/>
        <v>1485.508017172775</v>
      </c>
    </row>
    <row r="614" spans="6:12" x14ac:dyDescent="0.25">
      <c r="F614" s="77">
        <f t="shared" si="50"/>
        <v>1000000</v>
      </c>
      <c r="G614" s="20">
        <v>34</v>
      </c>
      <c r="H614" s="75">
        <f t="shared" si="48"/>
        <v>2260303.0271419203</v>
      </c>
      <c r="J614" s="77">
        <f t="shared" si="51"/>
        <v>1000</v>
      </c>
      <c r="K614" s="20">
        <f t="shared" si="52"/>
        <v>34</v>
      </c>
      <c r="L614" s="78">
        <f t="shared" si="49"/>
        <v>1503.4304197873344</v>
      </c>
    </row>
    <row r="615" spans="6:12" x14ac:dyDescent="0.25">
      <c r="F615" s="77">
        <f t="shared" si="50"/>
        <v>1000000</v>
      </c>
      <c r="G615" s="20">
        <v>35</v>
      </c>
      <c r="H615" s="75">
        <f t="shared" si="48"/>
        <v>2315172.3835152732</v>
      </c>
      <c r="J615" s="77">
        <f t="shared" si="51"/>
        <v>1000</v>
      </c>
      <c r="K615" s="20">
        <f t="shared" si="52"/>
        <v>35</v>
      </c>
      <c r="L615" s="78">
        <f t="shared" si="49"/>
        <v>1521.5690531537743</v>
      </c>
    </row>
    <row r="616" spans="6:12" x14ac:dyDescent="0.25">
      <c r="F616" s="77">
        <f t="shared" si="50"/>
        <v>1000000</v>
      </c>
      <c r="G616" s="20">
        <v>36</v>
      </c>
      <c r="H616" s="75">
        <f t="shared" si="48"/>
        <v>2371373.7056616554</v>
      </c>
      <c r="J616" s="77">
        <f t="shared" si="51"/>
        <v>1000</v>
      </c>
      <c r="K616" s="20">
        <f t="shared" si="52"/>
        <v>36</v>
      </c>
      <c r="L616" s="78">
        <f t="shared" si="49"/>
        <v>1539.9265260594921</v>
      </c>
    </row>
    <row r="617" spans="6:12" x14ac:dyDescent="0.25">
      <c r="F617" s="77">
        <f t="shared" si="50"/>
        <v>1000000</v>
      </c>
      <c r="G617" s="20">
        <v>37</v>
      </c>
      <c r="H617" s="75">
        <f t="shared" si="48"/>
        <v>2428939.3273450793</v>
      </c>
      <c r="J617" s="77">
        <f t="shared" si="51"/>
        <v>1000</v>
      </c>
      <c r="K617" s="20">
        <f t="shared" si="52"/>
        <v>37</v>
      </c>
      <c r="L617" s="78">
        <f t="shared" si="49"/>
        <v>1558.5054787664621</v>
      </c>
    </row>
    <row r="618" spans="6:12" x14ac:dyDescent="0.25">
      <c r="F618" s="77">
        <f t="shared" si="50"/>
        <v>1000000</v>
      </c>
      <c r="G618" s="20">
        <v>38</v>
      </c>
      <c r="H618" s="75">
        <f t="shared" si="48"/>
        <v>2487902.3672388364</v>
      </c>
      <c r="J618" s="77">
        <f t="shared" si="51"/>
        <v>1000</v>
      </c>
      <c r="K618" s="20">
        <f t="shared" si="52"/>
        <v>38</v>
      </c>
      <c r="L618" s="78">
        <f t="shared" si="49"/>
        <v>1577.3085833909727</v>
      </c>
    </row>
    <row r="619" spans="6:12" x14ac:dyDescent="0.25">
      <c r="F619" s="77">
        <f t="shared" si="50"/>
        <v>1000000</v>
      </c>
      <c r="G619" s="20">
        <v>39</v>
      </c>
      <c r="H619" s="75">
        <f t="shared" si="48"/>
        <v>2548296.7479793471</v>
      </c>
      <c r="J619" s="77">
        <f t="shared" si="51"/>
        <v>1000</v>
      </c>
      <c r="K619" s="20">
        <f t="shared" si="52"/>
        <v>39</v>
      </c>
      <c r="L619" s="78">
        <f t="shared" si="49"/>
        <v>1596.3385442879423</v>
      </c>
    </row>
    <row r="620" spans="6:12" x14ac:dyDescent="0.25">
      <c r="F620" s="77">
        <f t="shared" si="50"/>
        <v>1000000</v>
      </c>
      <c r="G620" s="20">
        <v>40</v>
      </c>
      <c r="H620" s="75">
        <f t="shared" si="48"/>
        <v>2610157.2156825373</v>
      </c>
      <c r="J620" s="77">
        <f t="shared" si="51"/>
        <v>1000</v>
      </c>
      <c r="K620" s="20">
        <f t="shared" si="52"/>
        <v>40</v>
      </c>
      <c r="L620" s="78">
        <f t="shared" si="49"/>
        <v>1615.5980984398741</v>
      </c>
    </row>
    <row r="621" spans="6:12" x14ac:dyDescent="0.25">
      <c r="F621" s="77">
        <f t="shared" si="50"/>
        <v>1000000</v>
      </c>
      <c r="G621" s="20">
        <v>41</v>
      </c>
      <c r="H621" s="75">
        <f t="shared" si="48"/>
        <v>2673519.359933991</v>
      </c>
      <c r="J621" s="77">
        <f t="shared" si="51"/>
        <v>1000</v>
      </c>
      <c r="K621" s="20">
        <f t="shared" si="52"/>
        <v>41</v>
      </c>
      <c r="L621" s="78">
        <f t="shared" si="49"/>
        <v>1635.0900158505008</v>
      </c>
    </row>
    <row r="622" spans="6:12" x14ac:dyDescent="0.25">
      <c r="F622" s="77">
        <f t="shared" si="50"/>
        <v>1000000</v>
      </c>
      <c r="G622" s="20">
        <v>42</v>
      </c>
      <c r="H622" s="75">
        <f t="shared" si="48"/>
        <v>2738419.6342643616</v>
      </c>
      <c r="J622" s="77">
        <f t="shared" si="51"/>
        <v>1000</v>
      </c>
      <c r="K622" s="20">
        <f t="shared" si="52"/>
        <v>42</v>
      </c>
      <c r="L622" s="78">
        <f t="shared" si="49"/>
        <v>1654.8170999431816</v>
      </c>
    </row>
    <row r="623" spans="6:12" x14ac:dyDescent="0.25">
      <c r="F623" s="77">
        <f t="shared" si="50"/>
        <v>1000000</v>
      </c>
      <c r="G623" s="20">
        <v>43</v>
      </c>
      <c r="H623" s="75">
        <f t="shared" si="48"/>
        <v>2804895.377121828</v>
      </c>
      <c r="J623" s="77">
        <f t="shared" si="51"/>
        <v>1000</v>
      </c>
      <c r="K623" s="20">
        <f t="shared" si="52"/>
        <v>43</v>
      </c>
      <c r="L623" s="78">
        <f t="shared" si="49"/>
        <v>1674.7821879641031</v>
      </c>
    </row>
    <row r="624" spans="6:12" x14ac:dyDescent="0.25">
      <c r="F624" s="77">
        <f t="shared" si="50"/>
        <v>1000000</v>
      </c>
      <c r="G624" s="20">
        <v>44</v>
      </c>
      <c r="H624" s="75">
        <f t="shared" si="48"/>
        <v>2872984.8333536647</v>
      </c>
      <c r="J624" s="77">
        <f t="shared" si="51"/>
        <v>1000</v>
      </c>
      <c r="K624" s="20">
        <f t="shared" si="52"/>
        <v>44</v>
      </c>
      <c r="L624" s="78">
        <f t="shared" si="49"/>
        <v>1694.9881513903467</v>
      </c>
    </row>
    <row r="625" spans="6:12" x14ac:dyDescent="0.25">
      <c r="F625" s="77">
        <f t="shared" si="50"/>
        <v>1000000</v>
      </c>
      <c r="G625" s="20">
        <v>45</v>
      </c>
      <c r="H625" s="75">
        <f t="shared" si="48"/>
        <v>2942727.1762092826</v>
      </c>
      <c r="J625" s="77">
        <f t="shared" si="51"/>
        <v>1000</v>
      </c>
      <c r="K625" s="20">
        <f t="shared" si="52"/>
        <v>45</v>
      </c>
      <c r="L625" s="78">
        <f t="shared" si="49"/>
        <v>1715.4378963428792</v>
      </c>
    </row>
    <row r="626" spans="6:12" x14ac:dyDescent="0.25">
      <c r="F626" s="77">
        <f t="shared" si="50"/>
        <v>1000000</v>
      </c>
      <c r="G626" s="20">
        <v>46</v>
      </c>
      <c r="H626" s="75">
        <f t="shared" si="48"/>
        <v>3014162.5298773907</v>
      </c>
      <c r="J626" s="77">
        <f t="shared" si="51"/>
        <v>1000</v>
      </c>
      <c r="K626" s="20">
        <f t="shared" si="52"/>
        <v>46</v>
      </c>
      <c r="L626" s="78">
        <f t="shared" si="49"/>
        <v>1736.1343640045231</v>
      </c>
    </row>
    <row r="627" spans="6:12" x14ac:dyDescent="0.25">
      <c r="F627" s="77">
        <f t="shared" si="50"/>
        <v>1000000</v>
      </c>
      <c r="G627" s="20">
        <v>47</v>
      </c>
      <c r="H627" s="75">
        <f t="shared" si="48"/>
        <v>3087331.9925702638</v>
      </c>
      <c r="J627" s="77">
        <f t="shared" si="51"/>
        <v>1000</v>
      </c>
      <c r="K627" s="20">
        <f t="shared" si="52"/>
        <v>47</v>
      </c>
      <c r="L627" s="78">
        <f t="shared" si="49"/>
        <v>1757.0805310429753</v>
      </c>
    </row>
    <row r="628" spans="6:12" x14ac:dyDescent="0.25">
      <c r="F628" s="77">
        <f t="shared" si="50"/>
        <v>1000000</v>
      </c>
      <c r="G628" s="20">
        <v>48</v>
      </c>
      <c r="H628" s="75">
        <f t="shared" si="48"/>
        <v>3162277.6601683795</v>
      </c>
      <c r="J628" s="77">
        <f t="shared" si="51"/>
        <v>1000</v>
      </c>
      <c r="K628" s="20">
        <f t="shared" si="52"/>
        <v>48</v>
      </c>
      <c r="L628" s="78">
        <f t="shared" si="49"/>
        <v>1778.2794100389231</v>
      </c>
    </row>
    <row r="629" spans="6:12" x14ac:dyDescent="0.25">
      <c r="F629" s="77">
        <f t="shared" si="50"/>
        <v>1000000</v>
      </c>
      <c r="G629" s="20">
        <v>49</v>
      </c>
      <c r="H629" s="75">
        <f t="shared" si="48"/>
        <v>3239042.6504390305</v>
      </c>
      <c r="J629" s="77">
        <f t="shared" si="51"/>
        <v>1000</v>
      </c>
      <c r="K629" s="20">
        <f t="shared" si="52"/>
        <v>49</v>
      </c>
      <c r="L629" s="78">
        <f t="shared" si="49"/>
        <v>1799.7340499193292</v>
      </c>
    </row>
    <row r="630" spans="6:12" x14ac:dyDescent="0.25">
      <c r="F630" s="77">
        <f t="shared" si="50"/>
        <v>1000000</v>
      </c>
      <c r="G630" s="20">
        <v>50</v>
      </c>
      <c r="H630" s="75">
        <f t="shared" si="48"/>
        <v>3317671.127842858</v>
      </c>
      <c r="J630" s="77">
        <f t="shared" si="51"/>
        <v>1000</v>
      </c>
      <c r="K630" s="20">
        <f t="shared" si="52"/>
        <v>50</v>
      </c>
      <c r="L630" s="78">
        <f t="shared" si="49"/>
        <v>1821.4475363959452</v>
      </c>
    </row>
    <row r="631" spans="6:12" x14ac:dyDescent="0.25">
      <c r="F631" s="77">
        <f t="shared" si="50"/>
        <v>1000000</v>
      </c>
      <c r="G631" s="20">
        <v>51</v>
      </c>
      <c r="H631" s="75">
        <f t="shared" si="48"/>
        <v>3398208.3289425592</v>
      </c>
      <c r="J631" s="77">
        <f t="shared" si="51"/>
        <v>1000</v>
      </c>
      <c r="K631" s="20">
        <f t="shared" si="52"/>
        <v>51</v>
      </c>
      <c r="L631" s="78">
        <f t="shared" si="49"/>
        <v>1843.4229924091105</v>
      </c>
    </row>
    <row r="632" spans="6:12" x14ac:dyDescent="0.25">
      <c r="F632" s="77">
        <f t="shared" si="50"/>
        <v>1000000</v>
      </c>
      <c r="G632" s="20">
        <v>52</v>
      </c>
      <c r="H632" s="75">
        <f t="shared" si="48"/>
        <v>3480700.5884284107</v>
      </c>
      <c r="J632" s="77">
        <f t="shared" si="51"/>
        <v>1000</v>
      </c>
      <c r="K632" s="20">
        <f t="shared" si="52"/>
        <v>52</v>
      </c>
      <c r="L632" s="78">
        <f t="shared" si="49"/>
        <v>1865.6635785769122</v>
      </c>
    </row>
    <row r="633" spans="6:12" x14ac:dyDescent="0.25">
      <c r="F633" s="77">
        <f t="shared" si="50"/>
        <v>1000000</v>
      </c>
      <c r="G633" s="20">
        <v>53</v>
      </c>
      <c r="H633" s="75">
        <f t="shared" si="48"/>
        <v>3565195.3657755493</v>
      </c>
      <c r="J633" s="77">
        <f t="shared" si="51"/>
        <v>1000</v>
      </c>
      <c r="K633" s="20">
        <f t="shared" si="52"/>
        <v>53</v>
      </c>
      <c r="L633" s="78">
        <f t="shared" si="49"/>
        <v>1888.172493649759</v>
      </c>
    </row>
    <row r="634" spans="6:12" x14ac:dyDescent="0.25">
      <c r="F634" s="77">
        <f t="shared" si="50"/>
        <v>1000000</v>
      </c>
      <c r="G634" s="20">
        <v>54</v>
      </c>
      <c r="H634" s="75">
        <f t="shared" si="48"/>
        <v>3651741.2725483775</v>
      </c>
      <c r="J634" s="77">
        <f t="shared" si="51"/>
        <v>1000</v>
      </c>
      <c r="K634" s="20">
        <f t="shared" si="52"/>
        <v>54</v>
      </c>
      <c r="L634" s="78">
        <f t="shared" si="49"/>
        <v>1910.9529749704407</v>
      </c>
    </row>
    <row r="635" spans="6:12" x14ac:dyDescent="0.25">
      <c r="F635" s="77">
        <f t="shared" si="50"/>
        <v>1000000</v>
      </c>
      <c r="G635" s="20">
        <v>55</v>
      </c>
      <c r="H635" s="75">
        <f t="shared" si="48"/>
        <v>3740388.1003677859</v>
      </c>
      <c r="J635" s="77">
        <f t="shared" si="51"/>
        <v>1000</v>
      </c>
      <c r="K635" s="20">
        <f t="shared" si="52"/>
        <v>55</v>
      </c>
      <c r="L635" s="78">
        <f t="shared" si="49"/>
        <v>1934.0082989397397</v>
      </c>
    </row>
    <row r="636" spans="6:12" x14ac:dyDescent="0.25">
      <c r="F636" s="77">
        <f t="shared" si="50"/>
        <v>1000000</v>
      </c>
      <c r="G636" s="20">
        <v>56</v>
      </c>
      <c r="H636" s="75">
        <f t="shared" si="48"/>
        <v>3831186.8495572885</v>
      </c>
      <c r="J636" s="77">
        <f t="shared" si="51"/>
        <v>1000</v>
      </c>
      <c r="K636" s="20">
        <f t="shared" si="52"/>
        <v>56</v>
      </c>
      <c r="L636" s="78">
        <f t="shared" si="49"/>
        <v>1957.3417814876605</v>
      </c>
    </row>
    <row r="637" spans="6:12" x14ac:dyDescent="0.25">
      <c r="F637" s="77">
        <f t="shared" si="50"/>
        <v>1000000</v>
      </c>
      <c r="G637" s="20">
        <v>57</v>
      </c>
      <c r="H637" s="75">
        <f t="shared" si="48"/>
        <v>3924189.7584845363</v>
      </c>
      <c r="J637" s="77">
        <f t="shared" si="51"/>
        <v>1000</v>
      </c>
      <c r="K637" s="20">
        <f t="shared" si="52"/>
        <v>57</v>
      </c>
      <c r="L637" s="78">
        <f t="shared" si="49"/>
        <v>1980.9567785503389</v>
      </c>
    </row>
    <row r="638" spans="6:12" x14ac:dyDescent="0.25">
      <c r="F638" s="77">
        <f t="shared" si="50"/>
        <v>1000000</v>
      </c>
      <c r="G638" s="20">
        <v>58</v>
      </c>
      <c r="H638" s="75">
        <f t="shared" si="48"/>
        <v>4019450.3336151256</v>
      </c>
      <c r="J638" s="77">
        <f t="shared" si="51"/>
        <v>1000</v>
      </c>
      <c r="K638" s="20">
        <f t="shared" si="52"/>
        <v>58</v>
      </c>
      <c r="L638" s="78">
        <f t="shared" si="49"/>
        <v>2004.8566865527137</v>
      </c>
    </row>
    <row r="639" spans="6:12" x14ac:dyDescent="0.25">
      <c r="F639" s="77">
        <f t="shared" si="50"/>
        <v>1000000</v>
      </c>
      <c r="G639" s="20">
        <v>59</v>
      </c>
      <c r="H639" s="75">
        <f t="shared" si="48"/>
        <v>4117023.3802959481</v>
      </c>
      <c r="J639" s="77">
        <f t="shared" si="51"/>
        <v>1000</v>
      </c>
      <c r="K639" s="20">
        <f t="shared" si="52"/>
        <v>59</v>
      </c>
      <c r="L639" s="78">
        <f t="shared" si="49"/>
        <v>2029.0449428970146</v>
      </c>
    </row>
    <row r="640" spans="6:12" x14ac:dyDescent="0.25">
      <c r="F640" s="77">
        <f t="shared" si="50"/>
        <v>1000000</v>
      </c>
      <c r="G640" s="20">
        <v>60</v>
      </c>
      <c r="H640" s="75">
        <f t="shared" si="48"/>
        <v>4216965.0342858229</v>
      </c>
      <c r="J640" s="77">
        <f t="shared" si="51"/>
        <v>1000</v>
      </c>
      <c r="K640" s="20">
        <f t="shared" si="52"/>
        <v>60</v>
      </c>
      <c r="L640" s="78">
        <f t="shared" si="49"/>
        <v>2053.5250264571464</v>
      </c>
    </row>
    <row r="641" spans="6:12" x14ac:dyDescent="0.25">
      <c r="F641" s="77">
        <f t="shared" si="50"/>
        <v>1000000</v>
      </c>
      <c r="G641" s="20">
        <v>61</v>
      </c>
      <c r="H641" s="75">
        <f t="shared" si="48"/>
        <v>4319332.7940515447</v>
      </c>
      <c r="J641" s="77">
        <f t="shared" si="51"/>
        <v>1000</v>
      </c>
      <c r="K641" s="20">
        <f t="shared" si="52"/>
        <v>61</v>
      </c>
      <c r="L641" s="78">
        <f t="shared" si="49"/>
        <v>2078.3004580790393</v>
      </c>
    </row>
    <row r="642" spans="6:12" x14ac:dyDescent="0.25">
      <c r="F642" s="77">
        <f t="shared" si="50"/>
        <v>1000000</v>
      </c>
      <c r="G642" s="20">
        <v>62</v>
      </c>
      <c r="H642" s="75">
        <f t="shared" si="48"/>
        <v>4424185.5538479183</v>
      </c>
      <c r="J642" s="77">
        <f t="shared" si="51"/>
        <v>1000</v>
      </c>
      <c r="K642" s="20">
        <f t="shared" si="52"/>
        <v>62</v>
      </c>
      <c r="L642" s="78">
        <f t="shared" si="49"/>
        <v>2103.3748010870336</v>
      </c>
    </row>
    <row r="643" spans="6:12" x14ac:dyDescent="0.25">
      <c r="F643" s="77">
        <f t="shared" si="50"/>
        <v>1000000</v>
      </c>
      <c r="G643" s="20">
        <v>63</v>
      </c>
      <c r="H643" s="75">
        <f t="shared" si="48"/>
        <v>4531583.6376008186</v>
      </c>
      <c r="J643" s="77">
        <f t="shared" si="51"/>
        <v>1000</v>
      </c>
      <c r="K643" s="20">
        <f t="shared" si="52"/>
        <v>63</v>
      </c>
      <c r="L643" s="78">
        <f t="shared" si="49"/>
        <v>2128.7516617963724</v>
      </c>
    </row>
    <row r="644" spans="6:12" x14ac:dyDescent="0.25">
      <c r="F644" s="77">
        <f t="shared" si="50"/>
        <v>1000000</v>
      </c>
      <c r="G644" s="20">
        <v>64</v>
      </c>
      <c r="H644" s="75">
        <f t="shared" ref="H644:H676" si="53">F644*10^(G644/96)</f>
        <v>4641588.8336127792</v>
      </c>
      <c r="J644" s="77">
        <f t="shared" si="51"/>
        <v>1000</v>
      </c>
      <c r="K644" s="20">
        <f t="shared" si="52"/>
        <v>64</v>
      </c>
      <c r="L644" s="78">
        <f t="shared" si="49"/>
        <v>2154.4346900318837</v>
      </c>
    </row>
    <row r="645" spans="6:12" x14ac:dyDescent="0.25">
      <c r="F645" s="77">
        <f t="shared" si="50"/>
        <v>1000000</v>
      </c>
      <c r="G645" s="20">
        <v>65</v>
      </c>
      <c r="H645" s="75">
        <f t="shared" si="53"/>
        <v>4754264.4301110571</v>
      </c>
      <c r="J645" s="77">
        <f t="shared" si="51"/>
        <v>1000</v>
      </c>
      <c r="K645" s="20">
        <f t="shared" si="52"/>
        <v>65</v>
      </c>
      <c r="L645" s="78">
        <f t="shared" ref="L645:L708" si="54">J645*10^(K645/192)</f>
        <v>2180.4275796529123</v>
      </c>
    </row>
    <row r="646" spans="6:12" x14ac:dyDescent="0.25">
      <c r="F646" s="77">
        <f t="shared" ref="F646:F676" si="55">F550*10</f>
        <v>1000000</v>
      </c>
      <c r="G646" s="20">
        <v>66</v>
      </c>
      <c r="H646" s="75">
        <f t="shared" si="53"/>
        <v>4869675.2516586315</v>
      </c>
      <c r="J646" s="77">
        <f t="shared" ref="J646:J709" si="56">J454*10</f>
        <v>1000</v>
      </c>
      <c r="K646" s="20">
        <f t="shared" ref="K646:K709" si="57">K645+1</f>
        <v>66</v>
      </c>
      <c r="L646" s="78">
        <f t="shared" si="54"/>
        <v>2206.7340690845899</v>
      </c>
    </row>
    <row r="647" spans="6:12" x14ac:dyDescent="0.25">
      <c r="F647" s="77">
        <f t="shared" si="55"/>
        <v>1000000</v>
      </c>
      <c r="G647" s="20">
        <v>67</v>
      </c>
      <c r="H647" s="75">
        <f t="shared" si="53"/>
        <v>4987887.6964491066</v>
      </c>
      <c r="J647" s="77">
        <f t="shared" si="56"/>
        <v>1000</v>
      </c>
      <c r="K647" s="20">
        <f t="shared" si="57"/>
        <v>67</v>
      </c>
      <c r="L647" s="78">
        <f t="shared" si="54"/>
        <v>2233.3579418555159</v>
      </c>
    </row>
    <row r="648" spans="6:12" x14ac:dyDescent="0.25">
      <c r="F648" s="77">
        <f t="shared" si="55"/>
        <v>1000000</v>
      </c>
      <c r="G648" s="20">
        <v>68</v>
      </c>
      <c r="H648" s="75">
        <f t="shared" si="53"/>
        <v>5108969.7745069293</v>
      </c>
      <c r="J648" s="77">
        <f t="shared" si="56"/>
        <v>1000</v>
      </c>
      <c r="K648" s="20">
        <f t="shared" si="57"/>
        <v>68</v>
      </c>
      <c r="L648" s="78">
        <f t="shared" si="54"/>
        <v>2260.3030271419202</v>
      </c>
    </row>
    <row r="649" spans="6:12" x14ac:dyDescent="0.25">
      <c r="F649" s="77">
        <f t="shared" si="55"/>
        <v>1000000</v>
      </c>
      <c r="G649" s="20">
        <v>69</v>
      </c>
      <c r="H649" s="75">
        <f t="shared" si="53"/>
        <v>5232991.1468149479</v>
      </c>
      <c r="J649" s="77">
        <f t="shared" si="56"/>
        <v>1000</v>
      </c>
      <c r="K649" s="20">
        <f t="shared" si="57"/>
        <v>69</v>
      </c>
      <c r="L649" s="78">
        <f t="shared" si="54"/>
        <v>2287.5732003183962</v>
      </c>
    </row>
    <row r="650" spans="6:12" x14ac:dyDescent="0.25">
      <c r="F650" s="77">
        <f t="shared" si="55"/>
        <v>1000000</v>
      </c>
      <c r="G650" s="20">
        <v>70</v>
      </c>
      <c r="H650" s="75">
        <f t="shared" si="53"/>
        <v>5360023.1653917916</v>
      </c>
      <c r="J650" s="77">
        <f t="shared" si="56"/>
        <v>1000</v>
      </c>
      <c r="K650" s="20">
        <f t="shared" si="57"/>
        <v>70</v>
      </c>
      <c r="L650" s="78">
        <f t="shared" si="54"/>
        <v>2315.1723835152734</v>
      </c>
    </row>
    <row r="651" spans="6:12" x14ac:dyDescent="0.25">
      <c r="F651" s="77">
        <f t="shared" si="55"/>
        <v>1000000</v>
      </c>
      <c r="G651" s="20">
        <v>71</v>
      </c>
      <c r="H651" s="75">
        <f t="shared" si="53"/>
        <v>5490138.9143421417</v>
      </c>
      <c r="J651" s="77">
        <f t="shared" si="56"/>
        <v>1000</v>
      </c>
      <c r="K651" s="20">
        <f t="shared" si="57"/>
        <v>71</v>
      </c>
      <c r="L651" s="78">
        <f t="shared" si="54"/>
        <v>2343.1045461827225</v>
      </c>
    </row>
    <row r="652" spans="6:12" x14ac:dyDescent="0.25">
      <c r="F652" s="77">
        <f t="shared" si="55"/>
        <v>1000000</v>
      </c>
      <c r="G652" s="20">
        <v>72</v>
      </c>
      <c r="H652" s="75">
        <f t="shared" si="53"/>
        <v>5623413.251903492</v>
      </c>
      <c r="J652" s="77">
        <f t="shared" si="56"/>
        <v>1000</v>
      </c>
      <c r="K652" s="20">
        <f t="shared" si="57"/>
        <v>72</v>
      </c>
      <c r="L652" s="78">
        <f t="shared" si="54"/>
        <v>2371.3737056616555</v>
      </c>
    </row>
    <row r="653" spans="6:12" x14ac:dyDescent="0.25">
      <c r="F653" s="77">
        <f t="shared" si="55"/>
        <v>1000000</v>
      </c>
      <c r="G653" s="20">
        <v>73</v>
      </c>
      <c r="H653" s="75">
        <f t="shared" si="53"/>
        <v>5759922.8535136282</v>
      </c>
      <c r="J653" s="77">
        <f t="shared" si="56"/>
        <v>1000</v>
      </c>
      <c r="K653" s="20">
        <f t="shared" si="57"/>
        <v>73</v>
      </c>
      <c r="L653" s="78">
        <f t="shared" si="54"/>
        <v>2399.9839277615233</v>
      </c>
    </row>
    <row r="654" spans="6:12" x14ac:dyDescent="0.25">
      <c r="F654" s="77">
        <f t="shared" si="55"/>
        <v>1000000</v>
      </c>
      <c r="G654" s="20">
        <v>74</v>
      </c>
      <c r="H654" s="75">
        <f t="shared" si="53"/>
        <v>5899746.2559235655</v>
      </c>
      <c r="J654" s="77">
        <f t="shared" si="56"/>
        <v>1000</v>
      </c>
      <c r="K654" s="20">
        <f t="shared" si="57"/>
        <v>74</v>
      </c>
      <c r="L654" s="78">
        <f t="shared" si="54"/>
        <v>2428.9393273450792</v>
      </c>
    </row>
    <row r="655" spans="6:12" x14ac:dyDescent="0.25">
      <c r="F655" s="77">
        <f t="shared" si="55"/>
        <v>1000000</v>
      </c>
      <c r="G655" s="20">
        <v>75</v>
      </c>
      <c r="H655" s="75">
        <f t="shared" si="53"/>
        <v>6042963.9023813289</v>
      </c>
      <c r="J655" s="77">
        <f t="shared" si="56"/>
        <v>1000</v>
      </c>
      <c r="K655" s="20">
        <f t="shared" si="57"/>
        <v>75</v>
      </c>
      <c r="L655" s="78">
        <f t="shared" si="54"/>
        <v>2458.2440689201976</v>
      </c>
    </row>
    <row r="656" spans="6:12" x14ac:dyDescent="0.25">
      <c r="F656" s="77">
        <f t="shared" si="55"/>
        <v>1000000</v>
      </c>
      <c r="G656" s="20">
        <v>76</v>
      </c>
      <c r="H656" s="75">
        <f t="shared" si="53"/>
        <v>6189658.1889126059</v>
      </c>
      <c r="J656" s="77">
        <f t="shared" si="56"/>
        <v>1000</v>
      </c>
      <c r="K656" s="20">
        <f t="shared" si="57"/>
        <v>76</v>
      </c>
      <c r="L656" s="78">
        <f t="shared" si="54"/>
        <v>2487.9023672388362</v>
      </c>
    </row>
    <row r="657" spans="6:12" x14ac:dyDescent="0.25">
      <c r="F657" s="77">
        <f t="shared" si="55"/>
        <v>1000000</v>
      </c>
      <c r="G657" s="20">
        <v>77</v>
      </c>
      <c r="H657" s="75">
        <f t="shared" si="53"/>
        <v>6339913.5117248455</v>
      </c>
      <c r="J657" s="77">
        <f t="shared" si="56"/>
        <v>1000</v>
      </c>
      <c r="K657" s="20">
        <f t="shared" si="57"/>
        <v>77</v>
      </c>
      <c r="L657" s="78">
        <f t="shared" si="54"/>
        <v>2517.9184879032218</v>
      </c>
    </row>
    <row r="658" spans="6:12" x14ac:dyDescent="0.25">
      <c r="F658" s="77">
        <f t="shared" si="55"/>
        <v>1000000</v>
      </c>
      <c r="G658" s="20">
        <v>78</v>
      </c>
      <c r="H658" s="75">
        <f t="shared" si="53"/>
        <v>6493816.3157621147</v>
      </c>
      <c r="J658" s="77">
        <f t="shared" si="56"/>
        <v>1000</v>
      </c>
      <c r="K658" s="20">
        <f t="shared" si="57"/>
        <v>78</v>
      </c>
      <c r="L658" s="78">
        <f t="shared" si="54"/>
        <v>2548.2967479793469</v>
      </c>
    </row>
    <row r="659" spans="6:12" x14ac:dyDescent="0.25">
      <c r="F659" s="77">
        <f t="shared" si="55"/>
        <v>1000000</v>
      </c>
      <c r="G659" s="20">
        <v>79</v>
      </c>
      <c r="H659" s="75">
        <f t="shared" si="53"/>
        <v>6651455.1444386337</v>
      </c>
      <c r="J659" s="77">
        <f t="shared" si="56"/>
        <v>1000</v>
      </c>
      <c r="K659" s="20">
        <f t="shared" si="57"/>
        <v>79</v>
      </c>
      <c r="L659" s="78">
        <f t="shared" si="54"/>
        <v>2579.0415166178764</v>
      </c>
    </row>
    <row r="660" spans="6:12" x14ac:dyDescent="0.25">
      <c r="F660" s="77">
        <f t="shared" si="55"/>
        <v>1000000</v>
      </c>
      <c r="G660" s="20">
        <v>80</v>
      </c>
      <c r="H660" s="75">
        <f t="shared" si="53"/>
        <v>6812920.6905796137</v>
      </c>
      <c r="J660" s="77">
        <f t="shared" si="56"/>
        <v>1000</v>
      </c>
      <c r="K660" s="20">
        <f t="shared" si="57"/>
        <v>80</v>
      </c>
      <c r="L660" s="78">
        <f t="shared" si="54"/>
        <v>2610.1572156825373</v>
      </c>
    </row>
    <row r="661" spans="6:12" x14ac:dyDescent="0.25">
      <c r="F661" s="77">
        <f t="shared" si="55"/>
        <v>1000000</v>
      </c>
      <c r="G661" s="20">
        <v>81</v>
      </c>
      <c r="H661" s="75">
        <f t="shared" si="53"/>
        <v>6978305.8485986646</v>
      </c>
      <c r="J661" s="77">
        <f t="shared" si="56"/>
        <v>1000</v>
      </c>
      <c r="K661" s="20">
        <f t="shared" si="57"/>
        <v>81</v>
      </c>
      <c r="L661" s="78">
        <f t="shared" si="54"/>
        <v>2641.6483203860926</v>
      </c>
    </row>
    <row r="662" spans="6:12" x14ac:dyDescent="0.25">
      <c r="F662" s="77">
        <f t="shared" si="55"/>
        <v>1000000</v>
      </c>
      <c r="G662" s="20">
        <v>82</v>
      </c>
      <c r="H662" s="75">
        <f t="shared" si="53"/>
        <v>7147705.7679418568</v>
      </c>
      <c r="J662" s="77">
        <f t="shared" si="56"/>
        <v>1000</v>
      </c>
      <c r="K662" s="20">
        <f t="shared" si="57"/>
        <v>82</v>
      </c>
      <c r="L662" s="78">
        <f t="shared" si="54"/>
        <v>2673.5193599339909</v>
      </c>
    </row>
    <row r="663" spans="6:12" x14ac:dyDescent="0.25">
      <c r="F663" s="77">
        <f t="shared" si="55"/>
        <v>1000000</v>
      </c>
      <c r="G663" s="20">
        <v>83</v>
      </c>
      <c r="H663" s="75">
        <f t="shared" si="53"/>
        <v>7321217.907829131</v>
      </c>
      <c r="J663" s="77">
        <f t="shared" si="56"/>
        <v>1000</v>
      </c>
      <c r="K663" s="20">
        <f t="shared" si="57"/>
        <v>83</v>
      </c>
      <c r="L663" s="78">
        <f t="shared" si="54"/>
        <v>2705.7749181757767</v>
      </c>
    </row>
    <row r="664" spans="6:12" x14ac:dyDescent="0.25">
      <c r="F664" s="77">
        <f t="shared" si="55"/>
        <v>1000000</v>
      </c>
      <c r="G664" s="20">
        <v>84</v>
      </c>
      <c r="H664" s="75">
        <f t="shared" si="53"/>
        <v>7498942.0933245588</v>
      </c>
      <c r="J664" s="77">
        <f t="shared" si="56"/>
        <v>1000</v>
      </c>
      <c r="K664" s="20">
        <f t="shared" si="57"/>
        <v>84</v>
      </c>
      <c r="L664" s="78">
        <f t="shared" si="54"/>
        <v>2738.4196342643613</v>
      </c>
    </row>
    <row r="665" spans="6:12" x14ac:dyDescent="0.25">
      <c r="F665" s="77">
        <f t="shared" si="55"/>
        <v>1000000</v>
      </c>
      <c r="G665" s="20">
        <v>85</v>
      </c>
      <c r="H665" s="75">
        <f t="shared" si="53"/>
        <v>7680980.572767755</v>
      </c>
      <c r="J665" s="77">
        <f t="shared" si="56"/>
        <v>1000</v>
      </c>
      <c r="K665" s="20">
        <f t="shared" si="57"/>
        <v>85</v>
      </c>
      <c r="L665" s="78">
        <f t="shared" si="54"/>
        <v>2771.4582033232532</v>
      </c>
    </row>
    <row r="666" spans="6:12" x14ac:dyDescent="0.25">
      <c r="F666" s="77">
        <f t="shared" si="55"/>
        <v>1000000</v>
      </c>
      <c r="G666" s="20">
        <v>86</v>
      </c>
      <c r="H666" s="75">
        <f t="shared" si="53"/>
        <v>7867438.0765994033</v>
      </c>
      <c r="J666" s="77">
        <f t="shared" si="56"/>
        <v>1000</v>
      </c>
      <c r="K666" s="20">
        <f t="shared" si="57"/>
        <v>86</v>
      </c>
      <c r="L666" s="78">
        <f t="shared" si="54"/>
        <v>2804.895377121828</v>
      </c>
    </row>
    <row r="667" spans="6:12" x14ac:dyDescent="0.25">
      <c r="F667" s="77">
        <f t="shared" si="55"/>
        <v>1000000</v>
      </c>
      <c r="G667" s="20">
        <v>87</v>
      </c>
      <c r="H667" s="75">
        <f t="shared" si="53"/>
        <v>8058421.8776148194</v>
      </c>
      <c r="J667" s="77">
        <f t="shared" si="56"/>
        <v>1000</v>
      </c>
      <c r="K667" s="20">
        <f t="shared" si="57"/>
        <v>87</v>
      </c>
      <c r="L667" s="78">
        <f t="shared" si="54"/>
        <v>2838.735964758755</v>
      </c>
    </row>
    <row r="668" spans="6:12" x14ac:dyDescent="0.25">
      <c r="F668" s="77">
        <f t="shared" si="55"/>
        <v>1000000</v>
      </c>
      <c r="G668" s="20">
        <v>88</v>
      </c>
      <c r="H668" s="75">
        <f t="shared" si="53"/>
        <v>8254041.852680183</v>
      </c>
      <c r="J668" s="77">
        <f t="shared" si="56"/>
        <v>1000</v>
      </c>
      <c r="K668" s="20">
        <f t="shared" si="57"/>
        <v>88</v>
      </c>
      <c r="L668" s="78">
        <f t="shared" si="54"/>
        <v>2872.9848333536647</v>
      </c>
    </row>
    <row r="669" spans="6:12" x14ac:dyDescent="0.25">
      <c r="F669" s="77">
        <f t="shared" si="55"/>
        <v>1000000</v>
      </c>
      <c r="G669" s="20">
        <v>89</v>
      </c>
      <c r="H669" s="75">
        <f t="shared" si="53"/>
        <v>8454410.545946924</v>
      </c>
      <c r="J669" s="77">
        <f t="shared" si="56"/>
        <v>1000</v>
      </c>
      <c r="K669" s="20">
        <f t="shared" si="57"/>
        <v>89</v>
      </c>
      <c r="L669" s="78">
        <f t="shared" si="54"/>
        <v>2907.6469087471619</v>
      </c>
    </row>
    <row r="670" spans="6:12" x14ac:dyDescent="0.25">
      <c r="F670" s="77">
        <f t="shared" si="55"/>
        <v>1000000</v>
      </c>
      <c r="G670" s="20">
        <v>90</v>
      </c>
      <c r="H670" s="75">
        <f t="shared" si="53"/>
        <v>8659643.2336006556</v>
      </c>
      <c r="J670" s="77">
        <f t="shared" si="56"/>
        <v>1000</v>
      </c>
      <c r="K670" s="20">
        <f t="shared" si="57"/>
        <v>90</v>
      </c>
      <c r="L670" s="78">
        <f t="shared" si="54"/>
        <v>2942.7271762092823</v>
      </c>
    </row>
    <row r="671" spans="6:12" x14ac:dyDescent="0.25">
      <c r="F671" s="77">
        <f t="shared" si="55"/>
        <v>1000000</v>
      </c>
      <c r="G671" s="20">
        <v>91</v>
      </c>
      <c r="H671" s="75">
        <f t="shared" si="53"/>
        <v>8869857.9901819192</v>
      </c>
      <c r="J671" s="77">
        <f t="shared" si="56"/>
        <v>1000</v>
      </c>
      <c r="K671" s="20">
        <f t="shared" si="57"/>
        <v>91</v>
      </c>
      <c r="L671" s="78">
        <f t="shared" si="54"/>
        <v>2978.2306811565013</v>
      </c>
    </row>
    <row r="672" spans="6:12" x14ac:dyDescent="0.25">
      <c r="F672" s="77">
        <f t="shared" si="55"/>
        <v>1000000</v>
      </c>
      <c r="G672" s="20">
        <v>92</v>
      </c>
      <c r="H672" s="75">
        <f t="shared" si="53"/>
        <v>9085175.7565168701</v>
      </c>
      <c r="J672" s="77">
        <f t="shared" si="56"/>
        <v>1000</v>
      </c>
      <c r="K672" s="20">
        <f t="shared" si="57"/>
        <v>92</v>
      </c>
      <c r="L672" s="78">
        <f t="shared" si="54"/>
        <v>3014.1625298773906</v>
      </c>
    </row>
    <row r="673" spans="6:12" x14ac:dyDescent="0.25">
      <c r="F673" s="77">
        <f t="shared" si="55"/>
        <v>1000000</v>
      </c>
      <c r="G673" s="20">
        <v>93</v>
      </c>
      <c r="H673" s="75">
        <f t="shared" si="53"/>
        <v>9305720.4092969894</v>
      </c>
      <c r="J673" s="77">
        <f t="shared" si="56"/>
        <v>1000</v>
      </c>
      <c r="K673" s="20">
        <f t="shared" si="57"/>
        <v>93</v>
      </c>
      <c r="L673" s="78">
        <f t="shared" si="54"/>
        <v>3050.5278902670257</v>
      </c>
    </row>
    <row r="674" spans="6:12" x14ac:dyDescent="0.25">
      <c r="F674" s="77">
        <f t="shared" si="55"/>
        <v>1000000</v>
      </c>
      <c r="G674" s="20">
        <v>94</v>
      </c>
      <c r="H674" s="75">
        <f t="shared" si="53"/>
        <v>9531618.8323478773</v>
      </c>
      <c r="J674" s="77">
        <f t="shared" si="56"/>
        <v>1000</v>
      </c>
      <c r="K674" s="20">
        <f t="shared" si="57"/>
        <v>94</v>
      </c>
      <c r="L674" s="78">
        <f t="shared" si="54"/>
        <v>3087.331992570264</v>
      </c>
    </row>
    <row r="675" spans="6:12" x14ac:dyDescent="0.25">
      <c r="F675" s="77">
        <f t="shared" si="55"/>
        <v>1000000</v>
      </c>
      <c r="G675" s="20">
        <v>95</v>
      </c>
      <c r="H675" s="75">
        <f t="shared" si="53"/>
        <v>9763000.9896280784</v>
      </c>
      <c r="J675" s="77">
        <f t="shared" si="56"/>
        <v>1000</v>
      </c>
      <c r="K675" s="20">
        <f t="shared" si="57"/>
        <v>95</v>
      </c>
      <c r="L675" s="78">
        <f t="shared" si="54"/>
        <v>3124.5801301339798</v>
      </c>
    </row>
    <row r="676" spans="6:12" x14ac:dyDescent="0.25">
      <c r="F676" s="77">
        <f t="shared" si="55"/>
        <v>1000000</v>
      </c>
      <c r="G676" s="20">
        <v>96</v>
      </c>
      <c r="H676" s="75">
        <f t="shared" si="53"/>
        <v>10000000</v>
      </c>
      <c r="J676" s="77">
        <f t="shared" si="56"/>
        <v>1000</v>
      </c>
      <c r="K676" s="20">
        <f t="shared" si="57"/>
        <v>96</v>
      </c>
      <c r="L676" s="78">
        <f t="shared" si="54"/>
        <v>3162.2776601683795</v>
      </c>
    </row>
    <row r="677" spans="6:12" x14ac:dyDescent="0.25">
      <c r="J677" s="77">
        <f t="shared" si="56"/>
        <v>1000</v>
      </c>
      <c r="K677" s="20">
        <f t="shared" si="57"/>
        <v>97</v>
      </c>
      <c r="L677" s="78">
        <f t="shared" si="54"/>
        <v>3200.4300045175069</v>
      </c>
    </row>
    <row r="678" spans="6:12" x14ac:dyDescent="0.25">
      <c r="J678" s="77">
        <f t="shared" si="56"/>
        <v>1000</v>
      </c>
      <c r="K678" s="20">
        <f t="shared" si="57"/>
        <v>98</v>
      </c>
      <c r="L678" s="78">
        <f t="shared" si="54"/>
        <v>3239.0426504390307</v>
      </c>
    </row>
    <row r="679" spans="6:12" x14ac:dyDescent="0.25">
      <c r="J679" s="77">
        <f t="shared" si="56"/>
        <v>1000</v>
      </c>
      <c r="K679" s="20">
        <f t="shared" si="57"/>
        <v>99</v>
      </c>
      <c r="L679" s="78">
        <f t="shared" si="54"/>
        <v>3278.1211513934591</v>
      </c>
    </row>
    <row r="680" spans="6:12" x14ac:dyDescent="0.25">
      <c r="J680" s="77">
        <f t="shared" si="56"/>
        <v>1000</v>
      </c>
      <c r="K680" s="20">
        <f t="shared" si="57"/>
        <v>100</v>
      </c>
      <c r="L680" s="78">
        <f t="shared" si="54"/>
        <v>3317.6711278428579</v>
      </c>
    </row>
    <row r="681" spans="6:12" x14ac:dyDescent="0.25">
      <c r="J681" s="77">
        <f t="shared" si="56"/>
        <v>1000</v>
      </c>
      <c r="K681" s="20">
        <f t="shared" si="57"/>
        <v>101</v>
      </c>
      <c r="L681" s="78">
        <f t="shared" si="54"/>
        <v>3357.698268059215</v>
      </c>
    </row>
    <row r="682" spans="6:12" x14ac:dyDescent="0.25">
      <c r="J682" s="77">
        <f t="shared" si="56"/>
        <v>1000</v>
      </c>
      <c r="K682" s="20">
        <f t="shared" si="57"/>
        <v>102</v>
      </c>
      <c r="L682" s="78">
        <f t="shared" si="54"/>
        <v>3398.2083289425591</v>
      </c>
    </row>
    <row r="683" spans="6:12" x14ac:dyDescent="0.25">
      <c r="J683" s="77">
        <f t="shared" si="56"/>
        <v>1000</v>
      </c>
      <c r="K683" s="20">
        <f t="shared" si="57"/>
        <v>103</v>
      </c>
      <c r="L683" s="78">
        <f t="shared" si="54"/>
        <v>3439.2071368489414</v>
      </c>
    </row>
    <row r="684" spans="6:12" x14ac:dyDescent="0.25">
      <c r="J684" s="77">
        <f t="shared" si="56"/>
        <v>1000</v>
      </c>
      <c r="K684" s="20">
        <f t="shared" si="57"/>
        <v>104</v>
      </c>
      <c r="L684" s="78">
        <f t="shared" si="54"/>
        <v>3480.7005884284104</v>
      </c>
    </row>
    <row r="685" spans="6:12" x14ac:dyDescent="0.25">
      <c r="J685" s="77">
        <f t="shared" si="56"/>
        <v>1000</v>
      </c>
      <c r="K685" s="20">
        <f t="shared" si="57"/>
        <v>105</v>
      </c>
      <c r="L685" s="78">
        <f t="shared" si="54"/>
        <v>3522.6946514731017</v>
      </c>
    </row>
    <row r="686" spans="6:12" x14ac:dyDescent="0.25">
      <c r="J686" s="77">
        <f t="shared" si="56"/>
        <v>1000</v>
      </c>
      <c r="K686" s="20">
        <f t="shared" si="57"/>
        <v>106</v>
      </c>
      <c r="L686" s="78">
        <f t="shared" si="54"/>
        <v>3565.1953657755494</v>
      </c>
    </row>
    <row r="687" spans="6:12" x14ac:dyDescent="0.25">
      <c r="J687" s="77">
        <f t="shared" si="56"/>
        <v>1000</v>
      </c>
      <c r="K687" s="20">
        <f t="shared" si="57"/>
        <v>107</v>
      </c>
      <c r="L687" s="78">
        <f t="shared" si="54"/>
        <v>3608.2088439973622</v>
      </c>
    </row>
    <row r="688" spans="6:12" x14ac:dyDescent="0.25">
      <c r="J688" s="77">
        <f t="shared" si="56"/>
        <v>1000</v>
      </c>
      <c r="K688" s="20">
        <f t="shared" si="57"/>
        <v>108</v>
      </c>
      <c r="L688" s="78">
        <f t="shared" si="54"/>
        <v>3651.7412725483778</v>
      </c>
    </row>
    <row r="689" spans="10:12" x14ac:dyDescent="0.25">
      <c r="J689" s="77">
        <f t="shared" si="56"/>
        <v>1000</v>
      </c>
      <c r="K689" s="20">
        <f t="shared" si="57"/>
        <v>109</v>
      </c>
      <c r="L689" s="78">
        <f t="shared" si="54"/>
        <v>3695.7989124764181</v>
      </c>
    </row>
    <row r="690" spans="10:12" x14ac:dyDescent="0.25">
      <c r="J690" s="77">
        <f t="shared" si="56"/>
        <v>1000</v>
      </c>
      <c r="K690" s="20">
        <f t="shared" si="57"/>
        <v>110</v>
      </c>
      <c r="L690" s="78">
        <f t="shared" si="54"/>
        <v>3740.3881003677857</v>
      </c>
    </row>
    <row r="691" spans="10:12" x14ac:dyDescent="0.25">
      <c r="J691" s="77">
        <f t="shared" si="56"/>
        <v>1000</v>
      </c>
      <c r="K691" s="20">
        <f t="shared" si="57"/>
        <v>111</v>
      </c>
      <c r="L691" s="78">
        <f t="shared" si="54"/>
        <v>3785.5152492586299</v>
      </c>
    </row>
    <row r="692" spans="10:12" x14ac:dyDescent="0.25">
      <c r="J692" s="77">
        <f t="shared" si="56"/>
        <v>1000</v>
      </c>
      <c r="K692" s="20">
        <f t="shared" si="57"/>
        <v>112</v>
      </c>
      <c r="L692" s="78">
        <f t="shared" si="54"/>
        <v>3831.1868495572885</v>
      </c>
    </row>
    <row r="693" spans="10:12" x14ac:dyDescent="0.25">
      <c r="J693" s="77">
        <f t="shared" si="56"/>
        <v>1000</v>
      </c>
      <c r="K693" s="20">
        <f t="shared" si="57"/>
        <v>113</v>
      </c>
      <c r="L693" s="78">
        <f t="shared" si="54"/>
        <v>3877.409469977777</v>
      </c>
    </row>
    <row r="694" spans="10:12" x14ac:dyDescent="0.25">
      <c r="J694" s="77">
        <f t="shared" si="56"/>
        <v>1000</v>
      </c>
      <c r="K694" s="20">
        <f t="shared" si="57"/>
        <v>114</v>
      </c>
      <c r="L694" s="78">
        <f t="shared" si="54"/>
        <v>3924.189758484536</v>
      </c>
    </row>
    <row r="695" spans="10:12" x14ac:dyDescent="0.25">
      <c r="J695" s="77">
        <f t="shared" si="56"/>
        <v>1000</v>
      </c>
      <c r="K695" s="20">
        <f t="shared" si="57"/>
        <v>115</v>
      </c>
      <c r="L695" s="78">
        <f t="shared" si="54"/>
        <v>3971.5344432485704</v>
      </c>
    </row>
    <row r="696" spans="10:12" x14ac:dyDescent="0.25">
      <c r="J696" s="77">
        <f t="shared" si="56"/>
        <v>1000</v>
      </c>
      <c r="K696" s="20">
        <f t="shared" si="57"/>
        <v>116</v>
      </c>
      <c r="L696" s="78">
        <f t="shared" si="54"/>
        <v>4019.4503336151256</v>
      </c>
    </row>
    <row r="697" spans="10:12" x14ac:dyDescent="0.25">
      <c r="J697" s="77">
        <f t="shared" si="56"/>
        <v>1000</v>
      </c>
      <c r="K697" s="20">
        <f t="shared" si="57"/>
        <v>117</v>
      </c>
      <c r="L697" s="78">
        <f t="shared" si="54"/>
        <v>4067.9443210830477</v>
      </c>
    </row>
    <row r="698" spans="10:12" x14ac:dyDescent="0.25">
      <c r="J698" s="77">
        <f t="shared" si="56"/>
        <v>1000</v>
      </c>
      <c r="K698" s="20">
        <f t="shared" si="57"/>
        <v>118</v>
      </c>
      <c r="L698" s="78">
        <f t="shared" si="54"/>
        <v>4117.0233802959483</v>
      </c>
    </row>
    <row r="699" spans="10:12" x14ac:dyDescent="0.25">
      <c r="J699" s="77">
        <f t="shared" si="56"/>
        <v>1000</v>
      </c>
      <c r="K699" s="20">
        <f t="shared" si="57"/>
        <v>119</v>
      </c>
      <c r="L699" s="78">
        <f t="shared" si="54"/>
        <v>4166.6945700453298</v>
      </c>
    </row>
    <row r="700" spans="10:12" x14ac:dyDescent="0.25">
      <c r="J700" s="77">
        <f t="shared" si="56"/>
        <v>1000</v>
      </c>
      <c r="K700" s="20">
        <f t="shared" si="57"/>
        <v>120</v>
      </c>
      <c r="L700" s="78">
        <f t="shared" si="54"/>
        <v>4216.9650342858231</v>
      </c>
    </row>
    <row r="701" spans="10:12" x14ac:dyDescent="0.25">
      <c r="J701" s="77">
        <f t="shared" si="56"/>
        <v>1000</v>
      </c>
      <c r="K701" s="20">
        <f t="shared" si="57"/>
        <v>121</v>
      </c>
      <c r="L701" s="78">
        <f t="shared" si="54"/>
        <v>4267.8420031626583</v>
      </c>
    </row>
    <row r="702" spans="10:12" x14ac:dyDescent="0.25">
      <c r="J702" s="77">
        <f t="shared" si="56"/>
        <v>1000</v>
      </c>
      <c r="K702" s="20">
        <f t="shared" si="57"/>
        <v>122</v>
      </c>
      <c r="L702" s="78">
        <f t="shared" si="54"/>
        <v>4319.3327940515446</v>
      </c>
    </row>
    <row r="703" spans="10:12" x14ac:dyDescent="0.25">
      <c r="J703" s="77">
        <f t="shared" si="56"/>
        <v>1000</v>
      </c>
      <c r="K703" s="20">
        <f t="shared" si="57"/>
        <v>123</v>
      </c>
      <c r="L703" s="78">
        <f t="shared" si="54"/>
        <v>4371.4448126110901</v>
      </c>
    </row>
    <row r="704" spans="10:12" x14ac:dyDescent="0.25">
      <c r="J704" s="77">
        <f t="shared" si="56"/>
        <v>1000</v>
      </c>
      <c r="K704" s="20">
        <f t="shared" si="57"/>
        <v>124</v>
      </c>
      <c r="L704" s="78">
        <f t="shared" si="54"/>
        <v>4424.1855538479185</v>
      </c>
    </row>
    <row r="705" spans="10:12" x14ac:dyDescent="0.25">
      <c r="J705" s="77">
        <f t="shared" si="56"/>
        <v>1000</v>
      </c>
      <c r="K705" s="20">
        <f t="shared" si="57"/>
        <v>125</v>
      </c>
      <c r="L705" s="78">
        <f t="shared" si="54"/>
        <v>4477.5626031946367</v>
      </c>
    </row>
    <row r="706" spans="10:12" x14ac:dyDescent="0.25">
      <c r="J706" s="77">
        <f t="shared" si="56"/>
        <v>1000</v>
      </c>
      <c r="K706" s="20">
        <f t="shared" si="57"/>
        <v>126</v>
      </c>
      <c r="L706" s="78">
        <f t="shared" si="54"/>
        <v>4531.5836376008183</v>
      </c>
    </row>
    <row r="707" spans="10:12" x14ac:dyDescent="0.25">
      <c r="J707" s="77">
        <f t="shared" si="56"/>
        <v>1000</v>
      </c>
      <c r="K707" s="20">
        <f t="shared" si="57"/>
        <v>127</v>
      </c>
      <c r="L707" s="78">
        <f t="shared" si="54"/>
        <v>4586.2564266371264</v>
      </c>
    </row>
    <row r="708" spans="10:12" x14ac:dyDescent="0.25">
      <c r="J708" s="77">
        <f t="shared" si="56"/>
        <v>1000</v>
      </c>
      <c r="K708" s="20">
        <f t="shared" si="57"/>
        <v>128</v>
      </c>
      <c r="L708" s="78">
        <f t="shared" si="54"/>
        <v>4641.5888336127791</v>
      </c>
    </row>
    <row r="709" spans="10:12" x14ac:dyDescent="0.25">
      <c r="J709" s="77">
        <f t="shared" si="56"/>
        <v>1000</v>
      </c>
      <c r="K709" s="20">
        <f t="shared" si="57"/>
        <v>129</v>
      </c>
      <c r="L709" s="78">
        <f t="shared" ref="L709:L772" si="58">J709*10^(K709/192)</f>
        <v>4697.5888167064932</v>
      </c>
    </row>
    <row r="710" spans="10:12" x14ac:dyDescent="0.25">
      <c r="J710" s="77">
        <f t="shared" ref="J710:J773" si="59">J518*10</f>
        <v>1000</v>
      </c>
      <c r="K710" s="20">
        <f t="shared" ref="K710:K755" si="60">K709+1</f>
        <v>130</v>
      </c>
      <c r="L710" s="78">
        <f t="shared" si="58"/>
        <v>4754.2644301110568</v>
      </c>
    </row>
    <row r="711" spans="10:12" x14ac:dyDescent="0.25">
      <c r="J711" s="77">
        <f t="shared" si="59"/>
        <v>1000</v>
      </c>
      <c r="K711" s="20">
        <f t="shared" si="60"/>
        <v>131</v>
      </c>
      <c r="L711" s="78">
        <f t="shared" si="58"/>
        <v>4811.6238251917339</v>
      </c>
    </row>
    <row r="712" spans="10:12" x14ac:dyDescent="0.25">
      <c r="J712" s="77">
        <f t="shared" si="59"/>
        <v>1000</v>
      </c>
      <c r="K712" s="20">
        <f t="shared" si="60"/>
        <v>132</v>
      </c>
      <c r="L712" s="78">
        <f t="shared" si="58"/>
        <v>4869.6752516586321</v>
      </c>
    </row>
    <row r="713" spans="10:12" x14ac:dyDescent="0.25">
      <c r="J713" s="77">
        <f t="shared" si="59"/>
        <v>1000</v>
      </c>
      <c r="K713" s="20">
        <f t="shared" si="60"/>
        <v>133</v>
      </c>
      <c r="L713" s="78">
        <f t="shared" si="58"/>
        <v>4928.4270587532073</v>
      </c>
    </row>
    <row r="714" spans="10:12" x14ac:dyDescent="0.25">
      <c r="J714" s="77">
        <f t="shared" si="59"/>
        <v>1000</v>
      </c>
      <c r="K714" s="20">
        <f t="shared" si="60"/>
        <v>134</v>
      </c>
      <c r="L714" s="78">
        <f t="shared" si="58"/>
        <v>4987.8876964491064</v>
      </c>
    </row>
    <row r="715" spans="10:12" x14ac:dyDescent="0.25">
      <c r="J715" s="77">
        <f t="shared" si="59"/>
        <v>1000</v>
      </c>
      <c r="K715" s="20">
        <f t="shared" si="60"/>
        <v>135</v>
      </c>
      <c r="L715" s="78">
        <f t="shared" si="58"/>
        <v>5048.065716667471</v>
      </c>
    </row>
    <row r="716" spans="10:12" x14ac:dyDescent="0.25">
      <c r="J716" s="77">
        <f t="shared" si="59"/>
        <v>1000</v>
      </c>
      <c r="K716" s="20">
        <f t="shared" si="60"/>
        <v>136</v>
      </c>
      <c r="L716" s="78">
        <f t="shared" si="58"/>
        <v>5108.9697745069288</v>
      </c>
    </row>
    <row r="717" spans="10:12" x14ac:dyDescent="0.25">
      <c r="J717" s="77">
        <f t="shared" si="59"/>
        <v>1000</v>
      </c>
      <c r="K717" s="20">
        <f t="shared" si="60"/>
        <v>137</v>
      </c>
      <c r="L717" s="78">
        <f t="shared" si="58"/>
        <v>5170.6086294884008</v>
      </c>
    </row>
    <row r="718" spans="10:12" x14ac:dyDescent="0.25">
      <c r="J718" s="77">
        <f t="shared" si="59"/>
        <v>1000</v>
      </c>
      <c r="K718" s="20">
        <f t="shared" si="60"/>
        <v>138</v>
      </c>
      <c r="L718" s="78">
        <f t="shared" si="58"/>
        <v>5232.9911468149476</v>
      </c>
    </row>
    <row r="719" spans="10:12" x14ac:dyDescent="0.25">
      <c r="J719" s="77">
        <f t="shared" si="59"/>
        <v>1000</v>
      </c>
      <c r="K719" s="20">
        <f t="shared" si="60"/>
        <v>139</v>
      </c>
      <c r="L719" s="78">
        <f t="shared" si="58"/>
        <v>5296.1262986468046</v>
      </c>
    </row>
    <row r="720" spans="10:12" x14ac:dyDescent="0.25">
      <c r="J720" s="77">
        <f t="shared" si="59"/>
        <v>1000</v>
      </c>
      <c r="K720" s="20">
        <f t="shared" si="60"/>
        <v>140</v>
      </c>
      <c r="L720" s="78">
        <f t="shared" si="58"/>
        <v>5360.0231653917917</v>
      </c>
    </row>
    <row r="721" spans="10:12" x14ac:dyDescent="0.25">
      <c r="J721" s="77">
        <f t="shared" si="59"/>
        <v>1000</v>
      </c>
      <c r="K721" s="20">
        <f t="shared" si="60"/>
        <v>141</v>
      </c>
      <c r="L721" s="78">
        <f t="shared" si="58"/>
        <v>5424.6909370113262</v>
      </c>
    </row>
    <row r="722" spans="10:12" x14ac:dyDescent="0.25">
      <c r="J722" s="77">
        <f t="shared" si="59"/>
        <v>1000</v>
      </c>
      <c r="K722" s="20">
        <f t="shared" si="60"/>
        <v>142</v>
      </c>
      <c r="L722" s="78">
        <f t="shared" si="58"/>
        <v>5490.1389143421411</v>
      </c>
    </row>
    <row r="723" spans="10:12" x14ac:dyDescent="0.25">
      <c r="J723" s="77">
        <f t="shared" si="59"/>
        <v>1000</v>
      </c>
      <c r="K723" s="20">
        <f t="shared" si="60"/>
        <v>143</v>
      </c>
      <c r="L723" s="78">
        <f t="shared" si="58"/>
        <v>5556.3765104339927</v>
      </c>
    </row>
    <row r="724" spans="10:12" x14ac:dyDescent="0.25">
      <c r="J724" s="77">
        <f t="shared" si="59"/>
        <v>1000</v>
      </c>
      <c r="K724" s="20">
        <f t="shared" si="60"/>
        <v>144</v>
      </c>
      <c r="L724" s="78">
        <f t="shared" si="58"/>
        <v>5623.413251903492</v>
      </c>
    </row>
    <row r="725" spans="10:12" x14ac:dyDescent="0.25">
      <c r="J725" s="77">
        <f t="shared" si="59"/>
        <v>1000</v>
      </c>
      <c r="K725" s="20">
        <f t="shared" si="60"/>
        <v>145</v>
      </c>
      <c r="L725" s="78">
        <f t="shared" si="58"/>
        <v>5691.2587803042588</v>
      </c>
    </row>
    <row r="726" spans="10:12" x14ac:dyDescent="0.25">
      <c r="J726" s="77">
        <f t="shared" si="59"/>
        <v>1000</v>
      </c>
      <c r="K726" s="20">
        <f t="shared" si="60"/>
        <v>146</v>
      </c>
      <c r="L726" s="78">
        <f t="shared" si="58"/>
        <v>5759.9228535136281</v>
      </c>
    </row>
    <row r="727" spans="10:12" x14ac:dyDescent="0.25">
      <c r="J727" s="77">
        <f t="shared" si="59"/>
        <v>1000</v>
      </c>
      <c r="K727" s="20">
        <f t="shared" si="60"/>
        <v>147</v>
      </c>
      <c r="L727" s="78">
        <f t="shared" si="58"/>
        <v>5829.4153471360751</v>
      </c>
    </row>
    <row r="728" spans="10:12" x14ac:dyDescent="0.25">
      <c r="J728" s="77">
        <f t="shared" si="59"/>
        <v>1000</v>
      </c>
      <c r="K728" s="20">
        <f t="shared" si="60"/>
        <v>148</v>
      </c>
      <c r="L728" s="78">
        <f t="shared" si="58"/>
        <v>5899.7462559235655</v>
      </c>
    </row>
    <row r="729" spans="10:12" x14ac:dyDescent="0.25">
      <c r="J729" s="77">
        <f t="shared" si="59"/>
        <v>1000</v>
      </c>
      <c r="K729" s="20">
        <f t="shared" si="60"/>
        <v>149</v>
      </c>
      <c r="L729" s="78">
        <f t="shared" si="58"/>
        <v>5970.9256952130536</v>
      </c>
    </row>
    <row r="730" spans="10:12" x14ac:dyDescent="0.25">
      <c r="J730" s="77">
        <f t="shared" si="59"/>
        <v>1000</v>
      </c>
      <c r="K730" s="20">
        <f t="shared" si="60"/>
        <v>150</v>
      </c>
      <c r="L730" s="78">
        <f t="shared" si="58"/>
        <v>6042.9639023813288</v>
      </c>
    </row>
    <row r="731" spans="10:12" x14ac:dyDescent="0.25">
      <c r="J731" s="77">
        <f t="shared" si="59"/>
        <v>1000</v>
      </c>
      <c r="K731" s="20">
        <f t="shared" si="60"/>
        <v>151</v>
      </c>
      <c r="L731" s="78">
        <f t="shared" si="58"/>
        <v>6115.8712383173888</v>
      </c>
    </row>
    <row r="732" spans="10:12" x14ac:dyDescent="0.25">
      <c r="J732" s="77">
        <f t="shared" si="59"/>
        <v>1000</v>
      </c>
      <c r="K732" s="20">
        <f t="shared" si="60"/>
        <v>152</v>
      </c>
      <c r="L732" s="78">
        <f t="shared" si="58"/>
        <v>6189.6581889126064</v>
      </c>
    </row>
    <row r="733" spans="10:12" x14ac:dyDescent="0.25">
      <c r="J733" s="77">
        <f t="shared" si="59"/>
        <v>1000</v>
      </c>
      <c r="K733" s="20">
        <f t="shared" si="60"/>
        <v>153</v>
      </c>
      <c r="L733" s="78">
        <f t="shared" si="58"/>
        <v>6264.3353665688574</v>
      </c>
    </row>
    <row r="734" spans="10:12" x14ac:dyDescent="0.25">
      <c r="J734" s="77">
        <f t="shared" si="59"/>
        <v>1000</v>
      </c>
      <c r="K734" s="20">
        <f t="shared" si="60"/>
        <v>154</v>
      </c>
      <c r="L734" s="78">
        <f t="shared" si="58"/>
        <v>6339.9135117248461</v>
      </c>
    </row>
    <row r="735" spans="10:12" x14ac:dyDescent="0.25">
      <c r="J735" s="77">
        <f t="shared" si="59"/>
        <v>1000</v>
      </c>
      <c r="K735" s="20">
        <f t="shared" si="60"/>
        <v>155</v>
      </c>
      <c r="L735" s="78">
        <f t="shared" si="58"/>
        <v>6416.4034944008536</v>
      </c>
    </row>
    <row r="736" spans="10:12" x14ac:dyDescent="0.25">
      <c r="J736" s="77">
        <f t="shared" si="59"/>
        <v>1000</v>
      </c>
      <c r="K736" s="20">
        <f t="shared" si="60"/>
        <v>156</v>
      </c>
      <c r="L736" s="78">
        <f t="shared" si="58"/>
        <v>6493.8163157621148</v>
      </c>
    </row>
    <row r="737" spans="10:12" x14ac:dyDescent="0.25">
      <c r="J737" s="77">
        <f t="shared" si="59"/>
        <v>1000</v>
      </c>
      <c r="K737" s="20">
        <f t="shared" si="60"/>
        <v>157</v>
      </c>
      <c r="L737" s="78">
        <f t="shared" si="58"/>
        <v>6572.1631097010577</v>
      </c>
    </row>
    <row r="738" spans="10:12" x14ac:dyDescent="0.25">
      <c r="J738" s="77">
        <f t="shared" si="59"/>
        <v>1000</v>
      </c>
      <c r="K738" s="20">
        <f t="shared" si="60"/>
        <v>158</v>
      </c>
      <c r="L738" s="78">
        <f t="shared" si="58"/>
        <v>6651.4551444386334</v>
      </c>
    </row>
    <row r="739" spans="10:12" x14ac:dyDescent="0.25">
      <c r="J739" s="77">
        <f t="shared" si="59"/>
        <v>1000</v>
      </c>
      <c r="K739" s="20">
        <f t="shared" si="60"/>
        <v>159</v>
      </c>
      <c r="L739" s="78">
        <f t="shared" si="58"/>
        <v>6731.7038241449827</v>
      </c>
    </row>
    <row r="740" spans="10:12" x14ac:dyDescent="0.25">
      <c r="J740" s="77">
        <f t="shared" si="59"/>
        <v>1000</v>
      </c>
      <c r="K740" s="20">
        <f t="shared" si="60"/>
        <v>160</v>
      </c>
      <c r="L740" s="78">
        <f t="shared" si="58"/>
        <v>6812.9206905796136</v>
      </c>
    </row>
    <row r="741" spans="10:12" x14ac:dyDescent="0.25">
      <c r="J741" s="77">
        <f t="shared" si="59"/>
        <v>1000</v>
      </c>
      <c r="K741" s="20">
        <f t="shared" si="60"/>
        <v>161</v>
      </c>
      <c r="L741" s="78">
        <f t="shared" si="58"/>
        <v>6895.1174247514136</v>
      </c>
    </row>
    <row r="742" spans="10:12" x14ac:dyDescent="0.25">
      <c r="J742" s="77">
        <f t="shared" si="59"/>
        <v>1000</v>
      </c>
      <c r="K742" s="20">
        <f t="shared" si="60"/>
        <v>162</v>
      </c>
      <c r="L742" s="78">
        <f t="shared" si="58"/>
        <v>6978.3058485986649</v>
      </c>
    </row>
    <row r="743" spans="10:12" x14ac:dyDescent="0.25">
      <c r="J743" s="77">
        <f t="shared" si="59"/>
        <v>1000</v>
      </c>
      <c r="K743" s="20">
        <f t="shared" si="60"/>
        <v>163</v>
      </c>
      <c r="L743" s="78">
        <f t="shared" si="58"/>
        <v>7062.4979266893297</v>
      </c>
    </row>
    <row r="744" spans="10:12" x14ac:dyDescent="0.25">
      <c r="J744" s="77">
        <f t="shared" si="59"/>
        <v>1000</v>
      </c>
      <c r="K744" s="20">
        <f t="shared" si="60"/>
        <v>164</v>
      </c>
      <c r="L744" s="78">
        <f t="shared" si="58"/>
        <v>7147.7057679418567</v>
      </c>
    </row>
    <row r="745" spans="10:12" x14ac:dyDescent="0.25">
      <c r="J745" s="77">
        <f t="shared" si="59"/>
        <v>1000</v>
      </c>
      <c r="K745" s="20">
        <f t="shared" si="60"/>
        <v>165</v>
      </c>
      <c r="L745" s="78">
        <f t="shared" si="58"/>
        <v>7233.9416273667493</v>
      </c>
    </row>
    <row r="746" spans="10:12" x14ac:dyDescent="0.25">
      <c r="J746" s="77">
        <f t="shared" si="59"/>
        <v>1000</v>
      </c>
      <c r="K746" s="20">
        <f t="shared" si="60"/>
        <v>166</v>
      </c>
      <c r="L746" s="78">
        <f t="shared" si="58"/>
        <v>7321.217907829131</v>
      </c>
    </row>
    <row r="747" spans="10:12" x14ac:dyDescent="0.25">
      <c r="J747" s="77">
        <f t="shared" si="59"/>
        <v>1000</v>
      </c>
      <c r="K747" s="20">
        <f t="shared" si="60"/>
        <v>167</v>
      </c>
      <c r="L747" s="78">
        <f t="shared" si="58"/>
        <v>7409.547161832591</v>
      </c>
    </row>
    <row r="748" spans="10:12" x14ac:dyDescent="0.25">
      <c r="J748" s="77">
        <f t="shared" si="59"/>
        <v>1000</v>
      </c>
      <c r="K748" s="20">
        <f t="shared" si="60"/>
        <v>168</v>
      </c>
      <c r="L748" s="78">
        <f t="shared" si="58"/>
        <v>7498.9420933245592</v>
      </c>
    </row>
    <row r="749" spans="10:12" x14ac:dyDescent="0.25">
      <c r="J749" s="77">
        <f t="shared" si="59"/>
        <v>1000</v>
      </c>
      <c r="K749" s="20">
        <f t="shared" si="60"/>
        <v>169</v>
      </c>
      <c r="L749" s="78">
        <f t="shared" si="58"/>
        <v>7589.415559523427</v>
      </c>
    </row>
    <row r="750" spans="10:12" x14ac:dyDescent="0.25">
      <c r="J750" s="77">
        <f t="shared" si="59"/>
        <v>1000</v>
      </c>
      <c r="K750" s="20">
        <f t="shared" si="60"/>
        <v>170</v>
      </c>
      <c r="L750" s="78">
        <f t="shared" si="58"/>
        <v>7680.9805727677549</v>
      </c>
    </row>
    <row r="751" spans="10:12" x14ac:dyDescent="0.25">
      <c r="J751" s="77">
        <f t="shared" si="59"/>
        <v>1000</v>
      </c>
      <c r="K751" s="20">
        <f t="shared" si="60"/>
        <v>171</v>
      </c>
      <c r="L751" s="78">
        <f t="shared" si="58"/>
        <v>7773.6503023877613</v>
      </c>
    </row>
    <row r="752" spans="10:12" x14ac:dyDescent="0.25">
      <c r="J752" s="77">
        <f t="shared" si="59"/>
        <v>1000</v>
      </c>
      <c r="K752" s="20">
        <f t="shared" si="60"/>
        <v>172</v>
      </c>
      <c r="L752" s="78">
        <f t="shared" si="58"/>
        <v>7867.4380765994028</v>
      </c>
    </row>
    <row r="753" spans="10:12" x14ac:dyDescent="0.25">
      <c r="J753" s="77">
        <f t="shared" si="59"/>
        <v>1000</v>
      </c>
      <c r="K753" s="20">
        <f t="shared" si="60"/>
        <v>173</v>
      </c>
      <c r="L753" s="78">
        <f t="shared" si="58"/>
        <v>7962.3573844213033</v>
      </c>
    </row>
    <row r="754" spans="10:12" x14ac:dyDescent="0.25">
      <c r="J754" s="77">
        <f t="shared" si="59"/>
        <v>1000</v>
      </c>
      <c r="K754" s="20">
        <f t="shared" si="60"/>
        <v>174</v>
      </c>
      <c r="L754" s="78">
        <f t="shared" si="58"/>
        <v>8058.4218776148191</v>
      </c>
    </row>
    <row r="755" spans="10:12" x14ac:dyDescent="0.25">
      <c r="J755" s="77">
        <f t="shared" si="59"/>
        <v>1000</v>
      </c>
      <c r="K755" s="20">
        <f t="shared" si="60"/>
        <v>175</v>
      </c>
      <c r="L755" s="78">
        <f t="shared" si="58"/>
        <v>8155.6453726474874</v>
      </c>
    </row>
    <row r="756" spans="10:12" x14ac:dyDescent="0.25">
      <c r="J756" s="77">
        <f t="shared" si="59"/>
        <v>1000</v>
      </c>
      <c r="K756" s="20">
        <f>K755+1</f>
        <v>176</v>
      </c>
      <c r="L756" s="78">
        <f t="shared" si="58"/>
        <v>8254.0418526801841</v>
      </c>
    </row>
    <row r="757" spans="10:12" x14ac:dyDescent="0.25">
      <c r="J757" s="77">
        <f t="shared" si="59"/>
        <v>1000</v>
      </c>
      <c r="K757" s="20">
        <f t="shared" ref="K757:K772" si="61">K756+1</f>
        <v>177</v>
      </c>
      <c r="L757" s="78">
        <f t="shared" si="58"/>
        <v>8353.6254695782609</v>
      </c>
    </row>
    <row r="758" spans="10:12" x14ac:dyDescent="0.25">
      <c r="J758" s="77">
        <f t="shared" si="59"/>
        <v>1000</v>
      </c>
      <c r="K758" s="20">
        <f t="shared" si="61"/>
        <v>178</v>
      </c>
      <c r="L758" s="78">
        <f t="shared" si="58"/>
        <v>8454.4105459469247</v>
      </c>
    </row>
    <row r="759" spans="10:12" x14ac:dyDescent="0.25">
      <c r="J759" s="77">
        <f t="shared" si="59"/>
        <v>1000</v>
      </c>
      <c r="K759" s="20">
        <f t="shared" si="61"/>
        <v>179</v>
      </c>
      <c r="L759" s="78">
        <f t="shared" si="58"/>
        <v>8556.4115771911838</v>
      </c>
    </row>
    <row r="760" spans="10:12" x14ac:dyDescent="0.25">
      <c r="J760" s="77">
        <f t="shared" si="59"/>
        <v>1000</v>
      </c>
      <c r="K760" s="20">
        <f t="shared" si="61"/>
        <v>180</v>
      </c>
      <c r="L760" s="78">
        <f t="shared" si="58"/>
        <v>8659.6432336006565</v>
      </c>
    </row>
    <row r="761" spans="10:12" x14ac:dyDescent="0.25">
      <c r="J761" s="77">
        <f t="shared" si="59"/>
        <v>1000</v>
      </c>
      <c r="K761" s="20">
        <f t="shared" si="61"/>
        <v>181</v>
      </c>
      <c r="L761" s="78">
        <f t="shared" si="58"/>
        <v>8764.12036245952</v>
      </c>
    </row>
    <row r="762" spans="10:12" x14ac:dyDescent="0.25">
      <c r="J762" s="77">
        <f t="shared" si="59"/>
        <v>1000</v>
      </c>
      <c r="K762" s="20">
        <f t="shared" si="61"/>
        <v>182</v>
      </c>
      <c r="L762" s="78">
        <f t="shared" si="58"/>
        <v>8869.8579901819176</v>
      </c>
    </row>
    <row r="763" spans="10:12" x14ac:dyDescent="0.25">
      <c r="J763" s="77">
        <f t="shared" si="59"/>
        <v>1000</v>
      </c>
      <c r="K763" s="20">
        <f t="shared" si="61"/>
        <v>183</v>
      </c>
      <c r="L763" s="78">
        <f t="shared" si="58"/>
        <v>8976.8713244731443</v>
      </c>
    </row>
    <row r="764" spans="10:12" x14ac:dyDescent="0.25">
      <c r="J764" s="77">
        <f t="shared" si="59"/>
        <v>1000</v>
      </c>
      <c r="K764" s="20">
        <f t="shared" si="61"/>
        <v>184</v>
      </c>
      <c r="L764" s="78">
        <f t="shared" si="58"/>
        <v>9085.17575651687</v>
      </c>
    </row>
    <row r="765" spans="10:12" x14ac:dyDescent="0.25">
      <c r="J765" s="77">
        <f t="shared" si="59"/>
        <v>1000</v>
      </c>
      <c r="K765" s="20">
        <f t="shared" si="61"/>
        <v>185</v>
      </c>
      <c r="L765" s="78">
        <f t="shared" si="58"/>
        <v>9194.7868631887941</v>
      </c>
    </row>
    <row r="766" spans="10:12" x14ac:dyDescent="0.25">
      <c r="J766" s="77">
        <f t="shared" si="59"/>
        <v>1000</v>
      </c>
      <c r="K766" s="20">
        <f t="shared" si="61"/>
        <v>186</v>
      </c>
      <c r="L766" s="78">
        <f t="shared" si="58"/>
        <v>9305.7204092969896</v>
      </c>
    </row>
    <row r="767" spans="10:12" x14ac:dyDescent="0.25">
      <c r="J767" s="77">
        <f t="shared" si="59"/>
        <v>1000</v>
      </c>
      <c r="K767" s="20">
        <f t="shared" si="61"/>
        <v>187</v>
      </c>
      <c r="L767" s="78">
        <f t="shared" si="58"/>
        <v>9417.9923498492608</v>
      </c>
    </row>
    <row r="768" spans="10:12" x14ac:dyDescent="0.25">
      <c r="J768" s="77">
        <f t="shared" si="59"/>
        <v>1000</v>
      </c>
      <c r="K768" s="20">
        <f t="shared" si="61"/>
        <v>188</v>
      </c>
      <c r="L768" s="78">
        <f t="shared" si="58"/>
        <v>9531.6188323478782</v>
      </c>
    </row>
    <row r="769" spans="10:12" x14ac:dyDescent="0.25">
      <c r="J769" s="77">
        <f t="shared" si="59"/>
        <v>1000</v>
      </c>
      <c r="K769" s="20">
        <f t="shared" si="61"/>
        <v>189</v>
      </c>
      <c r="L769" s="78">
        <f t="shared" si="58"/>
        <v>9646.6161991119952</v>
      </c>
    </row>
    <row r="770" spans="10:12" x14ac:dyDescent="0.25">
      <c r="J770" s="77">
        <f t="shared" si="59"/>
        <v>1000</v>
      </c>
      <c r="K770" s="20">
        <f t="shared" si="61"/>
        <v>190</v>
      </c>
      <c r="L770" s="78">
        <f t="shared" si="58"/>
        <v>9763.000989628079</v>
      </c>
    </row>
    <row r="771" spans="10:12" x14ac:dyDescent="0.25">
      <c r="J771" s="77">
        <f t="shared" si="59"/>
        <v>1000</v>
      </c>
      <c r="K771" s="20">
        <f t="shared" si="61"/>
        <v>191</v>
      </c>
      <c r="L771" s="78">
        <f t="shared" si="58"/>
        <v>9880.7899429286917</v>
      </c>
    </row>
    <row r="772" spans="10:12" x14ac:dyDescent="0.25">
      <c r="J772" s="77">
        <f t="shared" si="59"/>
        <v>1000</v>
      </c>
      <c r="K772" s="20">
        <f t="shared" si="61"/>
        <v>192</v>
      </c>
      <c r="L772" s="78">
        <f t="shared" si="58"/>
        <v>10000</v>
      </c>
    </row>
    <row r="773" spans="10:12" x14ac:dyDescent="0.25">
      <c r="J773" s="77">
        <f t="shared" si="59"/>
        <v>10000</v>
      </c>
      <c r="K773" s="20">
        <v>1</v>
      </c>
      <c r="L773" s="78">
        <f t="shared" ref="L773:L836" si="62">J773*10^(K773/192)</f>
        <v>10120.648306218294</v>
      </c>
    </row>
    <row r="774" spans="10:12" x14ac:dyDescent="0.25">
      <c r="J774" s="77">
        <f t="shared" ref="J774:J837" si="63">J582*10</f>
        <v>10000</v>
      </c>
      <c r="K774" s="20">
        <f t="shared" ref="K774:K837" si="64">K773+1</f>
        <v>2</v>
      </c>
      <c r="L774" s="78">
        <f t="shared" si="62"/>
        <v>10242.752213815922</v>
      </c>
    </row>
    <row r="775" spans="10:12" x14ac:dyDescent="0.25">
      <c r="J775" s="77">
        <f t="shared" si="63"/>
        <v>10000</v>
      </c>
      <c r="K775" s="20">
        <f t="shared" si="64"/>
        <v>3</v>
      </c>
      <c r="L775" s="78">
        <f t="shared" si="62"/>
        <v>10366.329284376981</v>
      </c>
    </row>
    <row r="776" spans="10:12" x14ac:dyDescent="0.25">
      <c r="J776" s="77">
        <f t="shared" si="63"/>
        <v>10000</v>
      </c>
      <c r="K776" s="20">
        <f t="shared" si="64"/>
        <v>4</v>
      </c>
      <c r="L776" s="78">
        <f t="shared" si="62"/>
        <v>10491.397291363099</v>
      </c>
    </row>
    <row r="777" spans="10:12" x14ac:dyDescent="0.25">
      <c r="J777" s="77">
        <f t="shared" si="63"/>
        <v>10000</v>
      </c>
      <c r="K777" s="20">
        <f t="shared" si="64"/>
        <v>5</v>
      </c>
      <c r="L777" s="78">
        <f t="shared" si="62"/>
        <v>10617.974222669714</v>
      </c>
    </row>
    <row r="778" spans="10:12" x14ac:dyDescent="0.25">
      <c r="J778" s="77">
        <f t="shared" si="63"/>
        <v>10000</v>
      </c>
      <c r="K778" s="20">
        <f t="shared" si="64"/>
        <v>6</v>
      </c>
      <c r="L778" s="78">
        <f t="shared" si="62"/>
        <v>10746.078283213174</v>
      </c>
    </row>
    <row r="779" spans="10:12" x14ac:dyDescent="0.25">
      <c r="J779" s="77">
        <f t="shared" si="63"/>
        <v>10000</v>
      </c>
      <c r="K779" s="20">
        <f t="shared" si="64"/>
        <v>7</v>
      </c>
      <c r="L779" s="78">
        <f t="shared" si="62"/>
        <v>10875.727897549061</v>
      </c>
    </row>
    <row r="780" spans="10:12" x14ac:dyDescent="0.25">
      <c r="J780" s="77">
        <f t="shared" si="63"/>
        <v>10000</v>
      </c>
      <c r="K780" s="20">
        <f t="shared" si="64"/>
        <v>8</v>
      </c>
      <c r="L780" s="78">
        <f t="shared" si="62"/>
        <v>11006.941712522095</v>
      </c>
    </row>
    <row r="781" spans="10:12" x14ac:dyDescent="0.25">
      <c r="J781" s="77">
        <f t="shared" si="63"/>
        <v>10000</v>
      </c>
      <c r="K781" s="20">
        <f t="shared" si="64"/>
        <v>9</v>
      </c>
      <c r="L781" s="78">
        <f t="shared" si="62"/>
        <v>11139.738599948023</v>
      </c>
    </row>
    <row r="782" spans="10:12" x14ac:dyDescent="0.25">
      <c r="J782" s="77">
        <f t="shared" si="63"/>
        <v>10000</v>
      </c>
      <c r="K782" s="20">
        <f t="shared" si="64"/>
        <v>10</v>
      </c>
      <c r="L782" s="78">
        <f t="shared" si="62"/>
        <v>11274.137659327853</v>
      </c>
    </row>
    <row r="783" spans="10:12" x14ac:dyDescent="0.25">
      <c r="J783" s="77">
        <f t="shared" si="63"/>
        <v>10000</v>
      </c>
      <c r="K783" s="20">
        <f t="shared" si="64"/>
        <v>11</v>
      </c>
      <c r="L783" s="78">
        <f t="shared" si="62"/>
        <v>11410.158220594831</v>
      </c>
    </row>
    <row r="784" spans="10:12" x14ac:dyDescent="0.25">
      <c r="J784" s="77">
        <f t="shared" si="63"/>
        <v>10000</v>
      </c>
      <c r="K784" s="20">
        <f t="shared" si="64"/>
        <v>12</v>
      </c>
      <c r="L784" s="78">
        <f t="shared" si="62"/>
        <v>11547.819846894583</v>
      </c>
    </row>
    <row r="785" spans="10:12" x14ac:dyDescent="0.25">
      <c r="J785" s="77">
        <f t="shared" si="63"/>
        <v>10000</v>
      </c>
      <c r="K785" s="20">
        <f t="shared" si="64"/>
        <v>13</v>
      </c>
      <c r="L785" s="78">
        <f t="shared" si="62"/>
        <v>11687.142337398765</v>
      </c>
    </row>
    <row r="786" spans="10:12" x14ac:dyDescent="0.25">
      <c r="J786" s="77">
        <f t="shared" si="63"/>
        <v>10000</v>
      </c>
      <c r="K786" s="20">
        <f t="shared" si="64"/>
        <v>14</v>
      </c>
      <c r="L786" s="78">
        <f t="shared" si="62"/>
        <v>11828.145730152693</v>
      </c>
    </row>
    <row r="787" spans="10:12" x14ac:dyDescent="0.25">
      <c r="J787" s="77">
        <f t="shared" si="63"/>
        <v>10000</v>
      </c>
      <c r="K787" s="20">
        <f t="shared" si="64"/>
        <v>15</v>
      </c>
      <c r="L787" s="78">
        <f t="shared" si="62"/>
        <v>11970.850304957299</v>
      </c>
    </row>
    <row r="788" spans="10:12" x14ac:dyDescent="0.25">
      <c r="J788" s="77">
        <f t="shared" si="63"/>
        <v>10000</v>
      </c>
      <c r="K788" s="20">
        <f t="shared" si="64"/>
        <v>16</v>
      </c>
      <c r="L788" s="78">
        <f t="shared" si="62"/>
        <v>12115.276586285885</v>
      </c>
    </row>
    <row r="789" spans="10:12" x14ac:dyDescent="0.25">
      <c r="J789" s="77">
        <f t="shared" si="63"/>
        <v>10000</v>
      </c>
      <c r="K789" s="20">
        <f t="shared" si="64"/>
        <v>17</v>
      </c>
      <c r="L789" s="78">
        <f t="shared" si="62"/>
        <v>12261.44534623604</v>
      </c>
    </row>
    <row r="790" spans="10:12" x14ac:dyDescent="0.25">
      <c r="J790" s="77">
        <f t="shared" si="63"/>
        <v>10000</v>
      </c>
      <c r="K790" s="20">
        <f t="shared" si="64"/>
        <v>18</v>
      </c>
      <c r="L790" s="78">
        <f t="shared" si="62"/>
        <v>12409.377607517195</v>
      </c>
    </row>
    <row r="791" spans="10:12" x14ac:dyDescent="0.25">
      <c r="J791" s="77">
        <f t="shared" si="63"/>
        <v>10000</v>
      </c>
      <c r="K791" s="20">
        <f t="shared" si="64"/>
        <v>19</v>
      </c>
      <c r="L791" s="78">
        <f t="shared" si="62"/>
        <v>12559.094646474214</v>
      </c>
    </row>
    <row r="792" spans="10:12" x14ac:dyDescent="0.25">
      <c r="J792" s="77">
        <f t="shared" si="63"/>
        <v>10000</v>
      </c>
      <c r="K792" s="20">
        <f t="shared" si="64"/>
        <v>20</v>
      </c>
      <c r="L792" s="78">
        <f t="shared" si="62"/>
        <v>12710.617996147448</v>
      </c>
    </row>
    <row r="793" spans="10:12" x14ac:dyDescent="0.25">
      <c r="J793" s="77">
        <f t="shared" si="63"/>
        <v>10000</v>
      </c>
      <c r="K793" s="20">
        <f t="shared" si="64"/>
        <v>21</v>
      </c>
      <c r="L793" s="78">
        <f t="shared" si="62"/>
        <v>12863.969449369746</v>
      </c>
    </row>
    <row r="794" spans="10:12" x14ac:dyDescent="0.25">
      <c r="J794" s="77">
        <f t="shared" si="63"/>
        <v>10000</v>
      </c>
      <c r="K794" s="20">
        <f t="shared" si="64"/>
        <v>22</v>
      </c>
      <c r="L794" s="78">
        <f t="shared" si="62"/>
        <v>13019.171061900779</v>
      </c>
    </row>
    <row r="795" spans="10:12" x14ac:dyDescent="0.25">
      <c r="J795" s="77">
        <f t="shared" si="63"/>
        <v>10000</v>
      </c>
      <c r="K795" s="20">
        <f t="shared" si="64"/>
        <v>23</v>
      </c>
      <c r="L795" s="78">
        <f t="shared" si="62"/>
        <v>13176.245155599236</v>
      </c>
    </row>
    <row r="796" spans="10:12" x14ac:dyDescent="0.25">
      <c r="J796" s="77">
        <f t="shared" si="63"/>
        <v>10000</v>
      </c>
      <c r="K796" s="20">
        <f t="shared" si="64"/>
        <v>24</v>
      </c>
      <c r="L796" s="78">
        <f t="shared" si="62"/>
        <v>13335.214321633241</v>
      </c>
    </row>
    <row r="797" spans="10:12" x14ac:dyDescent="0.25">
      <c r="J797" s="77">
        <f t="shared" si="63"/>
        <v>10000</v>
      </c>
      <c r="K797" s="20">
        <f t="shared" si="64"/>
        <v>25</v>
      </c>
      <c r="L797" s="78">
        <f t="shared" si="62"/>
        <v>13496.10142372954</v>
      </c>
    </row>
    <row r="798" spans="10:12" x14ac:dyDescent="0.25">
      <c r="J798" s="77">
        <f t="shared" si="63"/>
        <v>10000</v>
      </c>
      <c r="K798" s="20">
        <f t="shared" si="64"/>
        <v>26</v>
      </c>
      <c r="L798" s="78">
        <f t="shared" si="62"/>
        <v>13658.929601461867</v>
      </c>
    </row>
    <row r="799" spans="10:12" x14ac:dyDescent="0.25">
      <c r="J799" s="77">
        <f t="shared" si="63"/>
        <v>10000</v>
      </c>
      <c r="K799" s="20">
        <f t="shared" si="64"/>
        <v>27</v>
      </c>
      <c r="L799" s="78">
        <f t="shared" si="62"/>
        <v>13823.722273578998</v>
      </c>
    </row>
    <row r="800" spans="10:12" x14ac:dyDescent="0.25">
      <c r="J800" s="77">
        <f t="shared" si="63"/>
        <v>10000</v>
      </c>
      <c r="K800" s="20">
        <f t="shared" si="64"/>
        <v>28</v>
      </c>
      <c r="L800" s="78">
        <f t="shared" si="62"/>
        <v>13990.503141372939</v>
      </c>
    </row>
    <row r="801" spans="10:12" x14ac:dyDescent="0.25">
      <c r="J801" s="77">
        <f t="shared" si="63"/>
        <v>10000</v>
      </c>
      <c r="K801" s="20">
        <f t="shared" si="64"/>
        <v>29</v>
      </c>
      <c r="L801" s="78">
        <f t="shared" si="62"/>
        <v>14159.296192087773</v>
      </c>
    </row>
    <row r="802" spans="10:12" x14ac:dyDescent="0.25">
      <c r="J802" s="77">
        <f t="shared" si="63"/>
        <v>10000</v>
      </c>
      <c r="K802" s="20">
        <f t="shared" si="64"/>
        <v>30</v>
      </c>
      <c r="L802" s="78">
        <f t="shared" si="62"/>
        <v>14330.125702369629</v>
      </c>
    </row>
    <row r="803" spans="10:12" x14ac:dyDescent="0.25">
      <c r="J803" s="77">
        <f t="shared" si="63"/>
        <v>10000</v>
      </c>
      <c r="K803" s="20">
        <f t="shared" si="64"/>
        <v>31</v>
      </c>
      <c r="L803" s="78">
        <f t="shared" si="62"/>
        <v>14503.016241758241</v>
      </c>
    </row>
    <row r="804" spans="10:12" x14ac:dyDescent="0.25">
      <c r="J804" s="77">
        <f t="shared" si="63"/>
        <v>10000</v>
      </c>
      <c r="K804" s="20">
        <f t="shared" si="64"/>
        <v>32</v>
      </c>
      <c r="L804" s="78">
        <f t="shared" si="62"/>
        <v>14677.992676220696</v>
      </c>
    </row>
    <row r="805" spans="10:12" x14ac:dyDescent="0.25">
      <c r="J805" s="77">
        <f t="shared" si="63"/>
        <v>10000</v>
      </c>
      <c r="K805" s="20">
        <f t="shared" si="64"/>
        <v>33</v>
      </c>
      <c r="L805" s="78">
        <f t="shared" si="62"/>
        <v>14855.08017172775</v>
      </c>
    </row>
    <row r="806" spans="10:12" x14ac:dyDescent="0.25">
      <c r="J806" s="77">
        <f t="shared" si="63"/>
        <v>10000</v>
      </c>
      <c r="K806" s="20">
        <f t="shared" si="64"/>
        <v>34</v>
      </c>
      <c r="L806" s="78">
        <f t="shared" si="62"/>
        <v>15034.304197873344</v>
      </c>
    </row>
    <row r="807" spans="10:12" x14ac:dyDescent="0.25">
      <c r="J807" s="77">
        <f t="shared" si="63"/>
        <v>10000</v>
      </c>
      <c r="K807" s="20">
        <f t="shared" si="64"/>
        <v>35</v>
      </c>
      <c r="L807" s="78">
        <f t="shared" si="62"/>
        <v>15215.690531537744</v>
      </c>
    </row>
    <row r="808" spans="10:12" x14ac:dyDescent="0.25">
      <c r="J808" s="77">
        <f t="shared" si="63"/>
        <v>10000</v>
      </c>
      <c r="K808" s="20">
        <f t="shared" si="64"/>
        <v>36</v>
      </c>
      <c r="L808" s="78">
        <f t="shared" si="62"/>
        <v>15399.265260594921</v>
      </c>
    </row>
    <row r="809" spans="10:12" x14ac:dyDescent="0.25">
      <c r="J809" s="77">
        <f t="shared" si="63"/>
        <v>10000</v>
      </c>
      <c r="K809" s="20">
        <f t="shared" si="64"/>
        <v>37</v>
      </c>
      <c r="L809" s="78">
        <f t="shared" si="62"/>
        <v>15585.054787664621</v>
      </c>
    </row>
    <row r="810" spans="10:12" x14ac:dyDescent="0.25">
      <c r="J810" s="77">
        <f t="shared" si="63"/>
        <v>10000</v>
      </c>
      <c r="K810" s="20">
        <f t="shared" si="64"/>
        <v>38</v>
      </c>
      <c r="L810" s="78">
        <f t="shared" si="62"/>
        <v>15773.085833909725</v>
      </c>
    </row>
    <row r="811" spans="10:12" x14ac:dyDescent="0.25">
      <c r="J811" s="77">
        <f t="shared" si="63"/>
        <v>10000</v>
      </c>
      <c r="K811" s="20">
        <f t="shared" si="64"/>
        <v>39</v>
      </c>
      <c r="L811" s="78">
        <f t="shared" si="62"/>
        <v>15963.385442879424</v>
      </c>
    </row>
    <row r="812" spans="10:12" x14ac:dyDescent="0.25">
      <c r="J812" s="77">
        <f t="shared" si="63"/>
        <v>10000</v>
      </c>
      <c r="K812" s="20">
        <f t="shared" si="64"/>
        <v>40</v>
      </c>
      <c r="L812" s="78">
        <f t="shared" si="62"/>
        <v>16155.98098439874</v>
      </c>
    </row>
    <row r="813" spans="10:12" x14ac:dyDescent="0.25">
      <c r="J813" s="77">
        <f t="shared" si="63"/>
        <v>10000</v>
      </c>
      <c r="K813" s="20">
        <f t="shared" si="64"/>
        <v>41</v>
      </c>
      <c r="L813" s="78">
        <f t="shared" si="62"/>
        <v>16350.900158505008</v>
      </c>
    </row>
    <row r="814" spans="10:12" x14ac:dyDescent="0.25">
      <c r="J814" s="77">
        <f t="shared" si="63"/>
        <v>10000</v>
      </c>
      <c r="K814" s="20">
        <f t="shared" si="64"/>
        <v>42</v>
      </c>
      <c r="L814" s="78">
        <f t="shared" si="62"/>
        <v>16548.170999431815</v>
      </c>
    </row>
    <row r="815" spans="10:12" x14ac:dyDescent="0.25">
      <c r="J815" s="77">
        <f t="shared" si="63"/>
        <v>10000</v>
      </c>
      <c r="K815" s="20">
        <f t="shared" si="64"/>
        <v>43</v>
      </c>
      <c r="L815" s="78">
        <f t="shared" si="62"/>
        <v>16747.821879641033</v>
      </c>
    </row>
    <row r="816" spans="10:12" x14ac:dyDescent="0.25">
      <c r="J816" s="77">
        <f t="shared" si="63"/>
        <v>10000</v>
      </c>
      <c r="K816" s="20">
        <f t="shared" si="64"/>
        <v>44</v>
      </c>
      <c r="L816" s="78">
        <f t="shared" si="62"/>
        <v>16949.881513903467</v>
      </c>
    </row>
    <row r="817" spans="10:12" x14ac:dyDescent="0.25">
      <c r="J817" s="77">
        <f t="shared" si="63"/>
        <v>10000</v>
      </c>
      <c r="K817" s="20">
        <f t="shared" si="64"/>
        <v>45</v>
      </c>
      <c r="L817" s="78">
        <f t="shared" si="62"/>
        <v>17154.37896342879</v>
      </c>
    </row>
    <row r="818" spans="10:12" x14ac:dyDescent="0.25">
      <c r="J818" s="77">
        <f t="shared" si="63"/>
        <v>10000</v>
      </c>
      <c r="K818" s="20">
        <f t="shared" si="64"/>
        <v>46</v>
      </c>
      <c r="L818" s="78">
        <f t="shared" si="62"/>
        <v>17361.343640045234</v>
      </c>
    </row>
    <row r="819" spans="10:12" x14ac:dyDescent="0.25">
      <c r="J819" s="77">
        <f t="shared" si="63"/>
        <v>10000</v>
      </c>
      <c r="K819" s="20">
        <f t="shared" si="64"/>
        <v>47</v>
      </c>
      <c r="L819" s="78">
        <f t="shared" si="62"/>
        <v>17570.805310429754</v>
      </c>
    </row>
    <row r="820" spans="10:12" x14ac:dyDescent="0.25">
      <c r="J820" s="77">
        <f t="shared" si="63"/>
        <v>10000</v>
      </c>
      <c r="K820" s="20">
        <f t="shared" si="64"/>
        <v>48</v>
      </c>
      <c r="L820" s="78">
        <f t="shared" si="62"/>
        <v>17782.79410038923</v>
      </c>
    </row>
    <row r="821" spans="10:12" x14ac:dyDescent="0.25">
      <c r="J821" s="77">
        <f t="shared" si="63"/>
        <v>10000</v>
      </c>
      <c r="K821" s="20">
        <f t="shared" si="64"/>
        <v>49</v>
      </c>
      <c r="L821" s="78">
        <f t="shared" si="62"/>
        <v>17997.340499193291</v>
      </c>
    </row>
    <row r="822" spans="10:12" x14ac:dyDescent="0.25">
      <c r="J822" s="77">
        <f t="shared" si="63"/>
        <v>10000</v>
      </c>
      <c r="K822" s="20">
        <f t="shared" si="64"/>
        <v>50</v>
      </c>
      <c r="L822" s="78">
        <f t="shared" si="62"/>
        <v>18214.475363959453</v>
      </c>
    </row>
    <row r="823" spans="10:12" x14ac:dyDescent="0.25">
      <c r="J823" s="77">
        <f t="shared" si="63"/>
        <v>10000</v>
      </c>
      <c r="K823" s="20">
        <f t="shared" si="64"/>
        <v>51</v>
      </c>
      <c r="L823" s="78">
        <f t="shared" si="62"/>
        <v>18434.229924091105</v>
      </c>
    </row>
    <row r="824" spans="10:12" x14ac:dyDescent="0.25">
      <c r="J824" s="77">
        <f t="shared" si="63"/>
        <v>10000</v>
      </c>
      <c r="K824" s="20">
        <f t="shared" si="64"/>
        <v>52</v>
      </c>
      <c r="L824" s="78">
        <f t="shared" si="62"/>
        <v>18656.635785769122</v>
      </c>
    </row>
    <row r="825" spans="10:12" x14ac:dyDescent="0.25">
      <c r="J825" s="77">
        <f t="shared" si="63"/>
        <v>10000</v>
      </c>
      <c r="K825" s="20">
        <f t="shared" si="64"/>
        <v>53</v>
      </c>
      <c r="L825" s="78">
        <f t="shared" si="62"/>
        <v>18881.724936497591</v>
      </c>
    </row>
    <row r="826" spans="10:12" x14ac:dyDescent="0.25">
      <c r="J826" s="77">
        <f t="shared" si="63"/>
        <v>10000</v>
      </c>
      <c r="K826" s="20">
        <f t="shared" si="64"/>
        <v>54</v>
      </c>
      <c r="L826" s="78">
        <f t="shared" si="62"/>
        <v>19109.529749704405</v>
      </c>
    </row>
    <row r="827" spans="10:12" x14ac:dyDescent="0.25">
      <c r="J827" s="77">
        <f t="shared" si="63"/>
        <v>10000</v>
      </c>
      <c r="K827" s="20">
        <f t="shared" si="64"/>
        <v>55</v>
      </c>
      <c r="L827" s="78">
        <f t="shared" si="62"/>
        <v>19340.082989397397</v>
      </c>
    </row>
    <row r="828" spans="10:12" x14ac:dyDescent="0.25">
      <c r="J828" s="77">
        <f t="shared" si="63"/>
        <v>10000</v>
      </c>
      <c r="K828" s="20">
        <f t="shared" si="64"/>
        <v>56</v>
      </c>
      <c r="L828" s="78">
        <f t="shared" si="62"/>
        <v>19573.417814876604</v>
      </c>
    </row>
    <row r="829" spans="10:12" x14ac:dyDescent="0.25">
      <c r="J829" s="77">
        <f t="shared" si="63"/>
        <v>10000</v>
      </c>
      <c r="K829" s="20">
        <f t="shared" si="64"/>
        <v>57</v>
      </c>
      <c r="L829" s="78">
        <f t="shared" si="62"/>
        <v>19809.567785503386</v>
      </c>
    </row>
    <row r="830" spans="10:12" x14ac:dyDescent="0.25">
      <c r="J830" s="77">
        <f t="shared" si="63"/>
        <v>10000</v>
      </c>
      <c r="K830" s="20">
        <f t="shared" si="64"/>
        <v>58</v>
      </c>
      <c r="L830" s="78">
        <f t="shared" si="62"/>
        <v>20048.566865527137</v>
      </c>
    </row>
    <row r="831" spans="10:12" x14ac:dyDescent="0.25">
      <c r="J831" s="77">
        <f t="shared" si="63"/>
        <v>10000</v>
      </c>
      <c r="K831" s="20">
        <f t="shared" si="64"/>
        <v>59</v>
      </c>
      <c r="L831" s="78">
        <f t="shared" si="62"/>
        <v>20290.449428970147</v>
      </c>
    </row>
    <row r="832" spans="10:12" x14ac:dyDescent="0.25">
      <c r="J832" s="77">
        <f t="shared" si="63"/>
        <v>10000</v>
      </c>
      <c r="K832" s="20">
        <f t="shared" si="64"/>
        <v>60</v>
      </c>
      <c r="L832" s="78">
        <f t="shared" si="62"/>
        <v>20535.250264571463</v>
      </c>
    </row>
    <row r="833" spans="10:12" x14ac:dyDescent="0.25">
      <c r="J833" s="77">
        <f t="shared" si="63"/>
        <v>10000</v>
      </c>
      <c r="K833" s="20">
        <f t="shared" si="64"/>
        <v>61</v>
      </c>
      <c r="L833" s="78">
        <f t="shared" si="62"/>
        <v>20783.004580790392</v>
      </c>
    </row>
    <row r="834" spans="10:12" x14ac:dyDescent="0.25">
      <c r="J834" s="77">
        <f t="shared" si="63"/>
        <v>10000</v>
      </c>
      <c r="K834" s="20">
        <f t="shared" si="64"/>
        <v>62</v>
      </c>
      <c r="L834" s="78">
        <f t="shared" si="62"/>
        <v>21033.748010870338</v>
      </c>
    </row>
    <row r="835" spans="10:12" x14ac:dyDescent="0.25">
      <c r="J835" s="77">
        <f t="shared" si="63"/>
        <v>10000</v>
      </c>
      <c r="K835" s="20">
        <f t="shared" si="64"/>
        <v>63</v>
      </c>
      <c r="L835" s="78">
        <f t="shared" si="62"/>
        <v>21287.516617963727</v>
      </c>
    </row>
    <row r="836" spans="10:12" x14ac:dyDescent="0.25">
      <c r="J836" s="77">
        <f t="shared" si="63"/>
        <v>10000</v>
      </c>
      <c r="K836" s="20">
        <f t="shared" si="64"/>
        <v>64</v>
      </c>
      <c r="L836" s="78">
        <f t="shared" si="62"/>
        <v>21544.346900318837</v>
      </c>
    </row>
    <row r="837" spans="10:12" x14ac:dyDescent="0.25">
      <c r="J837" s="77">
        <f t="shared" si="63"/>
        <v>10000</v>
      </c>
      <c r="K837" s="20">
        <f t="shared" si="64"/>
        <v>65</v>
      </c>
      <c r="L837" s="78">
        <f t="shared" ref="L837:L900" si="65">J837*10^(K837/192)</f>
        <v>21804.275796529124</v>
      </c>
    </row>
    <row r="838" spans="10:12" x14ac:dyDescent="0.25">
      <c r="J838" s="77">
        <f t="shared" ref="J838:J901" si="66">J646*10</f>
        <v>10000</v>
      </c>
      <c r="K838" s="20">
        <f t="shared" ref="K838:K901" si="67">K837+1</f>
        <v>66</v>
      </c>
      <c r="L838" s="78">
        <f t="shared" si="65"/>
        <v>22067.3406908459</v>
      </c>
    </row>
    <row r="839" spans="10:12" x14ac:dyDescent="0.25">
      <c r="J839" s="77">
        <f t="shared" si="66"/>
        <v>10000</v>
      </c>
      <c r="K839" s="20">
        <f t="shared" si="67"/>
        <v>67</v>
      </c>
      <c r="L839" s="78">
        <f t="shared" si="65"/>
        <v>22333.57941855516</v>
      </c>
    </row>
    <row r="840" spans="10:12" x14ac:dyDescent="0.25">
      <c r="J840" s="77">
        <f t="shared" si="66"/>
        <v>10000</v>
      </c>
      <c r="K840" s="20">
        <f t="shared" si="67"/>
        <v>68</v>
      </c>
      <c r="L840" s="78">
        <f t="shared" si="65"/>
        <v>22603.030271419204</v>
      </c>
    </row>
    <row r="841" spans="10:12" x14ac:dyDescent="0.25">
      <c r="J841" s="77">
        <f t="shared" si="66"/>
        <v>10000</v>
      </c>
      <c r="K841" s="20">
        <f t="shared" si="67"/>
        <v>69</v>
      </c>
      <c r="L841" s="78">
        <f t="shared" si="65"/>
        <v>22875.732003183963</v>
      </c>
    </row>
    <row r="842" spans="10:12" x14ac:dyDescent="0.25">
      <c r="J842" s="77">
        <f t="shared" si="66"/>
        <v>10000</v>
      </c>
      <c r="K842" s="20">
        <f t="shared" si="67"/>
        <v>70</v>
      </c>
      <c r="L842" s="78">
        <f t="shared" si="65"/>
        <v>23151.723835152734</v>
      </c>
    </row>
    <row r="843" spans="10:12" x14ac:dyDescent="0.25">
      <c r="J843" s="77">
        <f t="shared" si="66"/>
        <v>10000</v>
      </c>
      <c r="K843" s="20">
        <f t="shared" si="67"/>
        <v>71</v>
      </c>
      <c r="L843" s="78">
        <f t="shared" si="65"/>
        <v>23431.045461827223</v>
      </c>
    </row>
    <row r="844" spans="10:12" x14ac:dyDescent="0.25">
      <c r="J844" s="77">
        <f t="shared" si="66"/>
        <v>10000</v>
      </c>
      <c r="K844" s="20">
        <f t="shared" si="67"/>
        <v>72</v>
      </c>
      <c r="L844" s="78">
        <f t="shared" si="65"/>
        <v>23713.737056616555</v>
      </c>
    </row>
    <row r="845" spans="10:12" x14ac:dyDescent="0.25">
      <c r="J845" s="77">
        <f t="shared" si="66"/>
        <v>10000</v>
      </c>
      <c r="K845" s="20">
        <f t="shared" si="67"/>
        <v>73</v>
      </c>
      <c r="L845" s="78">
        <f t="shared" si="65"/>
        <v>23999.839277615232</v>
      </c>
    </row>
    <row r="846" spans="10:12" x14ac:dyDescent="0.25">
      <c r="J846" s="77">
        <f t="shared" si="66"/>
        <v>10000</v>
      </c>
      <c r="K846" s="20">
        <f t="shared" si="67"/>
        <v>74</v>
      </c>
      <c r="L846" s="78">
        <f t="shared" si="65"/>
        <v>24289.393273450791</v>
      </c>
    </row>
    <row r="847" spans="10:12" x14ac:dyDescent="0.25">
      <c r="J847" s="77">
        <f t="shared" si="66"/>
        <v>10000</v>
      </c>
      <c r="K847" s="20">
        <f t="shared" si="67"/>
        <v>75</v>
      </c>
      <c r="L847" s="78">
        <f t="shared" si="65"/>
        <v>24582.440689201976</v>
      </c>
    </row>
    <row r="848" spans="10:12" x14ac:dyDescent="0.25">
      <c r="J848" s="77">
        <f t="shared" si="66"/>
        <v>10000</v>
      </c>
      <c r="K848" s="20">
        <f t="shared" si="67"/>
        <v>76</v>
      </c>
      <c r="L848" s="78">
        <f t="shared" si="65"/>
        <v>24879.023672388365</v>
      </c>
    </row>
    <row r="849" spans="10:12" x14ac:dyDescent="0.25">
      <c r="J849" s="77">
        <f t="shared" si="66"/>
        <v>10000</v>
      </c>
      <c r="K849" s="20">
        <f t="shared" si="67"/>
        <v>77</v>
      </c>
      <c r="L849" s="78">
        <f t="shared" si="65"/>
        <v>25179.184879032218</v>
      </c>
    </row>
    <row r="850" spans="10:12" x14ac:dyDescent="0.25">
      <c r="J850" s="77">
        <f t="shared" si="66"/>
        <v>10000</v>
      </c>
      <c r="K850" s="20">
        <f t="shared" si="67"/>
        <v>78</v>
      </c>
      <c r="L850" s="78">
        <f t="shared" si="65"/>
        <v>25482.967479793471</v>
      </c>
    </row>
    <row r="851" spans="10:12" x14ac:dyDescent="0.25">
      <c r="J851" s="77">
        <f t="shared" si="66"/>
        <v>10000</v>
      </c>
      <c r="K851" s="20">
        <f t="shared" si="67"/>
        <v>79</v>
      </c>
      <c r="L851" s="78">
        <f t="shared" si="65"/>
        <v>25790.415166178762</v>
      </c>
    </row>
    <row r="852" spans="10:12" x14ac:dyDescent="0.25">
      <c r="J852" s="77">
        <f t="shared" si="66"/>
        <v>10000</v>
      </c>
      <c r="K852" s="20">
        <f t="shared" si="67"/>
        <v>80</v>
      </c>
      <c r="L852" s="78">
        <f t="shared" si="65"/>
        <v>26101.572156825372</v>
      </c>
    </row>
    <row r="853" spans="10:12" x14ac:dyDescent="0.25">
      <c r="J853" s="77">
        <f t="shared" si="66"/>
        <v>10000</v>
      </c>
      <c r="K853" s="20">
        <f t="shared" si="67"/>
        <v>81</v>
      </c>
      <c r="L853" s="78">
        <f t="shared" si="65"/>
        <v>26416.483203860927</v>
      </c>
    </row>
    <row r="854" spans="10:12" x14ac:dyDescent="0.25">
      <c r="J854" s="77">
        <f t="shared" si="66"/>
        <v>10000</v>
      </c>
      <c r="K854" s="20">
        <f t="shared" si="67"/>
        <v>82</v>
      </c>
      <c r="L854" s="78">
        <f t="shared" si="65"/>
        <v>26735.193599339909</v>
      </c>
    </row>
    <row r="855" spans="10:12" x14ac:dyDescent="0.25">
      <c r="J855" s="77">
        <f t="shared" si="66"/>
        <v>10000</v>
      </c>
      <c r="K855" s="20">
        <f t="shared" si="67"/>
        <v>83</v>
      </c>
      <c r="L855" s="78">
        <f t="shared" si="65"/>
        <v>27057.749181757765</v>
      </c>
    </row>
    <row r="856" spans="10:12" x14ac:dyDescent="0.25">
      <c r="J856" s="77">
        <f t="shared" si="66"/>
        <v>10000</v>
      </c>
      <c r="K856" s="20">
        <f t="shared" si="67"/>
        <v>84</v>
      </c>
      <c r="L856" s="78">
        <f t="shared" si="65"/>
        <v>27384.196342643616</v>
      </c>
    </row>
    <row r="857" spans="10:12" x14ac:dyDescent="0.25">
      <c r="J857" s="77">
        <f t="shared" si="66"/>
        <v>10000</v>
      </c>
      <c r="K857" s="20">
        <f t="shared" si="67"/>
        <v>85</v>
      </c>
      <c r="L857" s="78">
        <f t="shared" si="65"/>
        <v>27714.582033232535</v>
      </c>
    </row>
    <row r="858" spans="10:12" x14ac:dyDescent="0.25">
      <c r="J858" s="77">
        <f t="shared" si="66"/>
        <v>10000</v>
      </c>
      <c r="K858" s="20">
        <f t="shared" si="67"/>
        <v>86</v>
      </c>
      <c r="L858" s="78">
        <f t="shared" si="65"/>
        <v>28048.953771218283</v>
      </c>
    </row>
    <row r="859" spans="10:12" x14ac:dyDescent="0.25">
      <c r="J859" s="77">
        <f t="shared" si="66"/>
        <v>10000</v>
      </c>
      <c r="K859" s="20">
        <f t="shared" si="67"/>
        <v>87</v>
      </c>
      <c r="L859" s="78">
        <f t="shared" si="65"/>
        <v>28387.359647587549</v>
      </c>
    </row>
    <row r="860" spans="10:12" x14ac:dyDescent="0.25">
      <c r="J860" s="77">
        <f t="shared" si="66"/>
        <v>10000</v>
      </c>
      <c r="K860" s="20">
        <f t="shared" si="67"/>
        <v>88</v>
      </c>
      <c r="L860" s="78">
        <f t="shared" si="65"/>
        <v>28729.848333536644</v>
      </c>
    </row>
    <row r="861" spans="10:12" x14ac:dyDescent="0.25">
      <c r="J861" s="77">
        <f t="shared" si="66"/>
        <v>10000</v>
      </c>
      <c r="K861" s="20">
        <f t="shared" si="67"/>
        <v>89</v>
      </c>
      <c r="L861" s="78">
        <f t="shared" si="65"/>
        <v>29076.469087471618</v>
      </c>
    </row>
    <row r="862" spans="10:12" x14ac:dyDescent="0.25">
      <c r="J862" s="77">
        <f t="shared" si="66"/>
        <v>10000</v>
      </c>
      <c r="K862" s="20">
        <f t="shared" si="67"/>
        <v>90</v>
      </c>
      <c r="L862" s="78">
        <f t="shared" si="65"/>
        <v>29427.271762092823</v>
      </c>
    </row>
    <row r="863" spans="10:12" x14ac:dyDescent="0.25">
      <c r="J863" s="77">
        <f t="shared" si="66"/>
        <v>10000</v>
      </c>
      <c r="K863" s="20">
        <f t="shared" si="67"/>
        <v>91</v>
      </c>
      <c r="L863" s="78">
        <f t="shared" si="65"/>
        <v>29782.306811565013</v>
      </c>
    </row>
    <row r="864" spans="10:12" x14ac:dyDescent="0.25">
      <c r="J864" s="77">
        <f t="shared" si="66"/>
        <v>10000</v>
      </c>
      <c r="K864" s="20">
        <f t="shared" si="67"/>
        <v>92</v>
      </c>
      <c r="L864" s="78">
        <f t="shared" si="65"/>
        <v>30141.625298773906</v>
      </c>
    </row>
    <row r="865" spans="10:12" x14ac:dyDescent="0.25">
      <c r="J865" s="77">
        <f t="shared" si="66"/>
        <v>10000</v>
      </c>
      <c r="K865" s="20">
        <f t="shared" si="67"/>
        <v>93</v>
      </c>
      <c r="L865" s="78">
        <f t="shared" si="65"/>
        <v>30505.278902670256</v>
      </c>
    </row>
    <row r="866" spans="10:12" x14ac:dyDescent="0.25">
      <c r="J866" s="77">
        <f t="shared" si="66"/>
        <v>10000</v>
      </c>
      <c r="K866" s="20">
        <f t="shared" si="67"/>
        <v>94</v>
      </c>
      <c r="L866" s="78">
        <f t="shared" si="65"/>
        <v>30873.319925702639</v>
      </c>
    </row>
    <row r="867" spans="10:12" x14ac:dyDescent="0.25">
      <c r="J867" s="77">
        <f t="shared" si="66"/>
        <v>10000</v>
      </c>
      <c r="K867" s="20">
        <f t="shared" si="67"/>
        <v>95</v>
      </c>
      <c r="L867" s="78">
        <f t="shared" si="65"/>
        <v>31245.801301339801</v>
      </c>
    </row>
    <row r="868" spans="10:12" x14ac:dyDescent="0.25">
      <c r="J868" s="77">
        <f t="shared" si="66"/>
        <v>10000</v>
      </c>
      <c r="K868" s="20">
        <f t="shared" si="67"/>
        <v>96</v>
      </c>
      <c r="L868" s="78">
        <f t="shared" si="65"/>
        <v>31622.776601683796</v>
      </c>
    </row>
    <row r="869" spans="10:12" x14ac:dyDescent="0.25">
      <c r="J869" s="77">
        <f t="shared" si="66"/>
        <v>10000</v>
      </c>
      <c r="K869" s="20">
        <f t="shared" si="67"/>
        <v>97</v>
      </c>
      <c r="L869" s="78">
        <f t="shared" si="65"/>
        <v>32004.300045175067</v>
      </c>
    </row>
    <row r="870" spans="10:12" x14ac:dyDescent="0.25">
      <c r="J870" s="77">
        <f t="shared" si="66"/>
        <v>10000</v>
      </c>
      <c r="K870" s="20">
        <f t="shared" si="67"/>
        <v>98</v>
      </c>
      <c r="L870" s="78">
        <f t="shared" si="65"/>
        <v>32390.426504390307</v>
      </c>
    </row>
    <row r="871" spans="10:12" x14ac:dyDescent="0.25">
      <c r="J871" s="77">
        <f t="shared" si="66"/>
        <v>10000</v>
      </c>
      <c r="K871" s="20">
        <f t="shared" si="67"/>
        <v>99</v>
      </c>
      <c r="L871" s="78">
        <f t="shared" si="65"/>
        <v>32781.211513934591</v>
      </c>
    </row>
    <row r="872" spans="10:12" x14ac:dyDescent="0.25">
      <c r="J872" s="77">
        <f t="shared" si="66"/>
        <v>10000</v>
      </c>
      <c r="K872" s="20">
        <f t="shared" si="67"/>
        <v>100</v>
      </c>
      <c r="L872" s="78">
        <f t="shared" si="65"/>
        <v>33176.711278428578</v>
      </c>
    </row>
    <row r="873" spans="10:12" x14ac:dyDescent="0.25">
      <c r="J873" s="77">
        <f t="shared" si="66"/>
        <v>10000</v>
      </c>
      <c r="K873" s="20">
        <f t="shared" si="67"/>
        <v>101</v>
      </c>
      <c r="L873" s="78">
        <f t="shared" si="65"/>
        <v>33576.982680592148</v>
      </c>
    </row>
    <row r="874" spans="10:12" x14ac:dyDescent="0.25">
      <c r="J874" s="77">
        <f t="shared" si="66"/>
        <v>10000</v>
      </c>
      <c r="K874" s="20">
        <f t="shared" si="67"/>
        <v>102</v>
      </c>
      <c r="L874" s="78">
        <f t="shared" si="65"/>
        <v>33982.083289425595</v>
      </c>
    </row>
    <row r="875" spans="10:12" x14ac:dyDescent="0.25">
      <c r="J875" s="77">
        <f t="shared" si="66"/>
        <v>10000</v>
      </c>
      <c r="K875" s="20">
        <f t="shared" si="67"/>
        <v>103</v>
      </c>
      <c r="L875" s="78">
        <f t="shared" si="65"/>
        <v>34392.071368489414</v>
      </c>
    </row>
    <row r="876" spans="10:12" x14ac:dyDescent="0.25">
      <c r="J876" s="77">
        <f t="shared" si="66"/>
        <v>10000</v>
      </c>
      <c r="K876" s="20">
        <f t="shared" si="67"/>
        <v>104</v>
      </c>
      <c r="L876" s="78">
        <f t="shared" si="65"/>
        <v>34807.005884284103</v>
      </c>
    </row>
    <row r="877" spans="10:12" x14ac:dyDescent="0.25">
      <c r="J877" s="77">
        <f t="shared" si="66"/>
        <v>10000</v>
      </c>
      <c r="K877" s="20">
        <f t="shared" si="67"/>
        <v>105</v>
      </c>
      <c r="L877" s="78">
        <f t="shared" si="65"/>
        <v>35226.946514731018</v>
      </c>
    </row>
    <row r="878" spans="10:12" x14ac:dyDescent="0.25">
      <c r="J878" s="77">
        <f t="shared" si="66"/>
        <v>10000</v>
      </c>
      <c r="K878" s="20">
        <f t="shared" si="67"/>
        <v>106</v>
      </c>
      <c r="L878" s="78">
        <f t="shared" si="65"/>
        <v>35651.953657755497</v>
      </c>
    </row>
    <row r="879" spans="10:12" x14ac:dyDescent="0.25">
      <c r="J879" s="77">
        <f t="shared" si="66"/>
        <v>10000</v>
      </c>
      <c r="K879" s="20">
        <f t="shared" si="67"/>
        <v>107</v>
      </c>
      <c r="L879" s="78">
        <f t="shared" si="65"/>
        <v>36082.088439973624</v>
      </c>
    </row>
    <row r="880" spans="10:12" x14ac:dyDescent="0.25">
      <c r="J880" s="77">
        <f t="shared" si="66"/>
        <v>10000</v>
      </c>
      <c r="K880" s="20">
        <f t="shared" si="67"/>
        <v>108</v>
      </c>
      <c r="L880" s="78">
        <f t="shared" si="65"/>
        <v>36517.412725483773</v>
      </c>
    </row>
    <row r="881" spans="10:12" x14ac:dyDescent="0.25">
      <c r="J881" s="77">
        <f t="shared" si="66"/>
        <v>10000</v>
      </c>
      <c r="K881" s="20">
        <f t="shared" si="67"/>
        <v>109</v>
      </c>
      <c r="L881" s="78">
        <f t="shared" si="65"/>
        <v>36957.989124764179</v>
      </c>
    </row>
    <row r="882" spans="10:12" x14ac:dyDescent="0.25">
      <c r="J882" s="77">
        <f t="shared" si="66"/>
        <v>10000</v>
      </c>
      <c r="K882" s="20">
        <f t="shared" si="67"/>
        <v>110</v>
      </c>
      <c r="L882" s="78">
        <f t="shared" si="65"/>
        <v>37403.88100367786</v>
      </c>
    </row>
    <row r="883" spans="10:12" x14ac:dyDescent="0.25">
      <c r="J883" s="77">
        <f t="shared" si="66"/>
        <v>10000</v>
      </c>
      <c r="K883" s="20">
        <f t="shared" si="67"/>
        <v>111</v>
      </c>
      <c r="L883" s="78">
        <f t="shared" si="65"/>
        <v>37855.152492586298</v>
      </c>
    </row>
    <row r="884" spans="10:12" x14ac:dyDescent="0.25">
      <c r="J884" s="77">
        <f t="shared" si="66"/>
        <v>10000</v>
      </c>
      <c r="K884" s="20">
        <f t="shared" si="67"/>
        <v>112</v>
      </c>
      <c r="L884" s="78">
        <f t="shared" si="65"/>
        <v>38311.868495572882</v>
      </c>
    </row>
    <row r="885" spans="10:12" x14ac:dyDescent="0.25">
      <c r="J885" s="77">
        <f t="shared" si="66"/>
        <v>10000</v>
      </c>
      <c r="K885" s="20">
        <f t="shared" si="67"/>
        <v>113</v>
      </c>
      <c r="L885" s="78">
        <f t="shared" si="65"/>
        <v>38774.094699777765</v>
      </c>
    </row>
    <row r="886" spans="10:12" x14ac:dyDescent="0.25">
      <c r="J886" s="77">
        <f t="shared" si="66"/>
        <v>10000</v>
      </c>
      <c r="K886" s="20">
        <f t="shared" si="67"/>
        <v>114</v>
      </c>
      <c r="L886" s="78">
        <f t="shared" si="65"/>
        <v>39241.897584845363</v>
      </c>
    </row>
    <row r="887" spans="10:12" x14ac:dyDescent="0.25">
      <c r="J887" s="77">
        <f t="shared" si="66"/>
        <v>10000</v>
      </c>
      <c r="K887" s="20">
        <f t="shared" si="67"/>
        <v>115</v>
      </c>
      <c r="L887" s="78">
        <f t="shared" si="65"/>
        <v>39715.344432485705</v>
      </c>
    </row>
    <row r="888" spans="10:12" x14ac:dyDescent="0.25">
      <c r="J888" s="77">
        <f t="shared" si="66"/>
        <v>10000</v>
      </c>
      <c r="K888" s="20">
        <f t="shared" si="67"/>
        <v>116</v>
      </c>
      <c r="L888" s="78">
        <f t="shared" si="65"/>
        <v>40194.503336151254</v>
      </c>
    </row>
    <row r="889" spans="10:12" x14ac:dyDescent="0.25">
      <c r="J889" s="77">
        <f t="shared" si="66"/>
        <v>10000</v>
      </c>
      <c r="K889" s="20">
        <f t="shared" si="67"/>
        <v>117</v>
      </c>
      <c r="L889" s="78">
        <f t="shared" si="65"/>
        <v>40679.443210830483</v>
      </c>
    </row>
    <row r="890" spans="10:12" x14ac:dyDescent="0.25">
      <c r="J890" s="77">
        <f t="shared" si="66"/>
        <v>10000</v>
      </c>
      <c r="K890" s="20">
        <f t="shared" si="67"/>
        <v>118</v>
      </c>
      <c r="L890" s="78">
        <f t="shared" si="65"/>
        <v>41170.233802959483</v>
      </c>
    </row>
    <row r="891" spans="10:12" x14ac:dyDescent="0.25">
      <c r="J891" s="77">
        <f t="shared" si="66"/>
        <v>10000</v>
      </c>
      <c r="K891" s="20">
        <f t="shared" si="67"/>
        <v>119</v>
      </c>
      <c r="L891" s="78">
        <f t="shared" si="65"/>
        <v>41666.945700453296</v>
      </c>
    </row>
    <row r="892" spans="10:12" x14ac:dyDescent="0.25">
      <c r="J892" s="77">
        <f t="shared" si="66"/>
        <v>10000</v>
      </c>
      <c r="K892" s="20">
        <f t="shared" si="67"/>
        <v>120</v>
      </c>
      <c r="L892" s="78">
        <f t="shared" si="65"/>
        <v>42169.650342858229</v>
      </c>
    </row>
    <row r="893" spans="10:12" x14ac:dyDescent="0.25">
      <c r="J893" s="77">
        <f t="shared" si="66"/>
        <v>10000</v>
      </c>
      <c r="K893" s="20">
        <f t="shared" si="67"/>
        <v>121</v>
      </c>
      <c r="L893" s="78">
        <f t="shared" si="65"/>
        <v>42678.420031626585</v>
      </c>
    </row>
    <row r="894" spans="10:12" x14ac:dyDescent="0.25">
      <c r="J894" s="77">
        <f t="shared" si="66"/>
        <v>10000</v>
      </c>
      <c r="K894" s="20">
        <f t="shared" si="67"/>
        <v>122</v>
      </c>
      <c r="L894" s="78">
        <f t="shared" si="65"/>
        <v>43193.327940515446</v>
      </c>
    </row>
    <row r="895" spans="10:12" x14ac:dyDescent="0.25">
      <c r="J895" s="77">
        <f t="shared" si="66"/>
        <v>10000</v>
      </c>
      <c r="K895" s="20">
        <f t="shared" si="67"/>
        <v>123</v>
      </c>
      <c r="L895" s="78">
        <f t="shared" si="65"/>
        <v>43714.448126110896</v>
      </c>
    </row>
    <row r="896" spans="10:12" x14ac:dyDescent="0.25">
      <c r="J896" s="77">
        <f t="shared" si="66"/>
        <v>10000</v>
      </c>
      <c r="K896" s="20">
        <f t="shared" si="67"/>
        <v>124</v>
      </c>
      <c r="L896" s="78">
        <f t="shared" si="65"/>
        <v>44241.855538479183</v>
      </c>
    </row>
    <row r="897" spans="10:12" x14ac:dyDescent="0.25">
      <c r="J897" s="77">
        <f t="shared" si="66"/>
        <v>10000</v>
      </c>
      <c r="K897" s="20">
        <f t="shared" si="67"/>
        <v>125</v>
      </c>
      <c r="L897" s="78">
        <f t="shared" si="65"/>
        <v>44775.626031946369</v>
      </c>
    </row>
    <row r="898" spans="10:12" x14ac:dyDescent="0.25">
      <c r="J898" s="77">
        <f t="shared" si="66"/>
        <v>10000</v>
      </c>
      <c r="K898" s="20">
        <f t="shared" si="67"/>
        <v>126</v>
      </c>
      <c r="L898" s="78">
        <f t="shared" si="65"/>
        <v>45315.836376008185</v>
      </c>
    </row>
    <row r="899" spans="10:12" x14ac:dyDescent="0.25">
      <c r="J899" s="77">
        <f t="shared" si="66"/>
        <v>10000</v>
      </c>
      <c r="K899" s="20">
        <f t="shared" si="67"/>
        <v>127</v>
      </c>
      <c r="L899" s="78">
        <f t="shared" si="65"/>
        <v>45862.564266371264</v>
      </c>
    </row>
    <row r="900" spans="10:12" x14ac:dyDescent="0.25">
      <c r="J900" s="77">
        <f t="shared" si="66"/>
        <v>10000</v>
      </c>
      <c r="K900" s="20">
        <f t="shared" si="67"/>
        <v>128</v>
      </c>
      <c r="L900" s="78">
        <f t="shared" si="65"/>
        <v>46415.888336127791</v>
      </c>
    </row>
    <row r="901" spans="10:12" x14ac:dyDescent="0.25">
      <c r="J901" s="77">
        <f t="shared" si="66"/>
        <v>10000</v>
      </c>
      <c r="K901" s="20">
        <f t="shared" si="67"/>
        <v>129</v>
      </c>
      <c r="L901" s="78">
        <f t="shared" ref="L901:L964" si="68">J901*10^(K901/192)</f>
        <v>46975.888167064935</v>
      </c>
    </row>
    <row r="902" spans="10:12" x14ac:dyDescent="0.25">
      <c r="J902" s="77">
        <f t="shared" ref="J902:J965" si="69">J710*10</f>
        <v>10000</v>
      </c>
      <c r="K902" s="20">
        <f t="shared" ref="K902:K947" si="70">K901+1</f>
        <v>130</v>
      </c>
      <c r="L902" s="78">
        <f t="shared" si="68"/>
        <v>47542.644301110573</v>
      </c>
    </row>
    <row r="903" spans="10:12" x14ac:dyDescent="0.25">
      <c r="J903" s="77">
        <f t="shared" si="69"/>
        <v>10000</v>
      </c>
      <c r="K903" s="20">
        <f t="shared" si="70"/>
        <v>131</v>
      </c>
      <c r="L903" s="78">
        <f t="shared" si="68"/>
        <v>48116.238251917333</v>
      </c>
    </row>
    <row r="904" spans="10:12" x14ac:dyDescent="0.25">
      <c r="J904" s="77">
        <f t="shared" si="69"/>
        <v>10000</v>
      </c>
      <c r="K904" s="20">
        <f t="shared" si="70"/>
        <v>132</v>
      </c>
      <c r="L904" s="78">
        <f t="shared" si="68"/>
        <v>48696.752516586319</v>
      </c>
    </row>
    <row r="905" spans="10:12" x14ac:dyDescent="0.25">
      <c r="J905" s="77">
        <f t="shared" si="69"/>
        <v>10000</v>
      </c>
      <c r="K905" s="20">
        <f t="shared" si="70"/>
        <v>133</v>
      </c>
      <c r="L905" s="78">
        <f t="shared" si="68"/>
        <v>49284.270587532075</v>
      </c>
    </row>
    <row r="906" spans="10:12" x14ac:dyDescent="0.25">
      <c r="J906" s="77">
        <f t="shared" si="69"/>
        <v>10000</v>
      </c>
      <c r="K906" s="20">
        <f t="shared" si="70"/>
        <v>134</v>
      </c>
      <c r="L906" s="78">
        <f t="shared" si="68"/>
        <v>49878.876964491064</v>
      </c>
    </row>
    <row r="907" spans="10:12" x14ac:dyDescent="0.25">
      <c r="J907" s="77">
        <f t="shared" si="69"/>
        <v>10000</v>
      </c>
      <c r="K907" s="20">
        <f t="shared" si="70"/>
        <v>135</v>
      </c>
      <c r="L907" s="78">
        <f t="shared" si="68"/>
        <v>50480.657166674711</v>
      </c>
    </row>
    <row r="908" spans="10:12" x14ac:dyDescent="0.25">
      <c r="J908" s="77">
        <f t="shared" si="69"/>
        <v>10000</v>
      </c>
      <c r="K908" s="20">
        <f t="shared" si="70"/>
        <v>136</v>
      </c>
      <c r="L908" s="78">
        <f t="shared" si="68"/>
        <v>51089.697745069287</v>
      </c>
    </row>
    <row r="909" spans="10:12" x14ac:dyDescent="0.25">
      <c r="J909" s="77">
        <f t="shared" si="69"/>
        <v>10000</v>
      </c>
      <c r="K909" s="20">
        <f t="shared" si="70"/>
        <v>137</v>
      </c>
      <c r="L909" s="78">
        <f t="shared" si="68"/>
        <v>51706.086294884008</v>
      </c>
    </row>
    <row r="910" spans="10:12" x14ac:dyDescent="0.25">
      <c r="J910" s="77">
        <f t="shared" si="69"/>
        <v>10000</v>
      </c>
      <c r="K910" s="20">
        <f t="shared" si="70"/>
        <v>138</v>
      </c>
      <c r="L910" s="78">
        <f t="shared" si="68"/>
        <v>52329.911468149476</v>
      </c>
    </row>
    <row r="911" spans="10:12" x14ac:dyDescent="0.25">
      <c r="J911" s="77">
        <f t="shared" si="69"/>
        <v>10000</v>
      </c>
      <c r="K911" s="20">
        <f t="shared" si="70"/>
        <v>139</v>
      </c>
      <c r="L911" s="78">
        <f t="shared" si="68"/>
        <v>52961.262986468042</v>
      </c>
    </row>
    <row r="912" spans="10:12" x14ac:dyDescent="0.25">
      <c r="J912" s="77">
        <f t="shared" si="69"/>
        <v>10000</v>
      </c>
      <c r="K912" s="20">
        <f t="shared" si="70"/>
        <v>140</v>
      </c>
      <c r="L912" s="78">
        <f t="shared" si="68"/>
        <v>53600.231653917916</v>
      </c>
    </row>
    <row r="913" spans="10:12" x14ac:dyDescent="0.25">
      <c r="J913" s="77">
        <f t="shared" si="69"/>
        <v>10000</v>
      </c>
      <c r="K913" s="20">
        <f t="shared" si="70"/>
        <v>141</v>
      </c>
      <c r="L913" s="78">
        <f t="shared" si="68"/>
        <v>54246.909370113266</v>
      </c>
    </row>
    <row r="914" spans="10:12" x14ac:dyDescent="0.25">
      <c r="J914" s="77">
        <f t="shared" si="69"/>
        <v>10000</v>
      </c>
      <c r="K914" s="20">
        <f t="shared" si="70"/>
        <v>142</v>
      </c>
      <c r="L914" s="78">
        <f t="shared" si="68"/>
        <v>54901.389143421417</v>
      </c>
    </row>
    <row r="915" spans="10:12" x14ac:dyDescent="0.25">
      <c r="J915" s="77">
        <f t="shared" si="69"/>
        <v>10000</v>
      </c>
      <c r="K915" s="20">
        <f t="shared" si="70"/>
        <v>143</v>
      </c>
      <c r="L915" s="78">
        <f t="shared" si="68"/>
        <v>55563.765104339931</v>
      </c>
    </row>
    <row r="916" spans="10:12" x14ac:dyDescent="0.25">
      <c r="J916" s="77">
        <f t="shared" si="69"/>
        <v>10000</v>
      </c>
      <c r="K916" s="20">
        <f t="shared" si="70"/>
        <v>144</v>
      </c>
      <c r="L916" s="78">
        <f t="shared" si="68"/>
        <v>56234.132519034923</v>
      </c>
    </row>
    <row r="917" spans="10:12" x14ac:dyDescent="0.25">
      <c r="J917" s="77">
        <f t="shared" si="69"/>
        <v>10000</v>
      </c>
      <c r="K917" s="20">
        <f t="shared" si="70"/>
        <v>145</v>
      </c>
      <c r="L917" s="78">
        <f t="shared" si="68"/>
        <v>56912.587803042588</v>
      </c>
    </row>
    <row r="918" spans="10:12" x14ac:dyDescent="0.25">
      <c r="J918" s="77">
        <f t="shared" si="69"/>
        <v>10000</v>
      </c>
      <c r="K918" s="20">
        <f t="shared" si="70"/>
        <v>146</v>
      </c>
      <c r="L918" s="78">
        <f t="shared" si="68"/>
        <v>57599.228535136281</v>
      </c>
    </row>
    <row r="919" spans="10:12" x14ac:dyDescent="0.25">
      <c r="J919" s="77">
        <f t="shared" si="69"/>
        <v>10000</v>
      </c>
      <c r="K919" s="20">
        <f t="shared" si="70"/>
        <v>147</v>
      </c>
      <c r="L919" s="78">
        <f t="shared" si="68"/>
        <v>58294.153471360754</v>
      </c>
    </row>
    <row r="920" spans="10:12" x14ac:dyDescent="0.25">
      <c r="J920" s="77">
        <f t="shared" si="69"/>
        <v>10000</v>
      </c>
      <c r="K920" s="20">
        <f t="shared" si="70"/>
        <v>148</v>
      </c>
      <c r="L920" s="78">
        <f t="shared" si="68"/>
        <v>58997.462559235653</v>
      </c>
    </row>
    <row r="921" spans="10:12" x14ac:dyDescent="0.25">
      <c r="J921" s="77">
        <f t="shared" si="69"/>
        <v>10000</v>
      </c>
      <c r="K921" s="20">
        <f t="shared" si="70"/>
        <v>149</v>
      </c>
      <c r="L921" s="78">
        <f t="shared" si="68"/>
        <v>59709.256952130534</v>
      </c>
    </row>
    <row r="922" spans="10:12" x14ac:dyDescent="0.25">
      <c r="J922" s="77">
        <f t="shared" si="69"/>
        <v>10000</v>
      </c>
      <c r="K922" s="20">
        <f t="shared" si="70"/>
        <v>150</v>
      </c>
      <c r="L922" s="78">
        <f t="shared" si="68"/>
        <v>60429.639023813288</v>
      </c>
    </row>
    <row r="923" spans="10:12" x14ac:dyDescent="0.25">
      <c r="J923" s="77">
        <f t="shared" si="69"/>
        <v>10000</v>
      </c>
      <c r="K923" s="20">
        <f t="shared" si="70"/>
        <v>151</v>
      </c>
      <c r="L923" s="78">
        <f t="shared" si="68"/>
        <v>61158.712383173894</v>
      </c>
    </row>
    <row r="924" spans="10:12" x14ac:dyDescent="0.25">
      <c r="J924" s="77">
        <f t="shared" si="69"/>
        <v>10000</v>
      </c>
      <c r="K924" s="20">
        <f t="shared" si="70"/>
        <v>152</v>
      </c>
      <c r="L924" s="78">
        <f t="shared" si="68"/>
        <v>61896.581889126064</v>
      </c>
    </row>
    <row r="925" spans="10:12" x14ac:dyDescent="0.25">
      <c r="J925" s="77">
        <f t="shared" si="69"/>
        <v>10000</v>
      </c>
      <c r="K925" s="20">
        <f t="shared" si="70"/>
        <v>153</v>
      </c>
      <c r="L925" s="78">
        <f t="shared" si="68"/>
        <v>62643.35366568857</v>
      </c>
    </row>
    <row r="926" spans="10:12" x14ac:dyDescent="0.25">
      <c r="J926" s="77">
        <f t="shared" si="69"/>
        <v>10000</v>
      </c>
      <c r="K926" s="20">
        <f t="shared" si="70"/>
        <v>154</v>
      </c>
      <c r="L926" s="78">
        <f t="shared" si="68"/>
        <v>63399.135117248457</v>
      </c>
    </row>
    <row r="927" spans="10:12" x14ac:dyDescent="0.25">
      <c r="J927" s="77">
        <f t="shared" si="69"/>
        <v>10000</v>
      </c>
      <c r="K927" s="20">
        <f t="shared" si="70"/>
        <v>155</v>
      </c>
      <c r="L927" s="78">
        <f t="shared" si="68"/>
        <v>64164.034944008534</v>
      </c>
    </row>
    <row r="928" spans="10:12" x14ac:dyDescent="0.25">
      <c r="J928" s="77">
        <f t="shared" si="69"/>
        <v>10000</v>
      </c>
      <c r="K928" s="20">
        <f t="shared" si="70"/>
        <v>156</v>
      </c>
      <c r="L928" s="78">
        <f t="shared" si="68"/>
        <v>64938.163157621151</v>
      </c>
    </row>
    <row r="929" spans="10:12" x14ac:dyDescent="0.25">
      <c r="J929" s="77">
        <f t="shared" si="69"/>
        <v>10000</v>
      </c>
      <c r="K929" s="20">
        <f t="shared" si="70"/>
        <v>157</v>
      </c>
      <c r="L929" s="78">
        <f t="shared" si="68"/>
        <v>65721.631097010584</v>
      </c>
    </row>
    <row r="930" spans="10:12" x14ac:dyDescent="0.25">
      <c r="J930" s="77">
        <f t="shared" si="69"/>
        <v>10000</v>
      </c>
      <c r="K930" s="20">
        <f t="shared" si="70"/>
        <v>158</v>
      </c>
      <c r="L930" s="78">
        <f t="shared" si="68"/>
        <v>66514.551444386336</v>
      </c>
    </row>
    <row r="931" spans="10:12" x14ac:dyDescent="0.25">
      <c r="J931" s="77">
        <f t="shared" si="69"/>
        <v>10000</v>
      </c>
      <c r="K931" s="20">
        <f t="shared" si="70"/>
        <v>159</v>
      </c>
      <c r="L931" s="78">
        <f t="shared" si="68"/>
        <v>67317.038241449831</v>
      </c>
    </row>
    <row r="932" spans="10:12" x14ac:dyDescent="0.25">
      <c r="J932" s="77">
        <f t="shared" si="69"/>
        <v>10000</v>
      </c>
      <c r="K932" s="20">
        <f t="shared" si="70"/>
        <v>160</v>
      </c>
      <c r="L932" s="78">
        <f t="shared" si="68"/>
        <v>68129.206905796134</v>
      </c>
    </row>
    <row r="933" spans="10:12" x14ac:dyDescent="0.25">
      <c r="J933" s="77">
        <f t="shared" si="69"/>
        <v>10000</v>
      </c>
      <c r="K933" s="20">
        <f t="shared" si="70"/>
        <v>161</v>
      </c>
      <c r="L933" s="78">
        <f t="shared" si="68"/>
        <v>68951.174247514136</v>
      </c>
    </row>
    <row r="934" spans="10:12" x14ac:dyDescent="0.25">
      <c r="J934" s="77">
        <f t="shared" si="69"/>
        <v>10000</v>
      </c>
      <c r="K934" s="20">
        <f t="shared" si="70"/>
        <v>162</v>
      </c>
      <c r="L934" s="78">
        <f t="shared" si="68"/>
        <v>69783.05848598665</v>
      </c>
    </row>
    <row r="935" spans="10:12" x14ac:dyDescent="0.25">
      <c r="J935" s="77">
        <f t="shared" si="69"/>
        <v>10000</v>
      </c>
      <c r="K935" s="20">
        <f t="shared" si="70"/>
        <v>163</v>
      </c>
      <c r="L935" s="78">
        <f t="shared" si="68"/>
        <v>70624.979266893293</v>
      </c>
    </row>
    <row r="936" spans="10:12" x14ac:dyDescent="0.25">
      <c r="J936" s="77">
        <f t="shared" si="69"/>
        <v>10000</v>
      </c>
      <c r="K936" s="20">
        <f t="shared" si="70"/>
        <v>164</v>
      </c>
      <c r="L936" s="78">
        <f t="shared" si="68"/>
        <v>71477.057679418576</v>
      </c>
    </row>
    <row r="937" spans="10:12" x14ac:dyDescent="0.25">
      <c r="J937" s="77">
        <f t="shared" si="69"/>
        <v>10000</v>
      </c>
      <c r="K937" s="20">
        <f t="shared" si="70"/>
        <v>165</v>
      </c>
      <c r="L937" s="78">
        <f t="shared" si="68"/>
        <v>72339.416273667492</v>
      </c>
    </row>
    <row r="938" spans="10:12" x14ac:dyDescent="0.25">
      <c r="J938" s="77">
        <f t="shared" si="69"/>
        <v>10000</v>
      </c>
      <c r="K938" s="20">
        <f t="shared" si="70"/>
        <v>166</v>
      </c>
      <c r="L938" s="78">
        <f t="shared" si="68"/>
        <v>73212.179078291301</v>
      </c>
    </row>
    <row r="939" spans="10:12" x14ac:dyDescent="0.25">
      <c r="J939" s="77">
        <f t="shared" si="69"/>
        <v>10000</v>
      </c>
      <c r="K939" s="20">
        <f t="shared" si="70"/>
        <v>167</v>
      </c>
      <c r="L939" s="78">
        <f t="shared" si="68"/>
        <v>74095.471618325901</v>
      </c>
    </row>
    <row r="940" spans="10:12" x14ac:dyDescent="0.25">
      <c r="J940" s="77">
        <f t="shared" si="69"/>
        <v>10000</v>
      </c>
      <c r="K940" s="20">
        <f t="shared" si="70"/>
        <v>168</v>
      </c>
      <c r="L940" s="78">
        <f t="shared" si="68"/>
        <v>74989.420933245594</v>
      </c>
    </row>
    <row r="941" spans="10:12" x14ac:dyDescent="0.25">
      <c r="J941" s="77">
        <f t="shared" si="69"/>
        <v>10000</v>
      </c>
      <c r="K941" s="20">
        <f t="shared" si="70"/>
        <v>169</v>
      </c>
      <c r="L941" s="78">
        <f t="shared" si="68"/>
        <v>75894.155595234275</v>
      </c>
    </row>
    <row r="942" spans="10:12" x14ac:dyDescent="0.25">
      <c r="J942" s="77">
        <f t="shared" si="69"/>
        <v>10000</v>
      </c>
      <c r="K942" s="20">
        <f t="shared" si="70"/>
        <v>170</v>
      </c>
      <c r="L942" s="78">
        <f t="shared" si="68"/>
        <v>76809.805727677551</v>
      </c>
    </row>
    <row r="943" spans="10:12" x14ac:dyDescent="0.25">
      <c r="J943" s="77">
        <f t="shared" si="69"/>
        <v>10000</v>
      </c>
      <c r="K943" s="20">
        <f t="shared" si="70"/>
        <v>171</v>
      </c>
      <c r="L943" s="78">
        <f t="shared" si="68"/>
        <v>77736.503023877609</v>
      </c>
    </row>
    <row r="944" spans="10:12" x14ac:dyDescent="0.25">
      <c r="J944" s="77">
        <f t="shared" si="69"/>
        <v>10000</v>
      </c>
      <c r="K944" s="20">
        <f t="shared" si="70"/>
        <v>172</v>
      </c>
      <c r="L944" s="78">
        <f t="shared" si="68"/>
        <v>78674.380765994036</v>
      </c>
    </row>
    <row r="945" spans="10:12" x14ac:dyDescent="0.25">
      <c r="J945" s="77">
        <f t="shared" si="69"/>
        <v>10000</v>
      </c>
      <c r="K945" s="20">
        <f t="shared" si="70"/>
        <v>173</v>
      </c>
      <c r="L945" s="78">
        <f t="shared" si="68"/>
        <v>79623.573844213039</v>
      </c>
    </row>
    <row r="946" spans="10:12" x14ac:dyDescent="0.25">
      <c r="J946" s="77">
        <f t="shared" si="69"/>
        <v>10000</v>
      </c>
      <c r="K946" s="20">
        <f t="shared" si="70"/>
        <v>174</v>
      </c>
      <c r="L946" s="78">
        <f t="shared" si="68"/>
        <v>80584.218776148191</v>
      </c>
    </row>
    <row r="947" spans="10:12" x14ac:dyDescent="0.25">
      <c r="J947" s="77">
        <f t="shared" si="69"/>
        <v>10000</v>
      </c>
      <c r="K947" s="20">
        <f t="shared" si="70"/>
        <v>175</v>
      </c>
      <c r="L947" s="78">
        <f t="shared" si="68"/>
        <v>81556.45372647488</v>
      </c>
    </row>
    <row r="948" spans="10:12" x14ac:dyDescent="0.25">
      <c r="J948" s="77">
        <f t="shared" si="69"/>
        <v>10000</v>
      </c>
      <c r="K948" s="20">
        <f>K947+1</f>
        <v>176</v>
      </c>
      <c r="L948" s="78">
        <f t="shared" si="68"/>
        <v>82540.418526801834</v>
      </c>
    </row>
    <row r="949" spans="10:12" x14ac:dyDescent="0.25">
      <c r="J949" s="77">
        <f t="shared" si="69"/>
        <v>10000</v>
      </c>
      <c r="K949" s="20">
        <f t="shared" ref="K949:K964" si="71">K948+1</f>
        <v>177</v>
      </c>
      <c r="L949" s="78">
        <f t="shared" si="68"/>
        <v>83536.254695782613</v>
      </c>
    </row>
    <row r="950" spans="10:12" x14ac:dyDescent="0.25">
      <c r="J950" s="77">
        <f t="shared" si="69"/>
        <v>10000</v>
      </c>
      <c r="K950" s="20">
        <f t="shared" si="71"/>
        <v>178</v>
      </c>
      <c r="L950" s="78">
        <f t="shared" si="68"/>
        <v>84544.10545946924</v>
      </c>
    </row>
    <row r="951" spans="10:12" x14ac:dyDescent="0.25">
      <c r="J951" s="77">
        <f t="shared" si="69"/>
        <v>10000</v>
      </c>
      <c r="K951" s="20">
        <f t="shared" si="71"/>
        <v>179</v>
      </c>
      <c r="L951" s="78">
        <f t="shared" si="68"/>
        <v>85564.115771911849</v>
      </c>
    </row>
    <row r="952" spans="10:12" x14ac:dyDescent="0.25">
      <c r="J952" s="77">
        <f t="shared" si="69"/>
        <v>10000</v>
      </c>
      <c r="K952" s="20">
        <f t="shared" si="71"/>
        <v>180</v>
      </c>
      <c r="L952" s="78">
        <f t="shared" si="68"/>
        <v>86596.432336006561</v>
      </c>
    </row>
    <row r="953" spans="10:12" x14ac:dyDescent="0.25">
      <c r="J953" s="77">
        <f t="shared" si="69"/>
        <v>10000</v>
      </c>
      <c r="K953" s="20">
        <f t="shared" si="71"/>
        <v>181</v>
      </c>
      <c r="L953" s="78">
        <f t="shared" si="68"/>
        <v>87641.203624595204</v>
      </c>
    </row>
    <row r="954" spans="10:12" x14ac:dyDescent="0.25">
      <c r="J954" s="77">
        <f t="shared" si="69"/>
        <v>10000</v>
      </c>
      <c r="K954" s="20">
        <f t="shared" si="71"/>
        <v>182</v>
      </c>
      <c r="L954" s="78">
        <f t="shared" si="68"/>
        <v>88698.57990181919</v>
      </c>
    </row>
    <row r="955" spans="10:12" x14ac:dyDescent="0.25">
      <c r="J955" s="77">
        <f t="shared" si="69"/>
        <v>10000</v>
      </c>
      <c r="K955" s="20">
        <f t="shared" si="71"/>
        <v>183</v>
      </c>
      <c r="L955" s="78">
        <f t="shared" si="68"/>
        <v>89768.713244731451</v>
      </c>
    </row>
    <row r="956" spans="10:12" x14ac:dyDescent="0.25">
      <c r="J956" s="77">
        <f t="shared" si="69"/>
        <v>10000</v>
      </c>
      <c r="K956" s="20">
        <f t="shared" si="71"/>
        <v>184</v>
      </c>
      <c r="L956" s="78">
        <f t="shared" si="68"/>
        <v>90851.757565168708</v>
      </c>
    </row>
    <row r="957" spans="10:12" x14ac:dyDescent="0.25">
      <c r="J957" s="77">
        <f t="shared" si="69"/>
        <v>10000</v>
      </c>
      <c r="K957" s="20">
        <f t="shared" si="71"/>
        <v>185</v>
      </c>
      <c r="L957" s="78">
        <f t="shared" si="68"/>
        <v>91947.868631887934</v>
      </c>
    </row>
    <row r="958" spans="10:12" x14ac:dyDescent="0.25">
      <c r="J958" s="77">
        <f t="shared" si="69"/>
        <v>10000</v>
      </c>
      <c r="K958" s="20">
        <f t="shared" si="71"/>
        <v>186</v>
      </c>
      <c r="L958" s="78">
        <f t="shared" si="68"/>
        <v>93057.2040929699</v>
      </c>
    </row>
    <row r="959" spans="10:12" x14ac:dyDescent="0.25">
      <c r="J959" s="77">
        <f t="shared" si="69"/>
        <v>10000</v>
      </c>
      <c r="K959" s="20">
        <f t="shared" si="71"/>
        <v>187</v>
      </c>
      <c r="L959" s="78">
        <f t="shared" si="68"/>
        <v>94179.923498492601</v>
      </c>
    </row>
    <row r="960" spans="10:12" x14ac:dyDescent="0.25">
      <c r="J960" s="77">
        <f t="shared" si="69"/>
        <v>10000</v>
      </c>
      <c r="K960" s="20">
        <f t="shared" si="71"/>
        <v>188</v>
      </c>
      <c r="L960" s="78">
        <f t="shared" si="68"/>
        <v>95316.188323478782</v>
      </c>
    </row>
    <row r="961" spans="10:12" x14ac:dyDescent="0.25">
      <c r="J961" s="77">
        <f t="shared" si="69"/>
        <v>10000</v>
      </c>
      <c r="K961" s="20">
        <f t="shared" si="71"/>
        <v>189</v>
      </c>
      <c r="L961" s="78">
        <f t="shared" si="68"/>
        <v>96466.161991119967</v>
      </c>
    </row>
    <row r="962" spans="10:12" x14ac:dyDescent="0.25">
      <c r="J962" s="77">
        <f t="shared" si="69"/>
        <v>10000</v>
      </c>
      <c r="K962" s="20">
        <f t="shared" si="71"/>
        <v>190</v>
      </c>
      <c r="L962" s="78">
        <f t="shared" si="68"/>
        <v>97630.009896280782</v>
      </c>
    </row>
    <row r="963" spans="10:12" x14ac:dyDescent="0.25">
      <c r="J963" s="77">
        <f t="shared" si="69"/>
        <v>10000</v>
      </c>
      <c r="K963" s="20">
        <f t="shared" si="71"/>
        <v>191</v>
      </c>
      <c r="L963" s="78">
        <f t="shared" si="68"/>
        <v>98807.899429286917</v>
      </c>
    </row>
    <row r="964" spans="10:12" x14ac:dyDescent="0.25">
      <c r="J964" s="77">
        <f t="shared" si="69"/>
        <v>10000</v>
      </c>
      <c r="K964" s="20">
        <f t="shared" si="71"/>
        <v>192</v>
      </c>
      <c r="L964" s="78">
        <f t="shared" si="68"/>
        <v>100000</v>
      </c>
    </row>
    <row r="965" spans="10:12" x14ac:dyDescent="0.25">
      <c r="J965" s="77">
        <f t="shared" si="69"/>
        <v>100000</v>
      </c>
      <c r="K965" s="20">
        <v>1</v>
      </c>
      <c r="L965" s="78">
        <f t="shared" ref="L965:L1028" si="72">J965*10^(K965/192)</f>
        <v>101206.48306218295</v>
      </c>
    </row>
    <row r="966" spans="10:12" x14ac:dyDescent="0.25">
      <c r="J966" s="77">
        <f t="shared" ref="J966:J1029" si="73">J774*10</f>
        <v>100000</v>
      </c>
      <c r="K966" s="20">
        <f t="shared" ref="K966:K1029" si="74">K965+1</f>
        <v>2</v>
      </c>
      <c r="L966" s="78">
        <f t="shared" si="72"/>
        <v>102427.52213815923</v>
      </c>
    </row>
    <row r="967" spans="10:12" x14ac:dyDescent="0.25">
      <c r="J967" s="77">
        <f t="shared" si="73"/>
        <v>100000</v>
      </c>
      <c r="K967" s="20">
        <f t="shared" si="74"/>
        <v>3</v>
      </c>
      <c r="L967" s="78">
        <f t="shared" si="72"/>
        <v>103663.2928437698</v>
      </c>
    </row>
    <row r="968" spans="10:12" x14ac:dyDescent="0.25">
      <c r="J968" s="77">
        <f t="shared" si="73"/>
        <v>100000</v>
      </c>
      <c r="K968" s="20">
        <f t="shared" si="74"/>
        <v>4</v>
      </c>
      <c r="L968" s="78">
        <f t="shared" si="72"/>
        <v>104913.97291363098</v>
      </c>
    </row>
    <row r="969" spans="10:12" x14ac:dyDescent="0.25">
      <c r="J969" s="77">
        <f t="shared" si="73"/>
        <v>100000</v>
      </c>
      <c r="K969" s="20">
        <f t="shared" si="74"/>
        <v>5</v>
      </c>
      <c r="L969" s="78">
        <f t="shared" si="72"/>
        <v>106179.74222669716</v>
      </c>
    </row>
    <row r="970" spans="10:12" x14ac:dyDescent="0.25">
      <c r="J970" s="77">
        <f t="shared" si="73"/>
        <v>100000</v>
      </c>
      <c r="K970" s="20">
        <f t="shared" si="74"/>
        <v>6</v>
      </c>
      <c r="L970" s="78">
        <f t="shared" si="72"/>
        <v>107460.78283213174</v>
      </c>
    </row>
    <row r="971" spans="10:12" x14ac:dyDescent="0.25">
      <c r="J971" s="77">
        <f t="shared" si="73"/>
        <v>100000</v>
      </c>
      <c r="K971" s="20">
        <f t="shared" si="74"/>
        <v>7</v>
      </c>
      <c r="L971" s="78">
        <f t="shared" si="72"/>
        <v>108757.27897549061</v>
      </c>
    </row>
    <row r="972" spans="10:12" x14ac:dyDescent="0.25">
      <c r="J972" s="77">
        <f t="shared" si="73"/>
        <v>100000</v>
      </c>
      <c r="K972" s="20">
        <f t="shared" si="74"/>
        <v>8</v>
      </c>
      <c r="L972" s="78">
        <f t="shared" si="72"/>
        <v>110069.41712522096</v>
      </c>
    </row>
    <row r="973" spans="10:12" x14ac:dyDescent="0.25">
      <c r="J973" s="77">
        <f t="shared" si="73"/>
        <v>100000</v>
      </c>
      <c r="K973" s="20">
        <f t="shared" si="74"/>
        <v>9</v>
      </c>
      <c r="L973" s="78">
        <f t="shared" si="72"/>
        <v>111397.38599948023</v>
      </c>
    </row>
    <row r="974" spans="10:12" x14ac:dyDescent="0.25">
      <c r="J974" s="77">
        <f t="shared" si="73"/>
        <v>100000</v>
      </c>
      <c r="K974" s="20">
        <f t="shared" si="74"/>
        <v>10</v>
      </c>
      <c r="L974" s="78">
        <f t="shared" si="72"/>
        <v>112741.37659327852</v>
      </c>
    </row>
    <row r="975" spans="10:12" x14ac:dyDescent="0.25">
      <c r="J975" s="77">
        <f t="shared" si="73"/>
        <v>100000</v>
      </c>
      <c r="K975" s="20">
        <f t="shared" si="74"/>
        <v>11</v>
      </c>
      <c r="L975" s="78">
        <f t="shared" si="72"/>
        <v>114101.5822059483</v>
      </c>
    </row>
    <row r="976" spans="10:12" x14ac:dyDescent="0.25">
      <c r="J976" s="77">
        <f t="shared" si="73"/>
        <v>100000</v>
      </c>
      <c r="K976" s="20">
        <f t="shared" si="74"/>
        <v>12</v>
      </c>
      <c r="L976" s="78">
        <f t="shared" si="72"/>
        <v>115478.19846894582</v>
      </c>
    </row>
    <row r="977" spans="10:12" x14ac:dyDescent="0.25">
      <c r="J977" s="77">
        <f t="shared" si="73"/>
        <v>100000</v>
      </c>
      <c r="K977" s="20">
        <f t="shared" si="74"/>
        <v>13</v>
      </c>
      <c r="L977" s="78">
        <f t="shared" si="72"/>
        <v>116871.42337398767</v>
      </c>
    </row>
    <row r="978" spans="10:12" x14ac:dyDescent="0.25">
      <c r="J978" s="77">
        <f t="shared" si="73"/>
        <v>100000</v>
      </c>
      <c r="K978" s="20">
        <f t="shared" si="74"/>
        <v>14</v>
      </c>
      <c r="L978" s="78">
        <f t="shared" si="72"/>
        <v>118281.45730152693</v>
      </c>
    </row>
    <row r="979" spans="10:12" x14ac:dyDescent="0.25">
      <c r="J979" s="77">
        <f t="shared" si="73"/>
        <v>100000</v>
      </c>
      <c r="K979" s="20">
        <f t="shared" si="74"/>
        <v>15</v>
      </c>
      <c r="L979" s="78">
        <f t="shared" si="72"/>
        <v>119708.50304957299</v>
      </c>
    </row>
    <row r="980" spans="10:12" x14ac:dyDescent="0.25">
      <c r="J980" s="77">
        <f t="shared" si="73"/>
        <v>100000</v>
      </c>
      <c r="K980" s="20">
        <f t="shared" si="74"/>
        <v>16</v>
      </c>
      <c r="L980" s="78">
        <f t="shared" si="72"/>
        <v>121152.76586285885</v>
      </c>
    </row>
    <row r="981" spans="10:12" x14ac:dyDescent="0.25">
      <c r="J981" s="77">
        <f t="shared" si="73"/>
        <v>100000</v>
      </c>
      <c r="K981" s="20">
        <f t="shared" si="74"/>
        <v>17</v>
      </c>
      <c r="L981" s="78">
        <f t="shared" si="72"/>
        <v>122614.4534623604</v>
      </c>
    </row>
    <row r="982" spans="10:12" x14ac:dyDescent="0.25">
      <c r="J982" s="77">
        <f t="shared" si="73"/>
        <v>100000</v>
      </c>
      <c r="K982" s="20">
        <f t="shared" si="74"/>
        <v>18</v>
      </c>
      <c r="L982" s="78">
        <f t="shared" si="72"/>
        <v>124093.77607517196</v>
      </c>
    </row>
    <row r="983" spans="10:12" x14ac:dyDescent="0.25">
      <c r="J983" s="77">
        <f t="shared" si="73"/>
        <v>100000</v>
      </c>
      <c r="K983" s="20">
        <f t="shared" si="74"/>
        <v>19</v>
      </c>
      <c r="L983" s="78">
        <f t="shared" si="72"/>
        <v>125590.94646474214</v>
      </c>
    </row>
    <row r="984" spans="10:12" x14ac:dyDescent="0.25">
      <c r="J984" s="77">
        <f t="shared" si="73"/>
        <v>100000</v>
      </c>
      <c r="K984" s="20">
        <f t="shared" si="74"/>
        <v>20</v>
      </c>
      <c r="L984" s="78">
        <f t="shared" si="72"/>
        <v>127106.17996147448</v>
      </c>
    </row>
    <row r="985" spans="10:12" x14ac:dyDescent="0.25">
      <c r="J985" s="77">
        <f t="shared" si="73"/>
        <v>100000</v>
      </c>
      <c r="K985" s="20">
        <f t="shared" si="74"/>
        <v>21</v>
      </c>
      <c r="L985" s="78">
        <f t="shared" si="72"/>
        <v>128639.69449369745</v>
      </c>
    </row>
    <row r="986" spans="10:12" x14ac:dyDescent="0.25">
      <c r="J986" s="77">
        <f t="shared" si="73"/>
        <v>100000</v>
      </c>
      <c r="K986" s="20">
        <f t="shared" si="74"/>
        <v>22</v>
      </c>
      <c r="L986" s="78">
        <f t="shared" si="72"/>
        <v>130191.71061900779</v>
      </c>
    </row>
    <row r="987" spans="10:12" x14ac:dyDescent="0.25">
      <c r="J987" s="77">
        <f t="shared" si="73"/>
        <v>100000</v>
      </c>
      <c r="K987" s="20">
        <f t="shared" si="74"/>
        <v>23</v>
      </c>
      <c r="L987" s="78">
        <f t="shared" si="72"/>
        <v>131762.45155599236</v>
      </c>
    </row>
    <row r="988" spans="10:12" x14ac:dyDescent="0.25">
      <c r="J988" s="77">
        <f t="shared" si="73"/>
        <v>100000</v>
      </c>
      <c r="K988" s="20">
        <f t="shared" si="74"/>
        <v>24</v>
      </c>
      <c r="L988" s="78">
        <f t="shared" si="72"/>
        <v>133352.14321633239</v>
      </c>
    </row>
    <row r="989" spans="10:12" x14ac:dyDescent="0.25">
      <c r="J989" s="77">
        <f t="shared" si="73"/>
        <v>100000</v>
      </c>
      <c r="K989" s="20">
        <f t="shared" si="74"/>
        <v>25</v>
      </c>
      <c r="L989" s="78">
        <f t="shared" si="72"/>
        <v>134961.0142372954</v>
      </c>
    </row>
    <row r="990" spans="10:12" x14ac:dyDescent="0.25">
      <c r="J990" s="77">
        <f t="shared" si="73"/>
        <v>100000</v>
      </c>
      <c r="K990" s="20">
        <f t="shared" si="74"/>
        <v>26</v>
      </c>
      <c r="L990" s="78">
        <f t="shared" si="72"/>
        <v>136589.29601461865</v>
      </c>
    </row>
    <row r="991" spans="10:12" x14ac:dyDescent="0.25">
      <c r="J991" s="77">
        <f t="shared" si="73"/>
        <v>100000</v>
      </c>
      <c r="K991" s="20">
        <f t="shared" si="74"/>
        <v>27</v>
      </c>
      <c r="L991" s="78">
        <f t="shared" si="72"/>
        <v>138237.22273578998</v>
      </c>
    </row>
    <row r="992" spans="10:12" x14ac:dyDescent="0.25">
      <c r="J992" s="77">
        <f t="shared" si="73"/>
        <v>100000</v>
      </c>
      <c r="K992" s="20">
        <f t="shared" si="74"/>
        <v>28</v>
      </c>
      <c r="L992" s="78">
        <f t="shared" si="72"/>
        <v>139905.03141372939</v>
      </c>
    </row>
    <row r="993" spans="10:12" x14ac:dyDescent="0.25">
      <c r="J993" s="77">
        <f t="shared" si="73"/>
        <v>100000</v>
      </c>
      <c r="K993" s="20">
        <f t="shared" si="74"/>
        <v>29</v>
      </c>
      <c r="L993" s="78">
        <f t="shared" si="72"/>
        <v>141592.96192087774</v>
      </c>
    </row>
    <row r="994" spans="10:12" x14ac:dyDescent="0.25">
      <c r="J994" s="77">
        <f t="shared" si="73"/>
        <v>100000</v>
      </c>
      <c r="K994" s="20">
        <f t="shared" si="74"/>
        <v>30</v>
      </c>
      <c r="L994" s="78">
        <f t="shared" si="72"/>
        <v>143301.25702369629</v>
      </c>
    </row>
    <row r="995" spans="10:12" x14ac:dyDescent="0.25">
      <c r="J995" s="77">
        <f t="shared" si="73"/>
        <v>100000</v>
      </c>
      <c r="K995" s="20">
        <f t="shared" si="74"/>
        <v>31</v>
      </c>
      <c r="L995" s="78">
        <f t="shared" si="72"/>
        <v>145030.16241758241</v>
      </c>
    </row>
    <row r="996" spans="10:12" x14ac:dyDescent="0.25">
      <c r="J996" s="77">
        <f t="shared" si="73"/>
        <v>100000</v>
      </c>
      <c r="K996" s="20">
        <f t="shared" si="74"/>
        <v>32</v>
      </c>
      <c r="L996" s="78">
        <f t="shared" si="72"/>
        <v>146779.92676220697</v>
      </c>
    </row>
    <row r="997" spans="10:12" x14ac:dyDescent="0.25">
      <c r="J997" s="77">
        <f t="shared" si="73"/>
        <v>100000</v>
      </c>
      <c r="K997" s="20">
        <f t="shared" si="74"/>
        <v>33</v>
      </c>
      <c r="L997" s="78">
        <f t="shared" si="72"/>
        <v>148550.8017172775</v>
      </c>
    </row>
    <row r="998" spans="10:12" x14ac:dyDescent="0.25">
      <c r="J998" s="77">
        <f t="shared" si="73"/>
        <v>100000</v>
      </c>
      <c r="K998" s="20">
        <f t="shared" si="74"/>
        <v>34</v>
      </c>
      <c r="L998" s="78">
        <f t="shared" si="72"/>
        <v>150343.04197873344</v>
      </c>
    </row>
    <row r="999" spans="10:12" x14ac:dyDescent="0.25">
      <c r="J999" s="77">
        <f t="shared" si="73"/>
        <v>100000</v>
      </c>
      <c r="K999" s="20">
        <f t="shared" si="74"/>
        <v>35</v>
      </c>
      <c r="L999" s="78">
        <f t="shared" si="72"/>
        <v>152156.90531537746</v>
      </c>
    </row>
    <row r="1000" spans="10:12" x14ac:dyDescent="0.25">
      <c r="J1000" s="77">
        <f t="shared" si="73"/>
        <v>100000</v>
      </c>
      <c r="K1000" s="20">
        <f t="shared" si="74"/>
        <v>36</v>
      </c>
      <c r="L1000" s="78">
        <f t="shared" si="72"/>
        <v>153992.6526059492</v>
      </c>
    </row>
    <row r="1001" spans="10:12" x14ac:dyDescent="0.25">
      <c r="J1001" s="77">
        <f t="shared" si="73"/>
        <v>100000</v>
      </c>
      <c r="K1001" s="20">
        <f t="shared" si="74"/>
        <v>37</v>
      </c>
      <c r="L1001" s="78">
        <f t="shared" si="72"/>
        <v>155850.54787664622</v>
      </c>
    </row>
    <row r="1002" spans="10:12" x14ac:dyDescent="0.25">
      <c r="J1002" s="77">
        <f t="shared" si="73"/>
        <v>100000</v>
      </c>
      <c r="K1002" s="20">
        <f t="shared" si="74"/>
        <v>38</v>
      </c>
      <c r="L1002" s="78">
        <f t="shared" si="72"/>
        <v>157730.85833909726</v>
      </c>
    </row>
    <row r="1003" spans="10:12" x14ac:dyDescent="0.25">
      <c r="J1003" s="77">
        <f t="shared" si="73"/>
        <v>100000</v>
      </c>
      <c r="K1003" s="20">
        <f t="shared" si="74"/>
        <v>39</v>
      </c>
      <c r="L1003" s="78">
        <f t="shared" si="72"/>
        <v>159633.85442879423</v>
      </c>
    </row>
    <row r="1004" spans="10:12" x14ac:dyDescent="0.25">
      <c r="J1004" s="77">
        <f t="shared" si="73"/>
        <v>100000</v>
      </c>
      <c r="K1004" s="20">
        <f t="shared" si="74"/>
        <v>40</v>
      </c>
      <c r="L1004" s="78">
        <f t="shared" si="72"/>
        <v>161559.8098439874</v>
      </c>
    </row>
    <row r="1005" spans="10:12" x14ac:dyDescent="0.25">
      <c r="J1005" s="77">
        <f t="shared" si="73"/>
        <v>100000</v>
      </c>
      <c r="K1005" s="20">
        <f t="shared" si="74"/>
        <v>41</v>
      </c>
      <c r="L1005" s="78">
        <f t="shared" si="72"/>
        <v>163509.00158505008</v>
      </c>
    </row>
    <row r="1006" spans="10:12" x14ac:dyDescent="0.25">
      <c r="J1006" s="77">
        <f t="shared" si="73"/>
        <v>100000</v>
      </c>
      <c r="K1006" s="20">
        <f t="shared" si="74"/>
        <v>42</v>
      </c>
      <c r="L1006" s="78">
        <f t="shared" si="72"/>
        <v>165481.70999431814</v>
      </c>
    </row>
    <row r="1007" spans="10:12" x14ac:dyDescent="0.25">
      <c r="J1007" s="77">
        <f t="shared" si="73"/>
        <v>100000</v>
      </c>
      <c r="K1007" s="20">
        <f t="shared" si="74"/>
        <v>43</v>
      </c>
      <c r="L1007" s="78">
        <f t="shared" si="72"/>
        <v>167478.21879641031</v>
      </c>
    </row>
    <row r="1008" spans="10:12" x14ac:dyDescent="0.25">
      <c r="J1008" s="77">
        <f t="shared" si="73"/>
        <v>100000</v>
      </c>
      <c r="K1008" s="20">
        <f t="shared" si="74"/>
        <v>44</v>
      </c>
      <c r="L1008" s="78">
        <f t="shared" si="72"/>
        <v>169498.81513903468</v>
      </c>
    </row>
    <row r="1009" spans="10:12" x14ac:dyDescent="0.25">
      <c r="J1009" s="77">
        <f t="shared" si="73"/>
        <v>100000</v>
      </c>
      <c r="K1009" s="20">
        <f t="shared" si="74"/>
        <v>45</v>
      </c>
      <c r="L1009" s="78">
        <f t="shared" si="72"/>
        <v>171543.78963428791</v>
      </c>
    </row>
    <row r="1010" spans="10:12" x14ac:dyDescent="0.25">
      <c r="J1010" s="77">
        <f t="shared" si="73"/>
        <v>100000</v>
      </c>
      <c r="K1010" s="20">
        <f t="shared" si="74"/>
        <v>46</v>
      </c>
      <c r="L1010" s="78">
        <f t="shared" si="72"/>
        <v>173613.43640045234</v>
      </c>
    </row>
    <row r="1011" spans="10:12" x14ac:dyDescent="0.25">
      <c r="J1011" s="77">
        <f t="shared" si="73"/>
        <v>100000</v>
      </c>
      <c r="K1011" s="20">
        <f t="shared" si="74"/>
        <v>47</v>
      </c>
      <c r="L1011" s="78">
        <f t="shared" si="72"/>
        <v>175708.05310429755</v>
      </c>
    </row>
    <row r="1012" spans="10:12" x14ac:dyDescent="0.25">
      <c r="J1012" s="77">
        <f t="shared" si="73"/>
        <v>100000</v>
      </c>
      <c r="K1012" s="20">
        <f t="shared" si="74"/>
        <v>48</v>
      </c>
      <c r="L1012" s="78">
        <f t="shared" si="72"/>
        <v>177827.94100389231</v>
      </c>
    </row>
    <row r="1013" spans="10:12" x14ac:dyDescent="0.25">
      <c r="J1013" s="77">
        <f t="shared" si="73"/>
        <v>100000</v>
      </c>
      <c r="K1013" s="20">
        <f t="shared" si="74"/>
        <v>49</v>
      </c>
      <c r="L1013" s="78">
        <f t="shared" si="72"/>
        <v>179973.40499193294</v>
      </c>
    </row>
    <row r="1014" spans="10:12" x14ac:dyDescent="0.25">
      <c r="J1014" s="77">
        <f t="shared" si="73"/>
        <v>100000</v>
      </c>
      <c r="K1014" s="20">
        <f t="shared" si="74"/>
        <v>50</v>
      </c>
      <c r="L1014" s="78">
        <f t="shared" si="72"/>
        <v>182144.75363959454</v>
      </c>
    </row>
    <row r="1015" spans="10:12" x14ac:dyDescent="0.25">
      <c r="J1015" s="77">
        <f t="shared" si="73"/>
        <v>100000</v>
      </c>
      <c r="K1015" s="20">
        <f t="shared" si="74"/>
        <v>51</v>
      </c>
      <c r="L1015" s="78">
        <f t="shared" si="72"/>
        <v>184342.29924091106</v>
      </c>
    </row>
    <row r="1016" spans="10:12" x14ac:dyDescent="0.25">
      <c r="J1016" s="77">
        <f t="shared" si="73"/>
        <v>100000</v>
      </c>
      <c r="K1016" s="20">
        <f t="shared" si="74"/>
        <v>52</v>
      </c>
      <c r="L1016" s="78">
        <f t="shared" si="72"/>
        <v>186566.35785769121</v>
      </c>
    </row>
    <row r="1017" spans="10:12" x14ac:dyDescent="0.25">
      <c r="J1017" s="77">
        <f t="shared" si="73"/>
        <v>100000</v>
      </c>
      <c r="K1017" s="20">
        <f t="shared" si="74"/>
        <v>53</v>
      </c>
      <c r="L1017" s="78">
        <f t="shared" si="72"/>
        <v>188817.2493649759</v>
      </c>
    </row>
    <row r="1018" spans="10:12" x14ac:dyDescent="0.25">
      <c r="J1018" s="77">
        <f t="shared" si="73"/>
        <v>100000</v>
      </c>
      <c r="K1018" s="20">
        <f t="shared" si="74"/>
        <v>54</v>
      </c>
      <c r="L1018" s="78">
        <f t="shared" si="72"/>
        <v>191095.29749704406</v>
      </c>
    </row>
    <row r="1019" spans="10:12" x14ac:dyDescent="0.25">
      <c r="J1019" s="77">
        <f t="shared" si="73"/>
        <v>100000</v>
      </c>
      <c r="K1019" s="20">
        <f t="shared" si="74"/>
        <v>55</v>
      </c>
      <c r="L1019" s="78">
        <f t="shared" si="72"/>
        <v>193400.82989397398</v>
      </c>
    </row>
    <row r="1020" spans="10:12" x14ac:dyDescent="0.25">
      <c r="J1020" s="77">
        <f t="shared" si="73"/>
        <v>100000</v>
      </c>
      <c r="K1020" s="20">
        <f t="shared" si="74"/>
        <v>56</v>
      </c>
      <c r="L1020" s="78">
        <f t="shared" si="72"/>
        <v>195734.17814876605</v>
      </c>
    </row>
    <row r="1021" spans="10:12" x14ac:dyDescent="0.25">
      <c r="J1021" s="77">
        <f t="shared" si="73"/>
        <v>100000</v>
      </c>
      <c r="K1021" s="20">
        <f t="shared" si="74"/>
        <v>57</v>
      </c>
      <c r="L1021" s="78">
        <f t="shared" si="72"/>
        <v>198095.67785503389</v>
      </c>
    </row>
    <row r="1022" spans="10:12" x14ac:dyDescent="0.25">
      <c r="J1022" s="77">
        <f t="shared" si="73"/>
        <v>100000</v>
      </c>
      <c r="K1022" s="20">
        <f t="shared" si="74"/>
        <v>58</v>
      </c>
      <c r="L1022" s="78">
        <f t="shared" si="72"/>
        <v>200485.66865527135</v>
      </c>
    </row>
    <row r="1023" spans="10:12" x14ac:dyDescent="0.25">
      <c r="J1023" s="77">
        <f t="shared" si="73"/>
        <v>100000</v>
      </c>
      <c r="K1023" s="20">
        <f t="shared" si="74"/>
        <v>59</v>
      </c>
      <c r="L1023" s="78">
        <f t="shared" si="72"/>
        <v>202904.49428970146</v>
      </c>
    </row>
    <row r="1024" spans="10:12" x14ac:dyDescent="0.25">
      <c r="J1024" s="77">
        <f t="shared" si="73"/>
        <v>100000</v>
      </c>
      <c r="K1024" s="20">
        <f t="shared" si="74"/>
        <v>60</v>
      </c>
      <c r="L1024" s="78">
        <f t="shared" si="72"/>
        <v>205352.50264571462</v>
      </c>
    </row>
    <row r="1025" spans="10:12" x14ac:dyDescent="0.25">
      <c r="J1025" s="77">
        <f t="shared" si="73"/>
        <v>100000</v>
      </c>
      <c r="K1025" s="20">
        <f t="shared" si="74"/>
        <v>61</v>
      </c>
      <c r="L1025" s="78">
        <f t="shared" si="72"/>
        <v>207830.04580790392</v>
      </c>
    </row>
    <row r="1026" spans="10:12" x14ac:dyDescent="0.25">
      <c r="J1026" s="77">
        <f t="shared" si="73"/>
        <v>100000</v>
      </c>
      <c r="K1026" s="20">
        <f t="shared" si="74"/>
        <v>62</v>
      </c>
      <c r="L1026" s="78">
        <f t="shared" si="72"/>
        <v>210337.48010870337</v>
      </c>
    </row>
    <row r="1027" spans="10:12" x14ac:dyDescent="0.25">
      <c r="J1027" s="77">
        <f t="shared" si="73"/>
        <v>100000</v>
      </c>
      <c r="K1027" s="20">
        <f t="shared" si="74"/>
        <v>63</v>
      </c>
      <c r="L1027" s="78">
        <f t="shared" si="72"/>
        <v>212875.16617963728</v>
      </c>
    </row>
    <row r="1028" spans="10:12" x14ac:dyDescent="0.25">
      <c r="J1028" s="77">
        <f t="shared" si="73"/>
        <v>100000</v>
      </c>
      <c r="K1028" s="20">
        <f t="shared" si="74"/>
        <v>64</v>
      </c>
      <c r="L1028" s="78">
        <f t="shared" si="72"/>
        <v>215443.46900318839</v>
      </c>
    </row>
    <row r="1029" spans="10:12" x14ac:dyDescent="0.25">
      <c r="J1029" s="77">
        <f t="shared" si="73"/>
        <v>100000</v>
      </c>
      <c r="K1029" s="20">
        <f t="shared" si="74"/>
        <v>65</v>
      </c>
      <c r="L1029" s="78">
        <f t="shared" ref="L1029:L1092" si="75">J1029*10^(K1029/192)</f>
        <v>218042.75796529121</v>
      </c>
    </row>
    <row r="1030" spans="10:12" x14ac:dyDescent="0.25">
      <c r="J1030" s="77">
        <f t="shared" ref="J1030:J1093" si="76">J838*10</f>
        <v>100000</v>
      </c>
      <c r="K1030" s="20">
        <f t="shared" ref="K1030:K1093" si="77">K1029+1</f>
        <v>66</v>
      </c>
      <c r="L1030" s="78">
        <f t="shared" si="75"/>
        <v>220673.406908459</v>
      </c>
    </row>
    <row r="1031" spans="10:12" x14ac:dyDescent="0.25">
      <c r="J1031" s="77">
        <f t="shared" si="76"/>
        <v>100000</v>
      </c>
      <c r="K1031" s="20">
        <f t="shared" si="77"/>
        <v>67</v>
      </c>
      <c r="L1031" s="78">
        <f t="shared" si="75"/>
        <v>223335.79418555161</v>
      </c>
    </row>
    <row r="1032" spans="10:12" x14ac:dyDescent="0.25">
      <c r="J1032" s="77">
        <f t="shared" si="76"/>
        <v>100000</v>
      </c>
      <c r="K1032" s="20">
        <f t="shared" si="77"/>
        <v>68</v>
      </c>
      <c r="L1032" s="78">
        <f t="shared" si="75"/>
        <v>226030.30271419202</v>
      </c>
    </row>
    <row r="1033" spans="10:12" x14ac:dyDescent="0.25">
      <c r="J1033" s="77">
        <f t="shared" si="76"/>
        <v>100000</v>
      </c>
      <c r="K1033" s="20">
        <f t="shared" si="77"/>
        <v>69</v>
      </c>
      <c r="L1033" s="78">
        <f t="shared" si="75"/>
        <v>228757.32003183963</v>
      </c>
    </row>
    <row r="1034" spans="10:12" x14ac:dyDescent="0.25">
      <c r="J1034" s="77">
        <f t="shared" si="76"/>
        <v>100000</v>
      </c>
      <c r="K1034" s="20">
        <f t="shared" si="77"/>
        <v>70</v>
      </c>
      <c r="L1034" s="78">
        <f t="shared" si="75"/>
        <v>231517.23835152734</v>
      </c>
    </row>
    <row r="1035" spans="10:12" x14ac:dyDescent="0.25">
      <c r="J1035" s="77">
        <f t="shared" si="76"/>
        <v>100000</v>
      </c>
      <c r="K1035" s="20">
        <f t="shared" si="77"/>
        <v>71</v>
      </c>
      <c r="L1035" s="78">
        <f t="shared" si="75"/>
        <v>234310.45461827226</v>
      </c>
    </row>
    <row r="1036" spans="10:12" x14ac:dyDescent="0.25">
      <c r="J1036" s="77">
        <f t="shared" si="76"/>
        <v>100000</v>
      </c>
      <c r="K1036" s="20">
        <f t="shared" si="77"/>
        <v>72</v>
      </c>
      <c r="L1036" s="78">
        <f t="shared" si="75"/>
        <v>237137.37056616554</v>
      </c>
    </row>
    <row r="1037" spans="10:12" x14ac:dyDescent="0.25">
      <c r="J1037" s="77">
        <f t="shared" si="76"/>
        <v>100000</v>
      </c>
      <c r="K1037" s="20">
        <f t="shared" si="77"/>
        <v>73</v>
      </c>
      <c r="L1037" s="78">
        <f t="shared" si="75"/>
        <v>239998.39277615232</v>
      </c>
    </row>
    <row r="1038" spans="10:12" x14ac:dyDescent="0.25">
      <c r="J1038" s="77">
        <f t="shared" si="76"/>
        <v>100000</v>
      </c>
      <c r="K1038" s="20">
        <f t="shared" si="77"/>
        <v>74</v>
      </c>
      <c r="L1038" s="78">
        <f t="shared" si="75"/>
        <v>242893.93273450792</v>
      </c>
    </row>
    <row r="1039" spans="10:12" x14ac:dyDescent="0.25">
      <c r="J1039" s="77">
        <f t="shared" si="76"/>
        <v>100000</v>
      </c>
      <c r="K1039" s="20">
        <f t="shared" si="77"/>
        <v>75</v>
      </c>
      <c r="L1039" s="78">
        <f t="shared" si="75"/>
        <v>245824.40689201976</v>
      </c>
    </row>
    <row r="1040" spans="10:12" x14ac:dyDescent="0.25">
      <c r="J1040" s="77">
        <f t="shared" si="76"/>
        <v>100000</v>
      </c>
      <c r="K1040" s="20">
        <f t="shared" si="77"/>
        <v>76</v>
      </c>
      <c r="L1040" s="78">
        <f t="shared" si="75"/>
        <v>248790.23672388363</v>
      </c>
    </row>
    <row r="1041" spans="10:12" x14ac:dyDescent="0.25">
      <c r="J1041" s="77">
        <f t="shared" si="76"/>
        <v>100000</v>
      </c>
      <c r="K1041" s="20">
        <f t="shared" si="77"/>
        <v>77</v>
      </c>
      <c r="L1041" s="78">
        <f t="shared" si="75"/>
        <v>251791.84879032217</v>
      </c>
    </row>
    <row r="1042" spans="10:12" x14ac:dyDescent="0.25">
      <c r="J1042" s="77">
        <f t="shared" si="76"/>
        <v>100000</v>
      </c>
      <c r="K1042" s="20">
        <f t="shared" si="77"/>
        <v>78</v>
      </c>
      <c r="L1042" s="78">
        <f t="shared" si="75"/>
        <v>254829.67479793471</v>
      </c>
    </row>
    <row r="1043" spans="10:12" x14ac:dyDescent="0.25">
      <c r="J1043" s="77">
        <f t="shared" si="76"/>
        <v>100000</v>
      </c>
      <c r="K1043" s="20">
        <f t="shared" si="77"/>
        <v>79</v>
      </c>
      <c r="L1043" s="78">
        <f t="shared" si="75"/>
        <v>257904.15166178762</v>
      </c>
    </row>
    <row r="1044" spans="10:12" x14ac:dyDescent="0.25">
      <c r="J1044" s="77">
        <f t="shared" si="76"/>
        <v>100000</v>
      </c>
      <c r="K1044" s="20">
        <f t="shared" si="77"/>
        <v>80</v>
      </c>
      <c r="L1044" s="78">
        <f t="shared" si="75"/>
        <v>261015.72156825374</v>
      </c>
    </row>
    <row r="1045" spans="10:12" x14ac:dyDescent="0.25">
      <c r="J1045" s="77">
        <f t="shared" si="76"/>
        <v>100000</v>
      </c>
      <c r="K1045" s="20">
        <f t="shared" si="77"/>
        <v>81</v>
      </c>
      <c r="L1045" s="78">
        <f t="shared" si="75"/>
        <v>264164.83203860925</v>
      </c>
    </row>
    <row r="1046" spans="10:12" x14ac:dyDescent="0.25">
      <c r="J1046" s="77">
        <f t="shared" si="76"/>
        <v>100000</v>
      </c>
      <c r="K1046" s="20">
        <f t="shared" si="77"/>
        <v>82</v>
      </c>
      <c r="L1046" s="78">
        <f t="shared" si="75"/>
        <v>267351.93599339906</v>
      </c>
    </row>
    <row r="1047" spans="10:12" x14ac:dyDescent="0.25">
      <c r="J1047" s="77">
        <f t="shared" si="76"/>
        <v>100000</v>
      </c>
      <c r="K1047" s="20">
        <f t="shared" si="77"/>
        <v>83</v>
      </c>
      <c r="L1047" s="78">
        <f t="shared" si="75"/>
        <v>270577.49181757768</v>
      </c>
    </row>
    <row r="1048" spans="10:12" x14ac:dyDescent="0.25">
      <c r="J1048" s="77">
        <f t="shared" si="76"/>
        <v>100000</v>
      </c>
      <c r="K1048" s="20">
        <f t="shared" si="77"/>
        <v>84</v>
      </c>
      <c r="L1048" s="78">
        <f t="shared" si="75"/>
        <v>273841.96342643612</v>
      </c>
    </row>
    <row r="1049" spans="10:12" x14ac:dyDescent="0.25">
      <c r="J1049" s="77">
        <f t="shared" si="76"/>
        <v>100000</v>
      </c>
      <c r="K1049" s="20">
        <f t="shared" si="77"/>
        <v>85</v>
      </c>
      <c r="L1049" s="78">
        <f t="shared" si="75"/>
        <v>277145.82033232535</v>
      </c>
    </row>
    <row r="1050" spans="10:12" x14ac:dyDescent="0.25">
      <c r="J1050" s="77">
        <f t="shared" si="76"/>
        <v>100000</v>
      </c>
      <c r="K1050" s="20">
        <f t="shared" si="77"/>
        <v>86</v>
      </c>
      <c r="L1050" s="78">
        <f t="shared" si="75"/>
        <v>280489.53771218279</v>
      </c>
    </row>
    <row r="1051" spans="10:12" x14ac:dyDescent="0.25">
      <c r="J1051" s="77">
        <f t="shared" si="76"/>
        <v>100000</v>
      </c>
      <c r="K1051" s="20">
        <f t="shared" si="77"/>
        <v>87</v>
      </c>
      <c r="L1051" s="78">
        <f t="shared" si="75"/>
        <v>283873.59647587547</v>
      </c>
    </row>
    <row r="1052" spans="10:12" x14ac:dyDescent="0.25">
      <c r="J1052" s="77">
        <f t="shared" si="76"/>
        <v>100000</v>
      </c>
      <c r="K1052" s="20">
        <f t="shared" si="77"/>
        <v>88</v>
      </c>
      <c r="L1052" s="78">
        <f t="shared" si="75"/>
        <v>287298.48333536647</v>
      </c>
    </row>
    <row r="1053" spans="10:12" x14ac:dyDescent="0.25">
      <c r="J1053" s="77">
        <f t="shared" si="76"/>
        <v>100000</v>
      </c>
      <c r="K1053" s="20">
        <f t="shared" si="77"/>
        <v>89</v>
      </c>
      <c r="L1053" s="78">
        <f t="shared" si="75"/>
        <v>290764.69087471615</v>
      </c>
    </row>
    <row r="1054" spans="10:12" x14ac:dyDescent="0.25">
      <c r="J1054" s="77">
        <f t="shared" si="76"/>
        <v>100000</v>
      </c>
      <c r="K1054" s="20">
        <f t="shared" si="77"/>
        <v>90</v>
      </c>
      <c r="L1054" s="78">
        <f t="shared" si="75"/>
        <v>294272.71762092825</v>
      </c>
    </row>
    <row r="1055" spans="10:12" x14ac:dyDescent="0.25">
      <c r="J1055" s="77">
        <f t="shared" si="76"/>
        <v>100000</v>
      </c>
      <c r="K1055" s="20">
        <f t="shared" si="77"/>
        <v>91</v>
      </c>
      <c r="L1055" s="78">
        <f t="shared" si="75"/>
        <v>297823.06811565015</v>
      </c>
    </row>
    <row r="1056" spans="10:12" x14ac:dyDescent="0.25">
      <c r="J1056" s="77">
        <f t="shared" si="76"/>
        <v>100000</v>
      </c>
      <c r="K1056" s="20">
        <f t="shared" si="77"/>
        <v>92</v>
      </c>
      <c r="L1056" s="78">
        <f t="shared" si="75"/>
        <v>301416.25298773905</v>
      </c>
    </row>
    <row r="1057" spans="10:12" x14ac:dyDescent="0.25">
      <c r="J1057" s="77">
        <f t="shared" si="76"/>
        <v>100000</v>
      </c>
      <c r="K1057" s="20">
        <f t="shared" si="77"/>
        <v>93</v>
      </c>
      <c r="L1057" s="78">
        <f t="shared" si="75"/>
        <v>305052.78902670258</v>
      </c>
    </row>
    <row r="1058" spans="10:12" x14ac:dyDescent="0.25">
      <c r="J1058" s="77">
        <f t="shared" si="76"/>
        <v>100000</v>
      </c>
      <c r="K1058" s="20">
        <f t="shared" si="77"/>
        <v>94</v>
      </c>
      <c r="L1058" s="78">
        <f t="shared" si="75"/>
        <v>308733.19925702643</v>
      </c>
    </row>
    <row r="1059" spans="10:12" x14ac:dyDescent="0.25">
      <c r="J1059" s="77">
        <f t="shared" si="76"/>
        <v>100000</v>
      </c>
      <c r="K1059" s="20">
        <f t="shared" si="77"/>
        <v>95</v>
      </c>
      <c r="L1059" s="78">
        <f t="shared" si="75"/>
        <v>312458.01301339798</v>
      </c>
    </row>
    <row r="1060" spans="10:12" x14ac:dyDescent="0.25">
      <c r="J1060" s="77">
        <f t="shared" si="76"/>
        <v>100000</v>
      </c>
      <c r="K1060" s="20">
        <f t="shared" si="77"/>
        <v>96</v>
      </c>
      <c r="L1060" s="78">
        <f t="shared" si="75"/>
        <v>316227.76601683797</v>
      </c>
    </row>
    <row r="1061" spans="10:12" x14ac:dyDescent="0.25">
      <c r="J1061" s="77">
        <f t="shared" si="76"/>
        <v>100000</v>
      </c>
      <c r="K1061" s="20">
        <f t="shared" si="77"/>
        <v>97</v>
      </c>
      <c r="L1061" s="78">
        <f t="shared" si="75"/>
        <v>320043.00045175065</v>
      </c>
    </row>
    <row r="1062" spans="10:12" x14ac:dyDescent="0.25">
      <c r="J1062" s="77">
        <f t="shared" si="76"/>
        <v>100000</v>
      </c>
      <c r="K1062" s="20">
        <f t="shared" si="77"/>
        <v>98</v>
      </c>
      <c r="L1062" s="78">
        <f t="shared" si="75"/>
        <v>323904.26504390308</v>
      </c>
    </row>
    <row r="1063" spans="10:12" x14ac:dyDescent="0.25">
      <c r="J1063" s="77">
        <f t="shared" si="76"/>
        <v>100000</v>
      </c>
      <c r="K1063" s="20">
        <f t="shared" si="77"/>
        <v>99</v>
      </c>
      <c r="L1063" s="78">
        <f t="shared" si="75"/>
        <v>327812.11513934593</v>
      </c>
    </row>
    <row r="1064" spans="10:12" x14ac:dyDescent="0.25">
      <c r="J1064" s="77">
        <f t="shared" si="76"/>
        <v>100000</v>
      </c>
      <c r="K1064" s="20">
        <f t="shared" si="77"/>
        <v>100</v>
      </c>
      <c r="L1064" s="78">
        <f t="shared" si="75"/>
        <v>331767.1127842858</v>
      </c>
    </row>
    <row r="1065" spans="10:12" x14ac:dyDescent="0.25">
      <c r="J1065" s="77">
        <f t="shared" si="76"/>
        <v>100000</v>
      </c>
      <c r="K1065" s="20">
        <f t="shared" si="77"/>
        <v>101</v>
      </c>
      <c r="L1065" s="78">
        <f t="shared" si="75"/>
        <v>335769.8268059215</v>
      </c>
    </row>
    <row r="1066" spans="10:12" x14ac:dyDescent="0.25">
      <c r="J1066" s="77">
        <f t="shared" si="76"/>
        <v>100000</v>
      </c>
      <c r="K1066" s="20">
        <f t="shared" si="77"/>
        <v>102</v>
      </c>
      <c r="L1066" s="78">
        <f t="shared" si="75"/>
        <v>339820.83289425593</v>
      </c>
    </row>
    <row r="1067" spans="10:12" x14ac:dyDescent="0.25">
      <c r="J1067" s="77">
        <f t="shared" si="76"/>
        <v>100000</v>
      </c>
      <c r="K1067" s="20">
        <f t="shared" si="77"/>
        <v>103</v>
      </c>
      <c r="L1067" s="78">
        <f t="shared" si="75"/>
        <v>343920.71368489414</v>
      </c>
    </row>
    <row r="1068" spans="10:12" x14ac:dyDescent="0.25">
      <c r="J1068" s="77">
        <f t="shared" si="76"/>
        <v>100000</v>
      </c>
      <c r="K1068" s="20">
        <f t="shared" si="77"/>
        <v>104</v>
      </c>
      <c r="L1068" s="78">
        <f t="shared" si="75"/>
        <v>348070.05884284107</v>
      </c>
    </row>
    <row r="1069" spans="10:12" x14ac:dyDescent="0.25">
      <c r="J1069" s="77">
        <f t="shared" si="76"/>
        <v>100000</v>
      </c>
      <c r="K1069" s="20">
        <f t="shared" si="77"/>
        <v>105</v>
      </c>
      <c r="L1069" s="78">
        <f t="shared" si="75"/>
        <v>352269.46514731017</v>
      </c>
    </row>
    <row r="1070" spans="10:12" x14ac:dyDescent="0.25">
      <c r="J1070" s="77">
        <f t="shared" si="76"/>
        <v>100000</v>
      </c>
      <c r="K1070" s="20">
        <f t="shared" si="77"/>
        <v>106</v>
      </c>
      <c r="L1070" s="78">
        <f t="shared" si="75"/>
        <v>356519.53657755494</v>
      </c>
    </row>
    <row r="1071" spans="10:12" x14ac:dyDescent="0.25">
      <c r="J1071" s="77">
        <f t="shared" si="76"/>
        <v>100000</v>
      </c>
      <c r="K1071" s="20">
        <f t="shared" si="77"/>
        <v>107</v>
      </c>
      <c r="L1071" s="78">
        <f t="shared" si="75"/>
        <v>360820.88439973618</v>
      </c>
    </row>
    <row r="1072" spans="10:12" x14ac:dyDescent="0.25">
      <c r="J1072" s="77">
        <f t="shared" si="76"/>
        <v>100000</v>
      </c>
      <c r="K1072" s="20">
        <f t="shared" si="77"/>
        <v>108</v>
      </c>
      <c r="L1072" s="78">
        <f t="shared" si="75"/>
        <v>365174.12725483777</v>
      </c>
    </row>
    <row r="1073" spans="10:12" x14ac:dyDescent="0.25">
      <c r="J1073" s="77">
        <f t="shared" si="76"/>
        <v>100000</v>
      </c>
      <c r="K1073" s="20">
        <f t="shared" si="77"/>
        <v>109</v>
      </c>
      <c r="L1073" s="78">
        <f t="shared" si="75"/>
        <v>369579.89124764176</v>
      </c>
    </row>
    <row r="1074" spans="10:12" x14ac:dyDescent="0.25">
      <c r="J1074" s="77">
        <f t="shared" si="76"/>
        <v>100000</v>
      </c>
      <c r="K1074" s="20">
        <f t="shared" si="77"/>
        <v>110</v>
      </c>
      <c r="L1074" s="78">
        <f t="shared" si="75"/>
        <v>374038.81003677857</v>
      </c>
    </row>
    <row r="1075" spans="10:12" x14ac:dyDescent="0.25">
      <c r="J1075" s="77">
        <f t="shared" si="76"/>
        <v>100000</v>
      </c>
      <c r="K1075" s="20">
        <f t="shared" si="77"/>
        <v>111</v>
      </c>
      <c r="L1075" s="78">
        <f t="shared" si="75"/>
        <v>378551.52492586302</v>
      </c>
    </row>
    <row r="1076" spans="10:12" x14ac:dyDescent="0.25">
      <c r="J1076" s="77">
        <f t="shared" si="76"/>
        <v>100000</v>
      </c>
      <c r="K1076" s="20">
        <f t="shared" si="77"/>
        <v>112</v>
      </c>
      <c r="L1076" s="78">
        <f t="shared" si="75"/>
        <v>383118.68495572882</v>
      </c>
    </row>
    <row r="1077" spans="10:12" x14ac:dyDescent="0.25">
      <c r="J1077" s="77">
        <f t="shared" si="76"/>
        <v>100000</v>
      </c>
      <c r="K1077" s="20">
        <f t="shared" si="77"/>
        <v>113</v>
      </c>
      <c r="L1077" s="78">
        <f t="shared" si="75"/>
        <v>387740.94699777768</v>
      </c>
    </row>
    <row r="1078" spans="10:12" x14ac:dyDescent="0.25">
      <c r="J1078" s="77">
        <f t="shared" si="76"/>
        <v>100000</v>
      </c>
      <c r="K1078" s="20">
        <f t="shared" si="77"/>
        <v>114</v>
      </c>
      <c r="L1078" s="78">
        <f t="shared" si="75"/>
        <v>392418.97584845364</v>
      </c>
    </row>
    <row r="1079" spans="10:12" x14ac:dyDescent="0.25">
      <c r="J1079" s="77">
        <f t="shared" si="76"/>
        <v>100000</v>
      </c>
      <c r="K1079" s="20">
        <f t="shared" si="77"/>
        <v>115</v>
      </c>
      <c r="L1079" s="78">
        <f t="shared" si="75"/>
        <v>397153.44432485703</v>
      </c>
    </row>
    <row r="1080" spans="10:12" x14ac:dyDescent="0.25">
      <c r="J1080" s="77">
        <f t="shared" si="76"/>
        <v>100000</v>
      </c>
      <c r="K1080" s="20">
        <f t="shared" si="77"/>
        <v>116</v>
      </c>
      <c r="L1080" s="78">
        <f t="shared" si="75"/>
        <v>401945.03336151259</v>
      </c>
    </row>
    <row r="1081" spans="10:12" x14ac:dyDescent="0.25">
      <c r="J1081" s="77">
        <f t="shared" si="76"/>
        <v>100000</v>
      </c>
      <c r="K1081" s="20">
        <f t="shared" si="77"/>
        <v>117</v>
      </c>
      <c r="L1081" s="78">
        <f t="shared" si="75"/>
        <v>406794.43210830481</v>
      </c>
    </row>
    <row r="1082" spans="10:12" x14ac:dyDescent="0.25">
      <c r="J1082" s="77">
        <f t="shared" si="76"/>
        <v>100000</v>
      </c>
      <c r="K1082" s="20">
        <f t="shared" si="77"/>
        <v>118</v>
      </c>
      <c r="L1082" s="78">
        <f t="shared" si="75"/>
        <v>411702.3380295948</v>
      </c>
    </row>
    <row r="1083" spans="10:12" x14ac:dyDescent="0.25">
      <c r="J1083" s="77">
        <f t="shared" si="76"/>
        <v>100000</v>
      </c>
      <c r="K1083" s="20">
        <f t="shared" si="77"/>
        <v>119</v>
      </c>
      <c r="L1083" s="78">
        <f t="shared" si="75"/>
        <v>416669.45700453297</v>
      </c>
    </row>
    <row r="1084" spans="10:12" x14ac:dyDescent="0.25">
      <c r="J1084" s="77">
        <f t="shared" si="76"/>
        <v>100000</v>
      </c>
      <c r="K1084" s="20">
        <f t="shared" si="77"/>
        <v>120</v>
      </c>
      <c r="L1084" s="78">
        <f t="shared" si="75"/>
        <v>421696.50342858233</v>
      </c>
    </row>
    <row r="1085" spans="10:12" x14ac:dyDescent="0.25">
      <c r="J1085" s="77">
        <f t="shared" si="76"/>
        <v>100000</v>
      </c>
      <c r="K1085" s="20">
        <f t="shared" si="77"/>
        <v>121</v>
      </c>
      <c r="L1085" s="78">
        <f t="shared" si="75"/>
        <v>426784.20031626587</v>
      </c>
    </row>
    <row r="1086" spans="10:12" x14ac:dyDescent="0.25">
      <c r="J1086" s="77">
        <f t="shared" si="76"/>
        <v>100000</v>
      </c>
      <c r="K1086" s="20">
        <f t="shared" si="77"/>
        <v>122</v>
      </c>
      <c r="L1086" s="78">
        <f t="shared" si="75"/>
        <v>431933.27940515446</v>
      </c>
    </row>
    <row r="1087" spans="10:12" x14ac:dyDescent="0.25">
      <c r="J1087" s="77">
        <f t="shared" si="76"/>
        <v>100000</v>
      </c>
      <c r="K1087" s="20">
        <f t="shared" si="77"/>
        <v>123</v>
      </c>
      <c r="L1087" s="78">
        <f t="shared" si="75"/>
        <v>437144.481261109</v>
      </c>
    </row>
    <row r="1088" spans="10:12" x14ac:dyDescent="0.25">
      <c r="J1088" s="77">
        <f t="shared" si="76"/>
        <v>100000</v>
      </c>
      <c r="K1088" s="20">
        <f t="shared" si="77"/>
        <v>124</v>
      </c>
      <c r="L1088" s="78">
        <f t="shared" si="75"/>
        <v>442418.55538479181</v>
      </c>
    </row>
    <row r="1089" spans="10:12" x14ac:dyDescent="0.25">
      <c r="J1089" s="77">
        <f t="shared" si="76"/>
        <v>100000</v>
      </c>
      <c r="K1089" s="20">
        <f t="shared" si="77"/>
        <v>125</v>
      </c>
      <c r="L1089" s="78">
        <f t="shared" si="75"/>
        <v>447756.26031946373</v>
      </c>
    </row>
    <row r="1090" spans="10:12" x14ac:dyDescent="0.25">
      <c r="J1090" s="77">
        <f t="shared" si="76"/>
        <v>100000</v>
      </c>
      <c r="K1090" s="20">
        <f t="shared" si="77"/>
        <v>126</v>
      </c>
      <c r="L1090" s="78">
        <f t="shared" si="75"/>
        <v>453158.36376008188</v>
      </c>
    </row>
    <row r="1091" spans="10:12" x14ac:dyDescent="0.25">
      <c r="J1091" s="77">
        <f t="shared" si="76"/>
        <v>100000</v>
      </c>
      <c r="K1091" s="20">
        <f t="shared" si="77"/>
        <v>127</v>
      </c>
      <c r="L1091" s="78">
        <f t="shared" si="75"/>
        <v>458625.64266371261</v>
      </c>
    </row>
    <row r="1092" spans="10:12" x14ac:dyDescent="0.25">
      <c r="J1092" s="77">
        <f t="shared" si="76"/>
        <v>100000</v>
      </c>
      <c r="K1092" s="20">
        <f t="shared" si="77"/>
        <v>128</v>
      </c>
      <c r="L1092" s="78">
        <f t="shared" si="75"/>
        <v>464158.88336127793</v>
      </c>
    </row>
    <row r="1093" spans="10:12" x14ac:dyDescent="0.25">
      <c r="J1093" s="77">
        <f t="shared" si="76"/>
        <v>100000</v>
      </c>
      <c r="K1093" s="20">
        <f t="shared" si="77"/>
        <v>129</v>
      </c>
      <c r="L1093" s="78">
        <f t="shared" ref="L1093:L1156" si="78">J1093*10^(K1093/192)</f>
        <v>469758.88167064934</v>
      </c>
    </row>
    <row r="1094" spans="10:12" x14ac:dyDescent="0.25">
      <c r="J1094" s="77">
        <f t="shared" ref="J1094:J1157" si="79">J902*10</f>
        <v>100000</v>
      </c>
      <c r="K1094" s="20">
        <f t="shared" ref="K1094:K1139" si="80">K1093+1</f>
        <v>130</v>
      </c>
      <c r="L1094" s="78">
        <f t="shared" si="78"/>
        <v>475426.4430111057</v>
      </c>
    </row>
    <row r="1095" spans="10:12" x14ac:dyDescent="0.25">
      <c r="J1095" s="77">
        <f t="shared" si="79"/>
        <v>100000</v>
      </c>
      <c r="K1095" s="20">
        <f t="shared" si="80"/>
        <v>131</v>
      </c>
      <c r="L1095" s="78">
        <f t="shared" si="78"/>
        <v>481162.38251917338</v>
      </c>
    </row>
    <row r="1096" spans="10:12" x14ac:dyDescent="0.25">
      <c r="J1096" s="77">
        <f t="shared" si="79"/>
        <v>100000</v>
      </c>
      <c r="K1096" s="20">
        <f t="shared" si="80"/>
        <v>132</v>
      </c>
      <c r="L1096" s="78">
        <f t="shared" si="78"/>
        <v>486967.52516586316</v>
      </c>
    </row>
    <row r="1097" spans="10:12" x14ac:dyDescent="0.25">
      <c r="J1097" s="77">
        <f t="shared" si="79"/>
        <v>100000</v>
      </c>
      <c r="K1097" s="20">
        <f t="shared" si="80"/>
        <v>133</v>
      </c>
      <c r="L1097" s="78">
        <f t="shared" si="78"/>
        <v>492842.70587532077</v>
      </c>
    </row>
    <row r="1098" spans="10:12" x14ac:dyDescent="0.25">
      <c r="J1098" s="77">
        <f t="shared" si="79"/>
        <v>100000</v>
      </c>
      <c r="K1098" s="20">
        <f t="shared" si="80"/>
        <v>134</v>
      </c>
      <c r="L1098" s="78">
        <f t="shared" si="78"/>
        <v>498788.76964491059</v>
      </c>
    </row>
    <row r="1099" spans="10:12" x14ac:dyDescent="0.25">
      <c r="J1099" s="77">
        <f t="shared" si="79"/>
        <v>100000</v>
      </c>
      <c r="K1099" s="20">
        <f t="shared" si="80"/>
        <v>135</v>
      </c>
      <c r="L1099" s="78">
        <f t="shared" si="78"/>
        <v>504806.57166674716</v>
      </c>
    </row>
    <row r="1100" spans="10:12" x14ac:dyDescent="0.25">
      <c r="J1100" s="77">
        <f t="shared" si="79"/>
        <v>100000</v>
      </c>
      <c r="K1100" s="20">
        <f t="shared" si="80"/>
        <v>136</v>
      </c>
      <c r="L1100" s="78">
        <f t="shared" si="78"/>
        <v>510896.97745069291</v>
      </c>
    </row>
    <row r="1101" spans="10:12" x14ac:dyDescent="0.25">
      <c r="J1101" s="77">
        <f t="shared" si="79"/>
        <v>100000</v>
      </c>
      <c r="K1101" s="20">
        <f t="shared" si="80"/>
        <v>137</v>
      </c>
      <c r="L1101" s="78">
        <f t="shared" si="78"/>
        <v>517060.86294884008</v>
      </c>
    </row>
    <row r="1102" spans="10:12" x14ac:dyDescent="0.25">
      <c r="J1102" s="77">
        <f t="shared" si="79"/>
        <v>100000</v>
      </c>
      <c r="K1102" s="20">
        <f t="shared" si="80"/>
        <v>138</v>
      </c>
      <c r="L1102" s="78">
        <f t="shared" si="78"/>
        <v>523299.11468149477</v>
      </c>
    </row>
    <row r="1103" spans="10:12" x14ac:dyDescent="0.25">
      <c r="J1103" s="77">
        <f t="shared" si="79"/>
        <v>100000</v>
      </c>
      <c r="K1103" s="20">
        <f t="shared" si="80"/>
        <v>139</v>
      </c>
      <c r="L1103" s="78">
        <f t="shared" si="78"/>
        <v>529612.62986468046</v>
      </c>
    </row>
    <row r="1104" spans="10:12" x14ac:dyDescent="0.25">
      <c r="J1104" s="77">
        <f t="shared" si="79"/>
        <v>100000</v>
      </c>
      <c r="K1104" s="20">
        <f t="shared" si="80"/>
        <v>140</v>
      </c>
      <c r="L1104" s="78">
        <f t="shared" si="78"/>
        <v>536002.31653917918</v>
      </c>
    </row>
    <row r="1105" spans="10:12" x14ac:dyDescent="0.25">
      <c r="J1105" s="77">
        <f t="shared" si="79"/>
        <v>100000</v>
      </c>
      <c r="K1105" s="20">
        <f t="shared" si="80"/>
        <v>141</v>
      </c>
      <c r="L1105" s="78">
        <f t="shared" si="78"/>
        <v>542469.09370113269</v>
      </c>
    </row>
    <row r="1106" spans="10:12" x14ac:dyDescent="0.25">
      <c r="J1106" s="77">
        <f t="shared" si="79"/>
        <v>100000</v>
      </c>
      <c r="K1106" s="20">
        <f t="shared" si="80"/>
        <v>142</v>
      </c>
      <c r="L1106" s="78">
        <f t="shared" si="78"/>
        <v>549013.89143421419</v>
      </c>
    </row>
    <row r="1107" spans="10:12" x14ac:dyDescent="0.25">
      <c r="J1107" s="77">
        <f t="shared" si="79"/>
        <v>100000</v>
      </c>
      <c r="K1107" s="20">
        <f t="shared" si="80"/>
        <v>143</v>
      </c>
      <c r="L1107" s="78">
        <f t="shared" si="78"/>
        <v>555637.65104339935</v>
      </c>
    </row>
    <row r="1108" spans="10:12" x14ac:dyDescent="0.25">
      <c r="J1108" s="77">
        <f t="shared" si="79"/>
        <v>100000</v>
      </c>
      <c r="K1108" s="20">
        <f t="shared" si="80"/>
        <v>144</v>
      </c>
      <c r="L1108" s="78">
        <f t="shared" si="78"/>
        <v>562341.32519034925</v>
      </c>
    </row>
    <row r="1109" spans="10:12" x14ac:dyDescent="0.25">
      <c r="J1109" s="77">
        <f t="shared" si="79"/>
        <v>100000</v>
      </c>
      <c r="K1109" s="20">
        <f t="shared" si="80"/>
        <v>145</v>
      </c>
      <c r="L1109" s="78">
        <f t="shared" si="78"/>
        <v>569125.87803042587</v>
      </c>
    </row>
    <row r="1110" spans="10:12" x14ac:dyDescent="0.25">
      <c r="J1110" s="77">
        <f t="shared" si="79"/>
        <v>100000</v>
      </c>
      <c r="K1110" s="20">
        <f t="shared" si="80"/>
        <v>146</v>
      </c>
      <c r="L1110" s="78">
        <f t="shared" si="78"/>
        <v>575992.28535136278</v>
      </c>
    </row>
    <row r="1111" spans="10:12" x14ac:dyDescent="0.25">
      <c r="J1111" s="77">
        <f t="shared" si="79"/>
        <v>100000</v>
      </c>
      <c r="K1111" s="20">
        <f t="shared" si="80"/>
        <v>147</v>
      </c>
      <c r="L1111" s="78">
        <f t="shared" si="78"/>
        <v>582941.53471360751</v>
      </c>
    </row>
    <row r="1112" spans="10:12" x14ac:dyDescent="0.25">
      <c r="J1112" s="77">
        <f t="shared" si="79"/>
        <v>100000</v>
      </c>
      <c r="K1112" s="20">
        <f t="shared" si="80"/>
        <v>148</v>
      </c>
      <c r="L1112" s="78">
        <f t="shared" si="78"/>
        <v>589974.62559235655</v>
      </c>
    </row>
    <row r="1113" spans="10:12" x14ac:dyDescent="0.25">
      <c r="J1113" s="77">
        <f t="shared" si="79"/>
        <v>100000</v>
      </c>
      <c r="K1113" s="20">
        <f t="shared" si="80"/>
        <v>149</v>
      </c>
      <c r="L1113" s="78">
        <f t="shared" si="78"/>
        <v>597092.56952130538</v>
      </c>
    </row>
    <row r="1114" spans="10:12" x14ac:dyDescent="0.25">
      <c r="J1114" s="77">
        <f t="shared" si="79"/>
        <v>100000</v>
      </c>
      <c r="K1114" s="20">
        <f t="shared" si="80"/>
        <v>150</v>
      </c>
      <c r="L1114" s="78">
        <f t="shared" si="78"/>
        <v>604296.39023813291</v>
      </c>
    </row>
    <row r="1115" spans="10:12" x14ac:dyDescent="0.25">
      <c r="J1115" s="77">
        <f t="shared" si="79"/>
        <v>100000</v>
      </c>
      <c r="K1115" s="20">
        <f t="shared" si="80"/>
        <v>151</v>
      </c>
      <c r="L1115" s="78">
        <f t="shared" si="78"/>
        <v>611587.12383173895</v>
      </c>
    </row>
    <row r="1116" spans="10:12" x14ac:dyDescent="0.25">
      <c r="J1116" s="77">
        <f t="shared" si="79"/>
        <v>100000</v>
      </c>
      <c r="K1116" s="20">
        <f t="shared" si="80"/>
        <v>152</v>
      </c>
      <c r="L1116" s="78">
        <f t="shared" si="78"/>
        <v>618965.81889126066</v>
      </c>
    </row>
    <row r="1117" spans="10:12" x14ac:dyDescent="0.25">
      <c r="J1117" s="77">
        <f t="shared" si="79"/>
        <v>100000</v>
      </c>
      <c r="K1117" s="20">
        <f t="shared" si="80"/>
        <v>153</v>
      </c>
      <c r="L1117" s="78">
        <f t="shared" si="78"/>
        <v>626433.53665688576</v>
      </c>
    </row>
    <row r="1118" spans="10:12" x14ac:dyDescent="0.25">
      <c r="J1118" s="77">
        <f t="shared" si="79"/>
        <v>100000</v>
      </c>
      <c r="K1118" s="20">
        <f t="shared" si="80"/>
        <v>154</v>
      </c>
      <c r="L1118" s="78">
        <f t="shared" si="78"/>
        <v>633991.35117248457</v>
      </c>
    </row>
    <row r="1119" spans="10:12" x14ac:dyDescent="0.25">
      <c r="J1119" s="77">
        <f t="shared" si="79"/>
        <v>100000</v>
      </c>
      <c r="K1119" s="20">
        <f t="shared" si="80"/>
        <v>155</v>
      </c>
      <c r="L1119" s="78">
        <f t="shared" si="78"/>
        <v>641640.34944008535</v>
      </c>
    </row>
    <row r="1120" spans="10:12" x14ac:dyDescent="0.25">
      <c r="J1120" s="77">
        <f t="shared" si="79"/>
        <v>100000</v>
      </c>
      <c r="K1120" s="20">
        <f t="shared" si="80"/>
        <v>156</v>
      </c>
      <c r="L1120" s="78">
        <f t="shared" si="78"/>
        <v>649381.63157621154</v>
      </c>
    </row>
    <row r="1121" spans="10:12" x14ac:dyDescent="0.25">
      <c r="J1121" s="77">
        <f t="shared" si="79"/>
        <v>100000</v>
      </c>
      <c r="K1121" s="20">
        <f t="shared" si="80"/>
        <v>157</v>
      </c>
      <c r="L1121" s="78">
        <f t="shared" si="78"/>
        <v>657216.31097010581</v>
      </c>
    </row>
    <row r="1122" spans="10:12" x14ac:dyDescent="0.25">
      <c r="J1122" s="77">
        <f t="shared" si="79"/>
        <v>100000</v>
      </c>
      <c r="K1122" s="20">
        <f t="shared" si="80"/>
        <v>158</v>
      </c>
      <c r="L1122" s="78">
        <f t="shared" si="78"/>
        <v>665145.51444386342</v>
      </c>
    </row>
    <row r="1123" spans="10:12" x14ac:dyDescent="0.25">
      <c r="J1123" s="77">
        <f t="shared" si="79"/>
        <v>100000</v>
      </c>
      <c r="K1123" s="20">
        <f t="shared" si="80"/>
        <v>159</v>
      </c>
      <c r="L1123" s="78">
        <f t="shared" si="78"/>
        <v>673170.38241449825</v>
      </c>
    </row>
    <row r="1124" spans="10:12" x14ac:dyDescent="0.25">
      <c r="J1124" s="77">
        <f t="shared" si="79"/>
        <v>100000</v>
      </c>
      <c r="K1124" s="20">
        <f t="shared" si="80"/>
        <v>160</v>
      </c>
      <c r="L1124" s="78">
        <f t="shared" si="78"/>
        <v>681292.06905796146</v>
      </c>
    </row>
    <row r="1125" spans="10:12" x14ac:dyDescent="0.25">
      <c r="J1125" s="77">
        <f t="shared" si="79"/>
        <v>100000</v>
      </c>
      <c r="K1125" s="20">
        <f t="shared" si="80"/>
        <v>161</v>
      </c>
      <c r="L1125" s="78">
        <f t="shared" si="78"/>
        <v>689511.74247514131</v>
      </c>
    </row>
    <row r="1126" spans="10:12" x14ac:dyDescent="0.25">
      <c r="J1126" s="77">
        <f t="shared" si="79"/>
        <v>100000</v>
      </c>
      <c r="K1126" s="20">
        <f t="shared" si="80"/>
        <v>162</v>
      </c>
      <c r="L1126" s="78">
        <f t="shared" si="78"/>
        <v>697830.58485986653</v>
      </c>
    </row>
    <row r="1127" spans="10:12" x14ac:dyDescent="0.25">
      <c r="J1127" s="77">
        <f t="shared" si="79"/>
        <v>100000</v>
      </c>
      <c r="K1127" s="20">
        <f t="shared" si="80"/>
        <v>163</v>
      </c>
      <c r="L1127" s="78">
        <f t="shared" si="78"/>
        <v>706249.79266893293</v>
      </c>
    </row>
    <row r="1128" spans="10:12" x14ac:dyDescent="0.25">
      <c r="J1128" s="77">
        <f t="shared" si="79"/>
        <v>100000</v>
      </c>
      <c r="K1128" s="20">
        <f t="shared" si="80"/>
        <v>164</v>
      </c>
      <c r="L1128" s="78">
        <f t="shared" si="78"/>
        <v>714770.57679418568</v>
      </c>
    </row>
    <row r="1129" spans="10:12" x14ac:dyDescent="0.25">
      <c r="J1129" s="77">
        <f t="shared" si="79"/>
        <v>100000</v>
      </c>
      <c r="K1129" s="20">
        <f t="shared" si="80"/>
        <v>165</v>
      </c>
      <c r="L1129" s="78">
        <f t="shared" si="78"/>
        <v>723394.16273667489</v>
      </c>
    </row>
    <row r="1130" spans="10:12" x14ac:dyDescent="0.25">
      <c r="J1130" s="77">
        <f t="shared" si="79"/>
        <v>100000</v>
      </c>
      <c r="K1130" s="20">
        <f t="shared" si="80"/>
        <v>166</v>
      </c>
      <c r="L1130" s="78">
        <f t="shared" si="78"/>
        <v>732121.7907829131</v>
      </c>
    </row>
    <row r="1131" spans="10:12" x14ac:dyDescent="0.25">
      <c r="J1131" s="77">
        <f t="shared" si="79"/>
        <v>100000</v>
      </c>
      <c r="K1131" s="20">
        <f t="shared" si="80"/>
        <v>167</v>
      </c>
      <c r="L1131" s="78">
        <f t="shared" si="78"/>
        <v>740954.71618325904</v>
      </c>
    </row>
    <row r="1132" spans="10:12" x14ac:dyDescent="0.25">
      <c r="J1132" s="77">
        <f t="shared" si="79"/>
        <v>100000</v>
      </c>
      <c r="K1132" s="20">
        <f t="shared" si="80"/>
        <v>168</v>
      </c>
      <c r="L1132" s="78">
        <f t="shared" si="78"/>
        <v>749894.20933245588</v>
      </c>
    </row>
    <row r="1133" spans="10:12" x14ac:dyDescent="0.25">
      <c r="J1133" s="77">
        <f t="shared" si="79"/>
        <v>100000</v>
      </c>
      <c r="K1133" s="20">
        <f t="shared" si="80"/>
        <v>169</v>
      </c>
      <c r="L1133" s="78">
        <f t="shared" si="78"/>
        <v>758941.55595234269</v>
      </c>
    </row>
    <row r="1134" spans="10:12" x14ac:dyDescent="0.25">
      <c r="J1134" s="77">
        <f t="shared" si="79"/>
        <v>100000</v>
      </c>
      <c r="K1134" s="20">
        <f t="shared" si="80"/>
        <v>170</v>
      </c>
      <c r="L1134" s="78">
        <f t="shared" si="78"/>
        <v>768098.05727677548</v>
      </c>
    </row>
    <row r="1135" spans="10:12" x14ac:dyDescent="0.25">
      <c r="J1135" s="77">
        <f t="shared" si="79"/>
        <v>100000</v>
      </c>
      <c r="K1135" s="20">
        <f t="shared" si="80"/>
        <v>171</v>
      </c>
      <c r="L1135" s="78">
        <f t="shared" si="78"/>
        <v>777365.03023877612</v>
      </c>
    </row>
    <row r="1136" spans="10:12" x14ac:dyDescent="0.25">
      <c r="J1136" s="77">
        <f t="shared" si="79"/>
        <v>100000</v>
      </c>
      <c r="K1136" s="20">
        <f t="shared" si="80"/>
        <v>172</v>
      </c>
      <c r="L1136" s="78">
        <f t="shared" si="78"/>
        <v>786743.80765994033</v>
      </c>
    </row>
    <row r="1137" spans="10:12" x14ac:dyDescent="0.25">
      <c r="J1137" s="77">
        <f t="shared" si="79"/>
        <v>100000</v>
      </c>
      <c r="K1137" s="20">
        <f t="shared" si="80"/>
        <v>173</v>
      </c>
      <c r="L1137" s="78">
        <f t="shared" si="78"/>
        <v>796235.73844213039</v>
      </c>
    </row>
    <row r="1138" spans="10:12" x14ac:dyDescent="0.25">
      <c r="J1138" s="77">
        <f t="shared" si="79"/>
        <v>100000</v>
      </c>
      <c r="K1138" s="20">
        <f t="shared" si="80"/>
        <v>174</v>
      </c>
      <c r="L1138" s="78">
        <f t="shared" si="78"/>
        <v>805842.18776148185</v>
      </c>
    </row>
    <row r="1139" spans="10:12" x14ac:dyDescent="0.25">
      <c r="J1139" s="77">
        <f t="shared" si="79"/>
        <v>100000</v>
      </c>
      <c r="K1139" s="20">
        <f t="shared" si="80"/>
        <v>175</v>
      </c>
      <c r="L1139" s="78">
        <f t="shared" si="78"/>
        <v>815564.53726474883</v>
      </c>
    </row>
    <row r="1140" spans="10:12" x14ac:dyDescent="0.25">
      <c r="J1140" s="77">
        <f t="shared" si="79"/>
        <v>100000</v>
      </c>
      <c r="K1140" s="20">
        <f>K1139+1</f>
        <v>176</v>
      </c>
      <c r="L1140" s="78">
        <f t="shared" si="78"/>
        <v>825404.18526801828</v>
      </c>
    </row>
    <row r="1141" spans="10:12" x14ac:dyDescent="0.25">
      <c r="J1141" s="77">
        <f t="shared" si="79"/>
        <v>100000</v>
      </c>
      <c r="K1141" s="20">
        <f t="shared" ref="K1141:K1156" si="81">K1140+1</f>
        <v>177</v>
      </c>
      <c r="L1141" s="78">
        <f t="shared" si="78"/>
        <v>835362.54695782613</v>
      </c>
    </row>
    <row r="1142" spans="10:12" x14ac:dyDescent="0.25">
      <c r="J1142" s="77">
        <f t="shared" si="79"/>
        <v>100000</v>
      </c>
      <c r="K1142" s="20">
        <f t="shared" si="81"/>
        <v>178</v>
      </c>
      <c r="L1142" s="78">
        <f t="shared" si="78"/>
        <v>845441.05459469242</v>
      </c>
    </row>
    <row r="1143" spans="10:12" x14ac:dyDescent="0.25">
      <c r="J1143" s="77">
        <f t="shared" si="79"/>
        <v>100000</v>
      </c>
      <c r="K1143" s="20">
        <f t="shared" si="81"/>
        <v>179</v>
      </c>
      <c r="L1143" s="78">
        <f t="shared" si="78"/>
        <v>855641.1577191184</v>
      </c>
    </row>
    <row r="1144" spans="10:12" x14ac:dyDescent="0.25">
      <c r="J1144" s="77">
        <f t="shared" si="79"/>
        <v>100000</v>
      </c>
      <c r="K1144" s="20">
        <f t="shared" si="81"/>
        <v>180</v>
      </c>
      <c r="L1144" s="78">
        <f t="shared" si="78"/>
        <v>865964.32336006558</v>
      </c>
    </row>
    <row r="1145" spans="10:12" x14ac:dyDescent="0.25">
      <c r="J1145" s="77">
        <f t="shared" si="79"/>
        <v>100000</v>
      </c>
      <c r="K1145" s="20">
        <f t="shared" si="81"/>
        <v>181</v>
      </c>
      <c r="L1145" s="78">
        <f t="shared" si="78"/>
        <v>876412.03624595201</v>
      </c>
    </row>
    <row r="1146" spans="10:12" x14ac:dyDescent="0.25">
      <c r="J1146" s="77">
        <f t="shared" si="79"/>
        <v>100000</v>
      </c>
      <c r="K1146" s="20">
        <f t="shared" si="81"/>
        <v>182</v>
      </c>
      <c r="L1146" s="78">
        <f t="shared" si="78"/>
        <v>886985.79901819187</v>
      </c>
    </row>
    <row r="1147" spans="10:12" x14ac:dyDescent="0.25">
      <c r="J1147" s="77">
        <f t="shared" si="79"/>
        <v>100000</v>
      </c>
      <c r="K1147" s="20">
        <f t="shared" si="81"/>
        <v>183</v>
      </c>
      <c r="L1147" s="78">
        <f t="shared" si="78"/>
        <v>897687.13244731445</v>
      </c>
    </row>
    <row r="1148" spans="10:12" x14ac:dyDescent="0.25">
      <c r="J1148" s="77">
        <f t="shared" si="79"/>
        <v>100000</v>
      </c>
      <c r="K1148" s="20">
        <f t="shared" si="81"/>
        <v>184</v>
      </c>
      <c r="L1148" s="78">
        <f t="shared" si="78"/>
        <v>908517.57565168699</v>
      </c>
    </row>
    <row r="1149" spans="10:12" x14ac:dyDescent="0.25">
      <c r="J1149" s="77">
        <f t="shared" si="79"/>
        <v>100000</v>
      </c>
      <c r="K1149" s="20">
        <f t="shared" si="81"/>
        <v>185</v>
      </c>
      <c r="L1149" s="78">
        <f t="shared" si="78"/>
        <v>919478.68631887936</v>
      </c>
    </row>
    <row r="1150" spans="10:12" x14ac:dyDescent="0.25">
      <c r="J1150" s="77">
        <f t="shared" si="79"/>
        <v>100000</v>
      </c>
      <c r="K1150" s="20">
        <f t="shared" si="81"/>
        <v>186</v>
      </c>
      <c r="L1150" s="78">
        <f t="shared" si="78"/>
        <v>930572.04092969897</v>
      </c>
    </row>
    <row r="1151" spans="10:12" x14ac:dyDescent="0.25">
      <c r="J1151" s="77">
        <f t="shared" si="79"/>
        <v>100000</v>
      </c>
      <c r="K1151" s="20">
        <f t="shared" si="81"/>
        <v>187</v>
      </c>
      <c r="L1151" s="78">
        <f t="shared" si="78"/>
        <v>941799.23498492606</v>
      </c>
    </row>
    <row r="1152" spans="10:12" x14ac:dyDescent="0.25">
      <c r="J1152" s="77">
        <f t="shared" si="79"/>
        <v>100000</v>
      </c>
      <c r="K1152" s="20">
        <f t="shared" si="81"/>
        <v>188</v>
      </c>
      <c r="L1152" s="78">
        <f t="shared" si="78"/>
        <v>953161.88323478773</v>
      </c>
    </row>
    <row r="1153" spans="10:12" x14ac:dyDescent="0.25">
      <c r="J1153" s="77">
        <f t="shared" si="79"/>
        <v>100000</v>
      </c>
      <c r="K1153" s="20">
        <f t="shared" si="81"/>
        <v>189</v>
      </c>
      <c r="L1153" s="78">
        <f t="shared" si="78"/>
        <v>964661.61991119955</v>
      </c>
    </row>
    <row r="1154" spans="10:12" x14ac:dyDescent="0.25">
      <c r="J1154" s="77">
        <f t="shared" si="79"/>
        <v>100000</v>
      </c>
      <c r="K1154" s="20">
        <f t="shared" si="81"/>
        <v>190</v>
      </c>
      <c r="L1154" s="78">
        <f t="shared" si="78"/>
        <v>976300.09896280791</v>
      </c>
    </row>
    <row r="1155" spans="10:12" x14ac:dyDescent="0.25">
      <c r="J1155" s="77">
        <f t="shared" si="79"/>
        <v>100000</v>
      </c>
      <c r="K1155" s="20">
        <f t="shared" si="81"/>
        <v>191</v>
      </c>
      <c r="L1155" s="78">
        <f t="shared" si="78"/>
        <v>988078.99429286912</v>
      </c>
    </row>
    <row r="1156" spans="10:12" x14ac:dyDescent="0.25">
      <c r="J1156" s="77">
        <f t="shared" si="79"/>
        <v>100000</v>
      </c>
      <c r="K1156" s="20">
        <f t="shared" si="81"/>
        <v>192</v>
      </c>
      <c r="L1156" s="78">
        <f t="shared" si="78"/>
        <v>1000000</v>
      </c>
    </row>
    <row r="1157" spans="10:12" x14ac:dyDescent="0.25">
      <c r="J1157" s="77">
        <f t="shared" si="79"/>
        <v>1000000</v>
      </c>
      <c r="K1157" s="20">
        <v>1</v>
      </c>
      <c r="L1157" s="78">
        <f t="shared" ref="L1157:L1220" si="82">J1157*10^(K1157/192)</f>
        <v>1012064.8306218294</v>
      </c>
    </row>
    <row r="1158" spans="10:12" x14ac:dyDescent="0.25">
      <c r="J1158" s="77">
        <f t="shared" ref="J1158:J1221" si="83">J966*10</f>
        <v>1000000</v>
      </c>
      <c r="K1158" s="20">
        <f t="shared" ref="K1158:K1221" si="84">K1157+1</f>
        <v>2</v>
      </c>
      <c r="L1158" s="78">
        <f t="shared" si="82"/>
        <v>1024275.2213815922</v>
      </c>
    </row>
    <row r="1159" spans="10:12" x14ac:dyDescent="0.25">
      <c r="J1159" s="77">
        <f t="shared" si="83"/>
        <v>1000000</v>
      </c>
      <c r="K1159" s="20">
        <f t="shared" si="84"/>
        <v>3</v>
      </c>
      <c r="L1159" s="78">
        <f t="shared" si="82"/>
        <v>1036632.9284376981</v>
      </c>
    </row>
    <row r="1160" spans="10:12" x14ac:dyDescent="0.25">
      <c r="J1160" s="77">
        <f t="shared" si="83"/>
        <v>1000000</v>
      </c>
      <c r="K1160" s="20">
        <f t="shared" si="84"/>
        <v>4</v>
      </c>
      <c r="L1160" s="78">
        <f t="shared" si="82"/>
        <v>1049139.7291363098</v>
      </c>
    </row>
    <row r="1161" spans="10:12" x14ac:dyDescent="0.25">
      <c r="J1161" s="77">
        <f t="shared" si="83"/>
        <v>1000000</v>
      </c>
      <c r="K1161" s="20">
        <f t="shared" si="84"/>
        <v>5</v>
      </c>
      <c r="L1161" s="78">
        <f t="shared" si="82"/>
        <v>1061797.4222669716</v>
      </c>
    </row>
    <row r="1162" spans="10:12" x14ac:dyDescent="0.25">
      <c r="J1162" s="77">
        <f t="shared" si="83"/>
        <v>1000000</v>
      </c>
      <c r="K1162" s="20">
        <f t="shared" si="84"/>
        <v>6</v>
      </c>
      <c r="L1162" s="78">
        <f t="shared" si="82"/>
        <v>1074607.8283213174</v>
      </c>
    </row>
    <row r="1163" spans="10:12" x14ac:dyDescent="0.25">
      <c r="J1163" s="77">
        <f t="shared" si="83"/>
        <v>1000000</v>
      </c>
      <c r="K1163" s="20">
        <f t="shared" si="84"/>
        <v>7</v>
      </c>
      <c r="L1163" s="78">
        <f t="shared" si="82"/>
        <v>1087572.7897549062</v>
      </c>
    </row>
    <row r="1164" spans="10:12" x14ac:dyDescent="0.25">
      <c r="J1164" s="77">
        <f t="shared" si="83"/>
        <v>1000000</v>
      </c>
      <c r="K1164" s="20">
        <f t="shared" si="84"/>
        <v>8</v>
      </c>
      <c r="L1164" s="78">
        <f t="shared" si="82"/>
        <v>1100694.1712522097</v>
      </c>
    </row>
    <row r="1165" spans="10:12" x14ac:dyDescent="0.25">
      <c r="J1165" s="77">
        <f t="shared" si="83"/>
        <v>1000000</v>
      </c>
      <c r="K1165" s="20">
        <f t="shared" si="84"/>
        <v>9</v>
      </c>
      <c r="L1165" s="78">
        <f t="shared" si="82"/>
        <v>1113973.8599948024</v>
      </c>
    </row>
    <row r="1166" spans="10:12" x14ac:dyDescent="0.25">
      <c r="J1166" s="77">
        <f t="shared" si="83"/>
        <v>1000000</v>
      </c>
      <c r="K1166" s="20">
        <f t="shared" si="84"/>
        <v>10</v>
      </c>
      <c r="L1166" s="78">
        <f t="shared" si="82"/>
        <v>1127413.7659327851</v>
      </c>
    </row>
    <row r="1167" spans="10:12" x14ac:dyDescent="0.25">
      <c r="J1167" s="77">
        <f t="shared" si="83"/>
        <v>1000000</v>
      </c>
      <c r="K1167" s="20">
        <f t="shared" si="84"/>
        <v>11</v>
      </c>
      <c r="L1167" s="78">
        <f t="shared" si="82"/>
        <v>1141015.822059483</v>
      </c>
    </row>
    <row r="1168" spans="10:12" x14ac:dyDescent="0.25">
      <c r="J1168" s="77">
        <f t="shared" si="83"/>
        <v>1000000</v>
      </c>
      <c r="K1168" s="20">
        <f t="shared" si="84"/>
        <v>12</v>
      </c>
      <c r="L1168" s="78">
        <f t="shared" si="82"/>
        <v>1154781.9846894583</v>
      </c>
    </row>
    <row r="1169" spans="10:12" x14ac:dyDescent="0.25">
      <c r="J1169" s="77">
        <f t="shared" si="83"/>
        <v>1000000</v>
      </c>
      <c r="K1169" s="20">
        <f t="shared" si="84"/>
        <v>13</v>
      </c>
      <c r="L1169" s="78">
        <f t="shared" si="82"/>
        <v>1168714.2337398767</v>
      </c>
    </row>
    <row r="1170" spans="10:12" x14ac:dyDescent="0.25">
      <c r="J1170" s="77">
        <f t="shared" si="83"/>
        <v>1000000</v>
      </c>
      <c r="K1170" s="20">
        <f t="shared" si="84"/>
        <v>14</v>
      </c>
      <c r="L1170" s="78">
        <f t="shared" si="82"/>
        <v>1182814.5730152694</v>
      </c>
    </row>
    <row r="1171" spans="10:12" x14ac:dyDescent="0.25">
      <c r="J1171" s="77">
        <f t="shared" si="83"/>
        <v>1000000</v>
      </c>
      <c r="K1171" s="20">
        <f t="shared" si="84"/>
        <v>15</v>
      </c>
      <c r="L1171" s="78">
        <f t="shared" si="82"/>
        <v>1197085.03049573</v>
      </c>
    </row>
    <row r="1172" spans="10:12" x14ac:dyDescent="0.25">
      <c r="J1172" s="77">
        <f t="shared" si="83"/>
        <v>1000000</v>
      </c>
      <c r="K1172" s="20">
        <f t="shared" si="84"/>
        <v>16</v>
      </c>
      <c r="L1172" s="78">
        <f t="shared" si="82"/>
        <v>1211527.6586285885</v>
      </c>
    </row>
    <row r="1173" spans="10:12" x14ac:dyDescent="0.25">
      <c r="J1173" s="77">
        <f t="shared" si="83"/>
        <v>1000000</v>
      </c>
      <c r="K1173" s="20">
        <f t="shared" si="84"/>
        <v>17</v>
      </c>
      <c r="L1173" s="78">
        <f t="shared" si="82"/>
        <v>1226144.534623604</v>
      </c>
    </row>
    <row r="1174" spans="10:12" x14ac:dyDescent="0.25">
      <c r="J1174" s="77">
        <f t="shared" si="83"/>
        <v>1000000</v>
      </c>
      <c r="K1174" s="20">
        <f t="shared" si="84"/>
        <v>18</v>
      </c>
      <c r="L1174" s="78">
        <f t="shared" si="82"/>
        <v>1240937.7607517196</v>
      </c>
    </row>
    <row r="1175" spans="10:12" x14ac:dyDescent="0.25">
      <c r="J1175" s="77">
        <f t="shared" si="83"/>
        <v>1000000</v>
      </c>
      <c r="K1175" s="20">
        <f t="shared" si="84"/>
        <v>19</v>
      </c>
      <c r="L1175" s="78">
        <f t="shared" si="82"/>
        <v>1255909.4646474214</v>
      </c>
    </row>
    <row r="1176" spans="10:12" x14ac:dyDescent="0.25">
      <c r="J1176" s="77">
        <f t="shared" si="83"/>
        <v>1000000</v>
      </c>
      <c r="K1176" s="20">
        <f t="shared" si="84"/>
        <v>20</v>
      </c>
      <c r="L1176" s="78">
        <f t="shared" si="82"/>
        <v>1271061.799614745</v>
      </c>
    </row>
    <row r="1177" spans="10:12" x14ac:dyDescent="0.25">
      <c r="J1177" s="77">
        <f t="shared" si="83"/>
        <v>1000000</v>
      </c>
      <c r="K1177" s="20">
        <f t="shared" si="84"/>
        <v>21</v>
      </c>
      <c r="L1177" s="78">
        <f t="shared" si="82"/>
        <v>1286396.9449369744</v>
      </c>
    </row>
    <row r="1178" spans="10:12" x14ac:dyDescent="0.25">
      <c r="J1178" s="77">
        <f t="shared" si="83"/>
        <v>1000000</v>
      </c>
      <c r="K1178" s="20">
        <f t="shared" si="84"/>
        <v>22</v>
      </c>
      <c r="L1178" s="78">
        <f t="shared" si="82"/>
        <v>1301917.1061900777</v>
      </c>
    </row>
    <row r="1179" spans="10:12" x14ac:dyDescent="0.25">
      <c r="J1179" s="77">
        <f t="shared" si="83"/>
        <v>1000000</v>
      </c>
      <c r="K1179" s="20">
        <f t="shared" si="84"/>
        <v>23</v>
      </c>
      <c r="L1179" s="78">
        <f t="shared" si="82"/>
        <v>1317624.5155599236</v>
      </c>
    </row>
    <row r="1180" spans="10:12" x14ac:dyDescent="0.25">
      <c r="J1180" s="77">
        <f t="shared" si="83"/>
        <v>1000000</v>
      </c>
      <c r="K1180" s="20">
        <f t="shared" si="84"/>
        <v>24</v>
      </c>
      <c r="L1180" s="78">
        <f t="shared" si="82"/>
        <v>1333521.432163324</v>
      </c>
    </row>
    <row r="1181" spans="10:12" x14ac:dyDescent="0.25">
      <c r="J1181" s="77">
        <f t="shared" si="83"/>
        <v>1000000</v>
      </c>
      <c r="K1181" s="20">
        <f t="shared" si="84"/>
        <v>25</v>
      </c>
      <c r="L1181" s="78">
        <f t="shared" si="82"/>
        <v>1349610.1423729542</v>
      </c>
    </row>
    <row r="1182" spans="10:12" x14ac:dyDescent="0.25">
      <c r="J1182" s="77">
        <f t="shared" si="83"/>
        <v>1000000</v>
      </c>
      <c r="K1182" s="20">
        <f t="shared" si="84"/>
        <v>26</v>
      </c>
      <c r="L1182" s="78">
        <f t="shared" si="82"/>
        <v>1365892.9601461866</v>
      </c>
    </row>
    <row r="1183" spans="10:12" x14ac:dyDescent="0.25">
      <c r="J1183" s="77">
        <f t="shared" si="83"/>
        <v>1000000</v>
      </c>
      <c r="K1183" s="20">
        <f t="shared" si="84"/>
        <v>27</v>
      </c>
      <c r="L1183" s="78">
        <f t="shared" si="82"/>
        <v>1382372.2273578998</v>
      </c>
    </row>
    <row r="1184" spans="10:12" x14ac:dyDescent="0.25">
      <c r="J1184" s="77">
        <f t="shared" si="83"/>
        <v>1000000</v>
      </c>
      <c r="K1184" s="20">
        <f t="shared" si="84"/>
        <v>28</v>
      </c>
      <c r="L1184" s="78">
        <f t="shared" si="82"/>
        <v>1399050.314137294</v>
      </c>
    </row>
    <row r="1185" spans="10:12" x14ac:dyDescent="0.25">
      <c r="J1185" s="77">
        <f t="shared" si="83"/>
        <v>1000000</v>
      </c>
      <c r="K1185" s="20">
        <f t="shared" si="84"/>
        <v>29</v>
      </c>
      <c r="L1185" s="78">
        <f t="shared" si="82"/>
        <v>1415929.6192087773</v>
      </c>
    </row>
    <row r="1186" spans="10:12" x14ac:dyDescent="0.25">
      <c r="J1186" s="77">
        <f t="shared" si="83"/>
        <v>1000000</v>
      </c>
      <c r="K1186" s="20">
        <f t="shared" si="84"/>
        <v>30</v>
      </c>
      <c r="L1186" s="78">
        <f t="shared" si="82"/>
        <v>1433012.570236963</v>
      </c>
    </row>
    <row r="1187" spans="10:12" x14ac:dyDescent="0.25">
      <c r="J1187" s="77">
        <f t="shared" si="83"/>
        <v>1000000</v>
      </c>
      <c r="K1187" s="20">
        <f t="shared" si="84"/>
        <v>31</v>
      </c>
      <c r="L1187" s="78">
        <f t="shared" si="82"/>
        <v>1450301.6241758242</v>
      </c>
    </row>
    <row r="1188" spans="10:12" x14ac:dyDescent="0.25">
      <c r="J1188" s="77">
        <f t="shared" si="83"/>
        <v>1000000</v>
      </c>
      <c r="K1188" s="20">
        <f t="shared" si="84"/>
        <v>32</v>
      </c>
      <c r="L1188" s="78">
        <f t="shared" si="82"/>
        <v>1467799.2676220697</v>
      </c>
    </row>
    <row r="1189" spans="10:12" x14ac:dyDescent="0.25">
      <c r="J1189" s="77">
        <f t="shared" si="83"/>
        <v>1000000</v>
      </c>
      <c r="K1189" s="20">
        <f t="shared" si="84"/>
        <v>33</v>
      </c>
      <c r="L1189" s="78">
        <f t="shared" si="82"/>
        <v>1485508.017172775</v>
      </c>
    </row>
    <row r="1190" spans="10:12" x14ac:dyDescent="0.25">
      <c r="J1190" s="77">
        <f t="shared" si="83"/>
        <v>1000000</v>
      </c>
      <c r="K1190" s="20">
        <f t="shared" si="84"/>
        <v>34</v>
      </c>
      <c r="L1190" s="78">
        <f t="shared" si="82"/>
        <v>1503430.4197873343</v>
      </c>
    </row>
    <row r="1191" spans="10:12" x14ac:dyDescent="0.25">
      <c r="J1191" s="77">
        <f t="shared" si="83"/>
        <v>1000000</v>
      </c>
      <c r="K1191" s="20">
        <f t="shared" si="84"/>
        <v>35</v>
      </c>
      <c r="L1191" s="78">
        <f t="shared" si="82"/>
        <v>1521569.0531537745</v>
      </c>
    </row>
    <row r="1192" spans="10:12" x14ac:dyDescent="0.25">
      <c r="J1192" s="77">
        <f t="shared" si="83"/>
        <v>1000000</v>
      </c>
      <c r="K1192" s="20">
        <f t="shared" si="84"/>
        <v>36</v>
      </c>
      <c r="L1192" s="78">
        <f t="shared" si="82"/>
        <v>1539926.526059492</v>
      </c>
    </row>
    <row r="1193" spans="10:12" x14ac:dyDescent="0.25">
      <c r="J1193" s="77">
        <f t="shared" si="83"/>
        <v>1000000</v>
      </c>
      <c r="K1193" s="20">
        <f t="shared" si="84"/>
        <v>37</v>
      </c>
      <c r="L1193" s="78">
        <f t="shared" si="82"/>
        <v>1558505.4787664621</v>
      </c>
    </row>
    <row r="1194" spans="10:12" x14ac:dyDescent="0.25">
      <c r="J1194" s="77">
        <f t="shared" si="83"/>
        <v>1000000</v>
      </c>
      <c r="K1194" s="20">
        <f t="shared" si="84"/>
        <v>38</v>
      </c>
      <c r="L1194" s="78">
        <f t="shared" si="82"/>
        <v>1577308.5833909726</v>
      </c>
    </row>
    <row r="1195" spans="10:12" x14ac:dyDescent="0.25">
      <c r="J1195" s="77">
        <f t="shared" si="83"/>
        <v>1000000</v>
      </c>
      <c r="K1195" s="20">
        <f t="shared" si="84"/>
        <v>39</v>
      </c>
      <c r="L1195" s="78">
        <f t="shared" si="82"/>
        <v>1596338.5442879423</v>
      </c>
    </row>
    <row r="1196" spans="10:12" x14ac:dyDescent="0.25">
      <c r="J1196" s="77">
        <f t="shared" si="83"/>
        <v>1000000</v>
      </c>
      <c r="K1196" s="20">
        <f t="shared" si="84"/>
        <v>40</v>
      </c>
      <c r="L1196" s="78">
        <f t="shared" si="82"/>
        <v>1615598.0984398741</v>
      </c>
    </row>
    <row r="1197" spans="10:12" x14ac:dyDescent="0.25">
      <c r="J1197" s="77">
        <f t="shared" si="83"/>
        <v>1000000</v>
      </c>
      <c r="K1197" s="20">
        <f t="shared" si="84"/>
        <v>41</v>
      </c>
      <c r="L1197" s="78">
        <f t="shared" si="82"/>
        <v>1635090.0158505009</v>
      </c>
    </row>
    <row r="1198" spans="10:12" x14ac:dyDescent="0.25">
      <c r="J1198" s="77">
        <f t="shared" si="83"/>
        <v>1000000</v>
      </c>
      <c r="K1198" s="20">
        <f t="shared" si="84"/>
        <v>42</v>
      </c>
      <c r="L1198" s="78">
        <f t="shared" si="82"/>
        <v>1654817.0999431815</v>
      </c>
    </row>
    <row r="1199" spans="10:12" x14ac:dyDescent="0.25">
      <c r="J1199" s="77">
        <f t="shared" si="83"/>
        <v>1000000</v>
      </c>
      <c r="K1199" s="20">
        <f t="shared" si="84"/>
        <v>43</v>
      </c>
      <c r="L1199" s="78">
        <f t="shared" si="82"/>
        <v>1674782.1879641032</v>
      </c>
    </row>
    <row r="1200" spans="10:12" x14ac:dyDescent="0.25">
      <c r="J1200" s="77">
        <f t="shared" si="83"/>
        <v>1000000</v>
      </c>
      <c r="K1200" s="20">
        <f t="shared" si="84"/>
        <v>44</v>
      </c>
      <c r="L1200" s="78">
        <f t="shared" si="82"/>
        <v>1694988.1513903467</v>
      </c>
    </row>
    <row r="1201" spans="10:12" x14ac:dyDescent="0.25">
      <c r="J1201" s="77">
        <f t="shared" si="83"/>
        <v>1000000</v>
      </c>
      <c r="K1201" s="20">
        <f t="shared" si="84"/>
        <v>45</v>
      </c>
      <c r="L1201" s="78">
        <f t="shared" si="82"/>
        <v>1715437.8963428792</v>
      </c>
    </row>
    <row r="1202" spans="10:12" x14ac:dyDescent="0.25">
      <c r="J1202" s="77">
        <f t="shared" si="83"/>
        <v>1000000</v>
      </c>
      <c r="K1202" s="20">
        <f t="shared" si="84"/>
        <v>46</v>
      </c>
      <c r="L1202" s="78">
        <f t="shared" si="82"/>
        <v>1736134.3640045233</v>
      </c>
    </row>
    <row r="1203" spans="10:12" x14ac:dyDescent="0.25">
      <c r="J1203" s="77">
        <f t="shared" si="83"/>
        <v>1000000</v>
      </c>
      <c r="K1203" s="20">
        <f t="shared" si="84"/>
        <v>47</v>
      </c>
      <c r="L1203" s="78">
        <f t="shared" si="82"/>
        <v>1757080.5310429754</v>
      </c>
    </row>
    <row r="1204" spans="10:12" x14ac:dyDescent="0.25">
      <c r="J1204" s="77">
        <f t="shared" si="83"/>
        <v>1000000</v>
      </c>
      <c r="K1204" s="20">
        <f t="shared" si="84"/>
        <v>48</v>
      </c>
      <c r="L1204" s="78">
        <f t="shared" si="82"/>
        <v>1778279.4100389229</v>
      </c>
    </row>
    <row r="1205" spans="10:12" x14ac:dyDescent="0.25">
      <c r="J1205" s="77">
        <f t="shared" si="83"/>
        <v>1000000</v>
      </c>
      <c r="K1205" s="20">
        <f t="shared" si="84"/>
        <v>49</v>
      </c>
      <c r="L1205" s="78">
        <f t="shared" si="82"/>
        <v>1799734.0499193294</v>
      </c>
    </row>
    <row r="1206" spans="10:12" x14ac:dyDescent="0.25">
      <c r="J1206" s="77">
        <f t="shared" si="83"/>
        <v>1000000</v>
      </c>
      <c r="K1206" s="20">
        <f t="shared" si="84"/>
        <v>50</v>
      </c>
      <c r="L1206" s="78">
        <f t="shared" si="82"/>
        <v>1821447.5363959454</v>
      </c>
    </row>
    <row r="1207" spans="10:12" x14ac:dyDescent="0.25">
      <c r="J1207" s="77">
        <f t="shared" si="83"/>
        <v>1000000</v>
      </c>
      <c r="K1207" s="20">
        <f t="shared" si="84"/>
        <v>51</v>
      </c>
      <c r="L1207" s="78">
        <f t="shared" si="82"/>
        <v>1843422.9924091105</v>
      </c>
    </row>
    <row r="1208" spans="10:12" x14ac:dyDescent="0.25">
      <c r="J1208" s="77">
        <f t="shared" si="83"/>
        <v>1000000</v>
      </c>
      <c r="K1208" s="20">
        <f t="shared" si="84"/>
        <v>52</v>
      </c>
      <c r="L1208" s="78">
        <f t="shared" si="82"/>
        <v>1865663.5785769122</v>
      </c>
    </row>
    <row r="1209" spans="10:12" x14ac:dyDescent="0.25">
      <c r="J1209" s="77">
        <f t="shared" si="83"/>
        <v>1000000</v>
      </c>
      <c r="K1209" s="20">
        <f t="shared" si="84"/>
        <v>53</v>
      </c>
      <c r="L1209" s="78">
        <f t="shared" si="82"/>
        <v>1888172.4936497591</v>
      </c>
    </row>
    <row r="1210" spans="10:12" x14ac:dyDescent="0.25">
      <c r="J1210" s="77">
        <f t="shared" si="83"/>
        <v>1000000</v>
      </c>
      <c r="K1210" s="20">
        <f t="shared" si="84"/>
        <v>54</v>
      </c>
      <c r="L1210" s="78">
        <f t="shared" si="82"/>
        <v>1910952.9749704406</v>
      </c>
    </row>
    <row r="1211" spans="10:12" x14ac:dyDescent="0.25">
      <c r="J1211" s="77">
        <f t="shared" si="83"/>
        <v>1000000</v>
      </c>
      <c r="K1211" s="20">
        <f t="shared" si="84"/>
        <v>55</v>
      </c>
      <c r="L1211" s="78">
        <f t="shared" si="82"/>
        <v>1934008.2989397398</v>
      </c>
    </row>
    <row r="1212" spans="10:12" x14ac:dyDescent="0.25">
      <c r="J1212" s="77">
        <f t="shared" si="83"/>
        <v>1000000</v>
      </c>
      <c r="K1212" s="20">
        <f t="shared" si="84"/>
        <v>56</v>
      </c>
      <c r="L1212" s="78">
        <f t="shared" si="82"/>
        <v>1957341.7814876602</v>
      </c>
    </row>
    <row r="1213" spans="10:12" x14ac:dyDescent="0.25">
      <c r="J1213" s="77">
        <f t="shared" si="83"/>
        <v>1000000</v>
      </c>
      <c r="K1213" s="20">
        <f t="shared" si="84"/>
        <v>57</v>
      </c>
      <c r="L1213" s="78">
        <f t="shared" si="82"/>
        <v>1980956.7785503387</v>
      </c>
    </row>
    <row r="1214" spans="10:12" x14ac:dyDescent="0.25">
      <c r="J1214" s="77">
        <f t="shared" si="83"/>
        <v>1000000</v>
      </c>
      <c r="K1214" s="20">
        <f t="shared" si="84"/>
        <v>58</v>
      </c>
      <c r="L1214" s="78">
        <f t="shared" si="82"/>
        <v>2004856.6865527136</v>
      </c>
    </row>
    <row r="1215" spans="10:12" x14ac:dyDescent="0.25">
      <c r="J1215" s="77">
        <f t="shared" si="83"/>
        <v>1000000</v>
      </c>
      <c r="K1215" s="20">
        <f t="shared" si="84"/>
        <v>59</v>
      </c>
      <c r="L1215" s="78">
        <f t="shared" si="82"/>
        <v>2029044.9428970146</v>
      </c>
    </row>
    <row r="1216" spans="10:12" x14ac:dyDescent="0.25">
      <c r="J1216" s="77">
        <f t="shared" si="83"/>
        <v>1000000</v>
      </c>
      <c r="K1216" s="20">
        <f t="shared" si="84"/>
        <v>60</v>
      </c>
      <c r="L1216" s="78">
        <f t="shared" si="82"/>
        <v>2053525.0264571463</v>
      </c>
    </row>
    <row r="1217" spans="10:12" x14ac:dyDescent="0.25">
      <c r="J1217" s="77">
        <f t="shared" si="83"/>
        <v>1000000</v>
      </c>
      <c r="K1217" s="20">
        <f t="shared" si="84"/>
        <v>61</v>
      </c>
      <c r="L1217" s="78">
        <f t="shared" si="82"/>
        <v>2078300.4580790391</v>
      </c>
    </row>
    <row r="1218" spans="10:12" x14ac:dyDescent="0.25">
      <c r="J1218" s="77">
        <f t="shared" si="83"/>
        <v>1000000</v>
      </c>
      <c r="K1218" s="20">
        <f t="shared" si="84"/>
        <v>62</v>
      </c>
      <c r="L1218" s="78">
        <f t="shared" si="82"/>
        <v>2103374.8010870335</v>
      </c>
    </row>
    <row r="1219" spans="10:12" x14ac:dyDescent="0.25">
      <c r="J1219" s="77">
        <f t="shared" si="83"/>
        <v>1000000</v>
      </c>
      <c r="K1219" s="20">
        <f t="shared" si="84"/>
        <v>63</v>
      </c>
      <c r="L1219" s="78">
        <f t="shared" si="82"/>
        <v>2128751.6617963728</v>
      </c>
    </row>
    <row r="1220" spans="10:12" x14ac:dyDescent="0.25">
      <c r="J1220" s="77">
        <f t="shared" si="83"/>
        <v>1000000</v>
      </c>
      <c r="K1220" s="20">
        <f t="shared" si="84"/>
        <v>64</v>
      </c>
      <c r="L1220" s="78">
        <f t="shared" si="82"/>
        <v>2154434.6900318838</v>
      </c>
    </row>
    <row r="1221" spans="10:12" x14ac:dyDescent="0.25">
      <c r="J1221" s="77">
        <f t="shared" si="83"/>
        <v>1000000</v>
      </c>
      <c r="K1221" s="20">
        <f t="shared" si="84"/>
        <v>65</v>
      </c>
      <c r="L1221" s="78">
        <f t="shared" ref="L1221:L1284" si="85">J1221*10^(K1221/192)</f>
        <v>2180427.5796529124</v>
      </c>
    </row>
    <row r="1222" spans="10:12" x14ac:dyDescent="0.25">
      <c r="J1222" s="77">
        <f t="shared" ref="J1222:J1285" si="86">J1030*10</f>
        <v>1000000</v>
      </c>
      <c r="K1222" s="20">
        <f t="shared" ref="K1222:K1285" si="87">K1221+1</f>
        <v>66</v>
      </c>
      <c r="L1222" s="78">
        <f t="shared" si="85"/>
        <v>2206734.0690845898</v>
      </c>
    </row>
    <row r="1223" spans="10:12" x14ac:dyDescent="0.25">
      <c r="J1223" s="77">
        <f t="shared" si="86"/>
        <v>1000000</v>
      </c>
      <c r="K1223" s="20">
        <f t="shared" si="87"/>
        <v>67</v>
      </c>
      <c r="L1223" s="78">
        <f t="shared" si="85"/>
        <v>2233357.9418555163</v>
      </c>
    </row>
    <row r="1224" spans="10:12" x14ac:dyDescent="0.25">
      <c r="J1224" s="77">
        <f t="shared" si="86"/>
        <v>1000000</v>
      </c>
      <c r="K1224" s="20">
        <f t="shared" si="87"/>
        <v>68</v>
      </c>
      <c r="L1224" s="78">
        <f t="shared" si="85"/>
        <v>2260303.0271419203</v>
      </c>
    </row>
    <row r="1225" spans="10:12" x14ac:dyDescent="0.25">
      <c r="J1225" s="77">
        <f t="shared" si="86"/>
        <v>1000000</v>
      </c>
      <c r="K1225" s="20">
        <f t="shared" si="87"/>
        <v>69</v>
      </c>
      <c r="L1225" s="78">
        <f t="shared" si="85"/>
        <v>2287573.2003183961</v>
      </c>
    </row>
    <row r="1226" spans="10:12" x14ac:dyDescent="0.25">
      <c r="J1226" s="77">
        <f t="shared" si="86"/>
        <v>1000000</v>
      </c>
      <c r="K1226" s="20">
        <f t="shared" si="87"/>
        <v>70</v>
      </c>
      <c r="L1226" s="78">
        <f t="shared" si="85"/>
        <v>2315172.3835152732</v>
      </c>
    </row>
    <row r="1227" spans="10:12" x14ac:dyDescent="0.25">
      <c r="J1227" s="77">
        <f t="shared" si="86"/>
        <v>1000000</v>
      </c>
      <c r="K1227" s="20">
        <f t="shared" si="87"/>
        <v>71</v>
      </c>
      <c r="L1227" s="78">
        <f t="shared" si="85"/>
        <v>2343104.5461827223</v>
      </c>
    </row>
    <row r="1228" spans="10:12" x14ac:dyDescent="0.25">
      <c r="J1228" s="77">
        <f t="shared" si="86"/>
        <v>1000000</v>
      </c>
      <c r="K1228" s="20">
        <f t="shared" si="87"/>
        <v>72</v>
      </c>
      <c r="L1228" s="78">
        <f t="shared" si="85"/>
        <v>2371373.7056616554</v>
      </c>
    </row>
    <row r="1229" spans="10:12" x14ac:dyDescent="0.25">
      <c r="J1229" s="77">
        <f t="shared" si="86"/>
        <v>1000000</v>
      </c>
      <c r="K1229" s="20">
        <f t="shared" si="87"/>
        <v>73</v>
      </c>
      <c r="L1229" s="78">
        <f t="shared" si="85"/>
        <v>2399983.9277615235</v>
      </c>
    </row>
    <row r="1230" spans="10:12" x14ac:dyDescent="0.25">
      <c r="J1230" s="77">
        <f t="shared" si="86"/>
        <v>1000000</v>
      </c>
      <c r="K1230" s="20">
        <f t="shared" si="87"/>
        <v>74</v>
      </c>
      <c r="L1230" s="78">
        <f t="shared" si="85"/>
        <v>2428939.3273450793</v>
      </c>
    </row>
    <row r="1231" spans="10:12" x14ac:dyDescent="0.25">
      <c r="J1231" s="77">
        <f t="shared" si="86"/>
        <v>1000000</v>
      </c>
      <c r="K1231" s="20">
        <f t="shared" si="87"/>
        <v>75</v>
      </c>
      <c r="L1231" s="78">
        <f t="shared" si="85"/>
        <v>2458244.0689201974</v>
      </c>
    </row>
    <row r="1232" spans="10:12" x14ac:dyDescent="0.25">
      <c r="J1232" s="77">
        <f t="shared" si="86"/>
        <v>1000000</v>
      </c>
      <c r="K1232" s="20">
        <f t="shared" si="87"/>
        <v>76</v>
      </c>
      <c r="L1232" s="78">
        <f t="shared" si="85"/>
        <v>2487902.3672388364</v>
      </c>
    </row>
    <row r="1233" spans="10:12" x14ac:dyDescent="0.25">
      <c r="J1233" s="77">
        <f t="shared" si="86"/>
        <v>1000000</v>
      </c>
      <c r="K1233" s="20">
        <f t="shared" si="87"/>
        <v>77</v>
      </c>
      <c r="L1233" s="78">
        <f t="shared" si="85"/>
        <v>2517918.4879032215</v>
      </c>
    </row>
    <row r="1234" spans="10:12" x14ac:dyDescent="0.25">
      <c r="J1234" s="77">
        <f t="shared" si="86"/>
        <v>1000000</v>
      </c>
      <c r="K1234" s="20">
        <f t="shared" si="87"/>
        <v>78</v>
      </c>
      <c r="L1234" s="78">
        <f t="shared" si="85"/>
        <v>2548296.7479793471</v>
      </c>
    </row>
    <row r="1235" spans="10:12" x14ac:dyDescent="0.25">
      <c r="J1235" s="77">
        <f t="shared" si="86"/>
        <v>1000000</v>
      </c>
      <c r="K1235" s="20">
        <f t="shared" si="87"/>
        <v>79</v>
      </c>
      <c r="L1235" s="78">
        <f t="shared" si="85"/>
        <v>2579041.516617876</v>
      </c>
    </row>
    <row r="1236" spans="10:12" x14ac:dyDescent="0.25">
      <c r="J1236" s="77">
        <f t="shared" si="86"/>
        <v>1000000</v>
      </c>
      <c r="K1236" s="20">
        <f t="shared" si="87"/>
        <v>80</v>
      </c>
      <c r="L1236" s="78">
        <f t="shared" si="85"/>
        <v>2610157.2156825373</v>
      </c>
    </row>
    <row r="1237" spans="10:12" x14ac:dyDescent="0.25">
      <c r="J1237" s="77">
        <f t="shared" si="86"/>
        <v>1000000</v>
      </c>
      <c r="K1237" s="20">
        <f t="shared" si="87"/>
        <v>81</v>
      </c>
      <c r="L1237" s="78">
        <f t="shared" si="85"/>
        <v>2641648.3203860926</v>
      </c>
    </row>
    <row r="1238" spans="10:12" x14ac:dyDescent="0.25">
      <c r="J1238" s="77">
        <f t="shared" si="86"/>
        <v>1000000</v>
      </c>
      <c r="K1238" s="20">
        <f t="shared" si="87"/>
        <v>82</v>
      </c>
      <c r="L1238" s="78">
        <f t="shared" si="85"/>
        <v>2673519.359933991</v>
      </c>
    </row>
    <row r="1239" spans="10:12" x14ac:dyDescent="0.25">
      <c r="J1239" s="77">
        <f t="shared" si="86"/>
        <v>1000000</v>
      </c>
      <c r="K1239" s="20">
        <f t="shared" si="87"/>
        <v>83</v>
      </c>
      <c r="L1239" s="78">
        <f t="shared" si="85"/>
        <v>2705774.9181757765</v>
      </c>
    </row>
    <row r="1240" spans="10:12" x14ac:dyDescent="0.25">
      <c r="J1240" s="77">
        <f t="shared" si="86"/>
        <v>1000000</v>
      </c>
      <c r="K1240" s="20">
        <f t="shared" si="87"/>
        <v>84</v>
      </c>
      <c r="L1240" s="78">
        <f t="shared" si="85"/>
        <v>2738419.6342643616</v>
      </c>
    </row>
    <row r="1241" spans="10:12" x14ac:dyDescent="0.25">
      <c r="J1241" s="77">
        <f t="shared" si="86"/>
        <v>1000000</v>
      </c>
      <c r="K1241" s="20">
        <f t="shared" si="87"/>
        <v>85</v>
      </c>
      <c r="L1241" s="78">
        <f t="shared" si="85"/>
        <v>2771458.2033232534</v>
      </c>
    </row>
    <row r="1242" spans="10:12" x14ac:dyDescent="0.25">
      <c r="J1242" s="77">
        <f t="shared" si="86"/>
        <v>1000000</v>
      </c>
      <c r="K1242" s="20">
        <f t="shared" si="87"/>
        <v>86</v>
      </c>
      <c r="L1242" s="78">
        <f t="shared" si="85"/>
        <v>2804895.377121828</v>
      </c>
    </row>
    <row r="1243" spans="10:12" x14ac:dyDescent="0.25">
      <c r="J1243" s="77">
        <f t="shared" si="86"/>
        <v>1000000</v>
      </c>
      <c r="K1243" s="20">
        <f t="shared" si="87"/>
        <v>87</v>
      </c>
      <c r="L1243" s="78">
        <f t="shared" si="85"/>
        <v>2838735.9647587547</v>
      </c>
    </row>
    <row r="1244" spans="10:12" x14ac:dyDescent="0.25">
      <c r="J1244" s="77">
        <f t="shared" si="86"/>
        <v>1000000</v>
      </c>
      <c r="K1244" s="20">
        <f t="shared" si="87"/>
        <v>88</v>
      </c>
      <c r="L1244" s="78">
        <f t="shared" si="85"/>
        <v>2872984.8333536647</v>
      </c>
    </row>
    <row r="1245" spans="10:12" x14ac:dyDescent="0.25">
      <c r="J1245" s="77">
        <f t="shared" si="86"/>
        <v>1000000</v>
      </c>
      <c r="K1245" s="20">
        <f t="shared" si="87"/>
        <v>89</v>
      </c>
      <c r="L1245" s="78">
        <f t="shared" si="85"/>
        <v>2907646.9087471617</v>
      </c>
    </row>
    <row r="1246" spans="10:12" x14ac:dyDescent="0.25">
      <c r="J1246" s="77">
        <f t="shared" si="86"/>
        <v>1000000</v>
      </c>
      <c r="K1246" s="20">
        <f t="shared" si="87"/>
        <v>90</v>
      </c>
      <c r="L1246" s="78">
        <f t="shared" si="85"/>
        <v>2942727.1762092826</v>
      </c>
    </row>
    <row r="1247" spans="10:12" x14ac:dyDescent="0.25">
      <c r="J1247" s="77">
        <f t="shared" si="86"/>
        <v>1000000</v>
      </c>
      <c r="K1247" s="20">
        <f t="shared" si="87"/>
        <v>91</v>
      </c>
      <c r="L1247" s="78">
        <f t="shared" si="85"/>
        <v>2978230.6811565012</v>
      </c>
    </row>
    <row r="1248" spans="10:12" x14ac:dyDescent="0.25">
      <c r="J1248" s="77">
        <f t="shared" si="86"/>
        <v>1000000</v>
      </c>
      <c r="K1248" s="20">
        <f t="shared" si="87"/>
        <v>92</v>
      </c>
      <c r="L1248" s="78">
        <f t="shared" si="85"/>
        <v>3014162.5298773907</v>
      </c>
    </row>
    <row r="1249" spans="10:12" x14ac:dyDescent="0.25">
      <c r="J1249" s="77">
        <f t="shared" si="86"/>
        <v>1000000</v>
      </c>
      <c r="K1249" s="20">
        <f t="shared" si="87"/>
        <v>93</v>
      </c>
      <c r="L1249" s="78">
        <f t="shared" si="85"/>
        <v>3050527.8902670257</v>
      </c>
    </row>
    <row r="1250" spans="10:12" x14ac:dyDescent="0.25">
      <c r="J1250" s="77">
        <f t="shared" si="86"/>
        <v>1000000</v>
      </c>
      <c r="K1250" s="20">
        <f t="shared" si="87"/>
        <v>94</v>
      </c>
      <c r="L1250" s="78">
        <f t="shared" si="85"/>
        <v>3087331.9925702638</v>
      </c>
    </row>
    <row r="1251" spans="10:12" x14ac:dyDescent="0.25">
      <c r="J1251" s="77">
        <f t="shared" si="86"/>
        <v>1000000</v>
      </c>
      <c r="K1251" s="20">
        <f t="shared" si="87"/>
        <v>95</v>
      </c>
      <c r="L1251" s="78">
        <f t="shared" si="85"/>
        <v>3124580.13013398</v>
      </c>
    </row>
    <row r="1252" spans="10:12" x14ac:dyDescent="0.25">
      <c r="J1252" s="77">
        <f t="shared" si="86"/>
        <v>1000000</v>
      </c>
      <c r="K1252" s="20">
        <f t="shared" si="87"/>
        <v>96</v>
      </c>
      <c r="L1252" s="78">
        <f t="shared" si="85"/>
        <v>3162277.6601683795</v>
      </c>
    </row>
    <row r="1253" spans="10:12" x14ac:dyDescent="0.25">
      <c r="J1253" s="77">
        <f t="shared" si="86"/>
        <v>1000000</v>
      </c>
      <c r="K1253" s="20">
        <f t="shared" si="87"/>
        <v>97</v>
      </c>
      <c r="L1253" s="78">
        <f t="shared" si="85"/>
        <v>3200430.0045175068</v>
      </c>
    </row>
    <row r="1254" spans="10:12" x14ac:dyDescent="0.25">
      <c r="J1254" s="77">
        <f t="shared" si="86"/>
        <v>1000000</v>
      </c>
      <c r="K1254" s="20">
        <f t="shared" si="87"/>
        <v>98</v>
      </c>
      <c r="L1254" s="78">
        <f t="shared" si="85"/>
        <v>3239042.6504390305</v>
      </c>
    </row>
    <row r="1255" spans="10:12" x14ac:dyDescent="0.25">
      <c r="J1255" s="77">
        <f t="shared" si="86"/>
        <v>1000000</v>
      </c>
      <c r="K1255" s="20">
        <f t="shared" si="87"/>
        <v>99</v>
      </c>
      <c r="L1255" s="78">
        <f t="shared" si="85"/>
        <v>3278121.1513934592</v>
      </c>
    </row>
    <row r="1256" spans="10:12" x14ac:dyDescent="0.25">
      <c r="J1256" s="77">
        <f t="shared" si="86"/>
        <v>1000000</v>
      </c>
      <c r="K1256" s="20">
        <f t="shared" si="87"/>
        <v>100</v>
      </c>
      <c r="L1256" s="78">
        <f t="shared" si="85"/>
        <v>3317671.127842858</v>
      </c>
    </row>
    <row r="1257" spans="10:12" x14ac:dyDescent="0.25">
      <c r="J1257" s="77">
        <f t="shared" si="86"/>
        <v>1000000</v>
      </c>
      <c r="K1257" s="20">
        <f t="shared" si="87"/>
        <v>101</v>
      </c>
      <c r="L1257" s="78">
        <f t="shared" si="85"/>
        <v>3357698.268059215</v>
      </c>
    </row>
    <row r="1258" spans="10:12" x14ac:dyDescent="0.25">
      <c r="J1258" s="77">
        <f t="shared" si="86"/>
        <v>1000000</v>
      </c>
      <c r="K1258" s="20">
        <f t="shared" si="87"/>
        <v>102</v>
      </c>
      <c r="L1258" s="78">
        <f t="shared" si="85"/>
        <v>3398208.3289425592</v>
      </c>
    </row>
    <row r="1259" spans="10:12" x14ac:dyDescent="0.25">
      <c r="J1259" s="77">
        <f t="shared" si="86"/>
        <v>1000000</v>
      </c>
      <c r="K1259" s="20">
        <f t="shared" si="87"/>
        <v>103</v>
      </c>
      <c r="L1259" s="78">
        <f t="shared" si="85"/>
        <v>3439207.1368489414</v>
      </c>
    </row>
    <row r="1260" spans="10:12" x14ac:dyDescent="0.25">
      <c r="J1260" s="77">
        <f t="shared" si="86"/>
        <v>1000000</v>
      </c>
      <c r="K1260" s="20">
        <f t="shared" si="87"/>
        <v>104</v>
      </c>
      <c r="L1260" s="78">
        <f t="shared" si="85"/>
        <v>3480700.5884284107</v>
      </c>
    </row>
    <row r="1261" spans="10:12" x14ac:dyDescent="0.25">
      <c r="J1261" s="77">
        <f t="shared" si="86"/>
        <v>1000000</v>
      </c>
      <c r="K1261" s="20">
        <f t="shared" si="87"/>
        <v>105</v>
      </c>
      <c r="L1261" s="78">
        <f t="shared" si="85"/>
        <v>3522694.6514731017</v>
      </c>
    </row>
    <row r="1262" spans="10:12" x14ac:dyDescent="0.25">
      <c r="J1262" s="77">
        <f t="shared" si="86"/>
        <v>1000000</v>
      </c>
      <c r="K1262" s="20">
        <f t="shared" si="87"/>
        <v>106</v>
      </c>
      <c r="L1262" s="78">
        <f t="shared" si="85"/>
        <v>3565195.3657755493</v>
      </c>
    </row>
    <row r="1263" spans="10:12" x14ac:dyDescent="0.25">
      <c r="J1263" s="77">
        <f t="shared" si="86"/>
        <v>1000000</v>
      </c>
      <c r="K1263" s="20">
        <f t="shared" si="87"/>
        <v>107</v>
      </c>
      <c r="L1263" s="78">
        <f t="shared" si="85"/>
        <v>3608208.8439973621</v>
      </c>
    </row>
    <row r="1264" spans="10:12" x14ac:dyDescent="0.25">
      <c r="J1264" s="77">
        <f t="shared" si="86"/>
        <v>1000000</v>
      </c>
      <c r="K1264" s="20">
        <f t="shared" si="87"/>
        <v>108</v>
      </c>
      <c r="L1264" s="78">
        <f t="shared" si="85"/>
        <v>3651741.2725483775</v>
      </c>
    </row>
    <row r="1265" spans="10:12" x14ac:dyDescent="0.25">
      <c r="J1265" s="77">
        <f t="shared" si="86"/>
        <v>1000000</v>
      </c>
      <c r="K1265" s="20">
        <f t="shared" si="87"/>
        <v>109</v>
      </c>
      <c r="L1265" s="78">
        <f t="shared" si="85"/>
        <v>3695798.9124764181</v>
      </c>
    </row>
    <row r="1266" spans="10:12" x14ac:dyDescent="0.25">
      <c r="J1266" s="77">
        <f t="shared" si="86"/>
        <v>1000000</v>
      </c>
      <c r="K1266" s="20">
        <f t="shared" si="87"/>
        <v>110</v>
      </c>
      <c r="L1266" s="78">
        <f t="shared" si="85"/>
        <v>3740388.1003677859</v>
      </c>
    </row>
    <row r="1267" spans="10:12" x14ac:dyDescent="0.25">
      <c r="J1267" s="77">
        <f t="shared" si="86"/>
        <v>1000000</v>
      </c>
      <c r="K1267" s="20">
        <f t="shared" si="87"/>
        <v>111</v>
      </c>
      <c r="L1267" s="78">
        <f t="shared" si="85"/>
        <v>3785515.24925863</v>
      </c>
    </row>
    <row r="1268" spans="10:12" x14ac:dyDescent="0.25">
      <c r="J1268" s="77">
        <f t="shared" si="86"/>
        <v>1000000</v>
      </c>
      <c r="K1268" s="20">
        <f t="shared" si="87"/>
        <v>112</v>
      </c>
      <c r="L1268" s="78">
        <f t="shared" si="85"/>
        <v>3831186.8495572885</v>
      </c>
    </row>
    <row r="1269" spans="10:12" x14ac:dyDescent="0.25">
      <c r="J1269" s="77">
        <f t="shared" si="86"/>
        <v>1000000</v>
      </c>
      <c r="K1269" s="20">
        <f t="shared" si="87"/>
        <v>113</v>
      </c>
      <c r="L1269" s="78">
        <f t="shared" si="85"/>
        <v>3877409.469977777</v>
      </c>
    </row>
    <row r="1270" spans="10:12" x14ac:dyDescent="0.25">
      <c r="J1270" s="77">
        <f t="shared" si="86"/>
        <v>1000000</v>
      </c>
      <c r="K1270" s="20">
        <f t="shared" si="87"/>
        <v>114</v>
      </c>
      <c r="L1270" s="78">
        <f t="shared" si="85"/>
        <v>3924189.7584845363</v>
      </c>
    </row>
    <row r="1271" spans="10:12" x14ac:dyDescent="0.25">
      <c r="J1271" s="77">
        <f t="shared" si="86"/>
        <v>1000000</v>
      </c>
      <c r="K1271" s="20">
        <f t="shared" si="87"/>
        <v>115</v>
      </c>
      <c r="L1271" s="78">
        <f t="shared" si="85"/>
        <v>3971534.4432485704</v>
      </c>
    </row>
    <row r="1272" spans="10:12" x14ac:dyDescent="0.25">
      <c r="J1272" s="77">
        <f t="shared" si="86"/>
        <v>1000000</v>
      </c>
      <c r="K1272" s="20">
        <f t="shared" si="87"/>
        <v>116</v>
      </c>
      <c r="L1272" s="78">
        <f t="shared" si="85"/>
        <v>4019450.3336151256</v>
      </c>
    </row>
    <row r="1273" spans="10:12" x14ac:dyDescent="0.25">
      <c r="J1273" s="77">
        <f t="shared" si="86"/>
        <v>1000000</v>
      </c>
      <c r="K1273" s="20">
        <f t="shared" si="87"/>
        <v>117</v>
      </c>
      <c r="L1273" s="78">
        <f t="shared" si="85"/>
        <v>4067944.3210830479</v>
      </c>
    </row>
    <row r="1274" spans="10:12" x14ac:dyDescent="0.25">
      <c r="J1274" s="77">
        <f t="shared" si="86"/>
        <v>1000000</v>
      </c>
      <c r="K1274" s="20">
        <f t="shared" si="87"/>
        <v>118</v>
      </c>
      <c r="L1274" s="78">
        <f t="shared" si="85"/>
        <v>4117023.3802959481</v>
      </c>
    </row>
    <row r="1275" spans="10:12" x14ac:dyDescent="0.25">
      <c r="J1275" s="77">
        <f t="shared" si="86"/>
        <v>1000000</v>
      </c>
      <c r="K1275" s="20">
        <f t="shared" si="87"/>
        <v>119</v>
      </c>
      <c r="L1275" s="78">
        <f t="shared" si="85"/>
        <v>4166694.5700453296</v>
      </c>
    </row>
    <row r="1276" spans="10:12" x14ac:dyDescent="0.25">
      <c r="J1276" s="77">
        <f t="shared" si="86"/>
        <v>1000000</v>
      </c>
      <c r="K1276" s="20">
        <f t="shared" si="87"/>
        <v>120</v>
      </c>
      <c r="L1276" s="78">
        <f t="shared" si="85"/>
        <v>4216965.0342858229</v>
      </c>
    </row>
    <row r="1277" spans="10:12" x14ac:dyDescent="0.25">
      <c r="J1277" s="77">
        <f t="shared" si="86"/>
        <v>1000000</v>
      </c>
      <c r="K1277" s="20">
        <f t="shared" si="87"/>
        <v>121</v>
      </c>
      <c r="L1277" s="78">
        <f t="shared" si="85"/>
        <v>4267842.0031626588</v>
      </c>
    </row>
    <row r="1278" spans="10:12" x14ac:dyDescent="0.25">
      <c r="J1278" s="77">
        <f t="shared" si="86"/>
        <v>1000000</v>
      </c>
      <c r="K1278" s="20">
        <f t="shared" si="87"/>
        <v>122</v>
      </c>
      <c r="L1278" s="78">
        <f t="shared" si="85"/>
        <v>4319332.7940515447</v>
      </c>
    </row>
    <row r="1279" spans="10:12" x14ac:dyDescent="0.25">
      <c r="J1279" s="77">
        <f t="shared" si="86"/>
        <v>1000000</v>
      </c>
      <c r="K1279" s="20">
        <f t="shared" si="87"/>
        <v>123</v>
      </c>
      <c r="L1279" s="78">
        <f t="shared" si="85"/>
        <v>4371444.81261109</v>
      </c>
    </row>
    <row r="1280" spans="10:12" x14ac:dyDescent="0.25">
      <c r="J1280" s="77">
        <f t="shared" si="86"/>
        <v>1000000</v>
      </c>
      <c r="K1280" s="20">
        <f t="shared" si="87"/>
        <v>124</v>
      </c>
      <c r="L1280" s="78">
        <f t="shared" si="85"/>
        <v>4424185.5538479183</v>
      </c>
    </row>
    <row r="1281" spans="10:12" x14ac:dyDescent="0.25">
      <c r="J1281" s="77">
        <f t="shared" si="86"/>
        <v>1000000</v>
      </c>
      <c r="K1281" s="20">
        <f t="shared" si="87"/>
        <v>125</v>
      </c>
      <c r="L1281" s="78">
        <f t="shared" si="85"/>
        <v>4477562.6031946372</v>
      </c>
    </row>
    <row r="1282" spans="10:12" x14ac:dyDescent="0.25">
      <c r="J1282" s="77">
        <f t="shared" si="86"/>
        <v>1000000</v>
      </c>
      <c r="K1282" s="20">
        <f t="shared" si="87"/>
        <v>126</v>
      </c>
      <c r="L1282" s="78">
        <f t="shared" si="85"/>
        <v>4531583.6376008186</v>
      </c>
    </row>
    <row r="1283" spans="10:12" x14ac:dyDescent="0.25">
      <c r="J1283" s="77">
        <f t="shared" si="86"/>
        <v>1000000</v>
      </c>
      <c r="K1283" s="20">
        <f t="shared" si="87"/>
        <v>127</v>
      </c>
      <c r="L1283" s="78">
        <f t="shared" si="85"/>
        <v>4586256.4266371261</v>
      </c>
    </row>
    <row r="1284" spans="10:12" x14ac:dyDescent="0.25">
      <c r="J1284" s="77">
        <f t="shared" si="86"/>
        <v>1000000</v>
      </c>
      <c r="K1284" s="20">
        <f t="shared" si="87"/>
        <v>128</v>
      </c>
      <c r="L1284" s="78">
        <f t="shared" si="85"/>
        <v>4641588.8336127792</v>
      </c>
    </row>
    <row r="1285" spans="10:12" x14ac:dyDescent="0.25">
      <c r="J1285" s="77">
        <f t="shared" si="86"/>
        <v>1000000</v>
      </c>
      <c r="K1285" s="20">
        <f t="shared" si="87"/>
        <v>129</v>
      </c>
      <c r="L1285" s="78">
        <f t="shared" ref="L1285:L1348" si="88">J1285*10^(K1285/192)</f>
        <v>4697588.8167064935</v>
      </c>
    </row>
    <row r="1286" spans="10:12" x14ac:dyDescent="0.25">
      <c r="J1286" s="77">
        <f t="shared" ref="J1286:J1348" si="89">J1094*10</f>
        <v>1000000</v>
      </c>
      <c r="K1286" s="20">
        <f t="shared" ref="K1286:K1331" si="90">K1285+1</f>
        <v>130</v>
      </c>
      <c r="L1286" s="78">
        <f t="shared" si="88"/>
        <v>4754264.4301110571</v>
      </c>
    </row>
    <row r="1287" spans="10:12" x14ac:dyDescent="0.25">
      <c r="J1287" s="77">
        <f t="shared" si="89"/>
        <v>1000000</v>
      </c>
      <c r="K1287" s="20">
        <f t="shared" si="90"/>
        <v>131</v>
      </c>
      <c r="L1287" s="78">
        <f t="shared" si="88"/>
        <v>4811623.8251917334</v>
      </c>
    </row>
    <row r="1288" spans="10:12" x14ac:dyDescent="0.25">
      <c r="J1288" s="77">
        <f t="shared" si="89"/>
        <v>1000000</v>
      </c>
      <c r="K1288" s="20">
        <f t="shared" si="90"/>
        <v>132</v>
      </c>
      <c r="L1288" s="78">
        <f t="shared" si="88"/>
        <v>4869675.2516586315</v>
      </c>
    </row>
    <row r="1289" spans="10:12" x14ac:dyDescent="0.25">
      <c r="J1289" s="77">
        <f t="shared" si="89"/>
        <v>1000000</v>
      </c>
      <c r="K1289" s="20">
        <f t="shared" si="90"/>
        <v>133</v>
      </c>
      <c r="L1289" s="78">
        <f t="shared" si="88"/>
        <v>4928427.0587532073</v>
      </c>
    </row>
    <row r="1290" spans="10:12" x14ac:dyDescent="0.25">
      <c r="J1290" s="77">
        <f t="shared" si="89"/>
        <v>1000000</v>
      </c>
      <c r="K1290" s="20">
        <f t="shared" si="90"/>
        <v>134</v>
      </c>
      <c r="L1290" s="78">
        <f t="shared" si="88"/>
        <v>4987887.6964491066</v>
      </c>
    </row>
    <row r="1291" spans="10:12" x14ac:dyDescent="0.25">
      <c r="J1291" s="77">
        <f t="shared" si="89"/>
        <v>1000000</v>
      </c>
      <c r="K1291" s="20">
        <f t="shared" si="90"/>
        <v>135</v>
      </c>
      <c r="L1291" s="78">
        <f t="shared" si="88"/>
        <v>5048065.7166674715</v>
      </c>
    </row>
    <row r="1292" spans="10:12" x14ac:dyDescent="0.25">
      <c r="J1292" s="77">
        <f t="shared" si="89"/>
        <v>1000000</v>
      </c>
      <c r="K1292" s="20">
        <f t="shared" si="90"/>
        <v>136</v>
      </c>
      <c r="L1292" s="78">
        <f t="shared" si="88"/>
        <v>5108969.7745069293</v>
      </c>
    </row>
    <row r="1293" spans="10:12" x14ac:dyDescent="0.25">
      <c r="J1293" s="77">
        <f t="shared" si="89"/>
        <v>1000000</v>
      </c>
      <c r="K1293" s="20">
        <f t="shared" si="90"/>
        <v>137</v>
      </c>
      <c r="L1293" s="78">
        <f t="shared" si="88"/>
        <v>5170608.6294884002</v>
      </c>
    </row>
    <row r="1294" spans="10:12" x14ac:dyDescent="0.25">
      <c r="J1294" s="77">
        <f t="shared" si="89"/>
        <v>1000000</v>
      </c>
      <c r="K1294" s="20">
        <f t="shared" si="90"/>
        <v>138</v>
      </c>
      <c r="L1294" s="78">
        <f t="shared" si="88"/>
        <v>5232991.1468149479</v>
      </c>
    </row>
    <row r="1295" spans="10:12" x14ac:dyDescent="0.25">
      <c r="J1295" s="77">
        <f t="shared" si="89"/>
        <v>1000000</v>
      </c>
      <c r="K1295" s="20">
        <f t="shared" si="90"/>
        <v>139</v>
      </c>
      <c r="L1295" s="78">
        <f t="shared" si="88"/>
        <v>5296126.2986468039</v>
      </c>
    </row>
    <row r="1296" spans="10:12" x14ac:dyDescent="0.25">
      <c r="J1296" s="77">
        <f t="shared" si="89"/>
        <v>1000000</v>
      </c>
      <c r="K1296" s="20">
        <f t="shared" si="90"/>
        <v>140</v>
      </c>
      <c r="L1296" s="78">
        <f t="shared" si="88"/>
        <v>5360023.1653917916</v>
      </c>
    </row>
    <row r="1297" spans="10:12" x14ac:dyDescent="0.25">
      <c r="J1297" s="77">
        <f t="shared" si="89"/>
        <v>1000000</v>
      </c>
      <c r="K1297" s="20">
        <f t="shared" si="90"/>
        <v>141</v>
      </c>
      <c r="L1297" s="78">
        <f t="shared" si="88"/>
        <v>5424690.9370113267</v>
      </c>
    </row>
    <row r="1298" spans="10:12" x14ac:dyDescent="0.25">
      <c r="J1298" s="77">
        <f t="shared" si="89"/>
        <v>1000000</v>
      </c>
      <c r="K1298" s="20">
        <f t="shared" si="90"/>
        <v>142</v>
      </c>
      <c r="L1298" s="78">
        <f t="shared" si="88"/>
        <v>5490138.9143421417</v>
      </c>
    </row>
    <row r="1299" spans="10:12" x14ac:dyDescent="0.25">
      <c r="J1299" s="77">
        <f t="shared" si="89"/>
        <v>1000000</v>
      </c>
      <c r="K1299" s="20">
        <f t="shared" si="90"/>
        <v>143</v>
      </c>
      <c r="L1299" s="78">
        <f t="shared" si="88"/>
        <v>5556376.5104339933</v>
      </c>
    </row>
    <row r="1300" spans="10:12" x14ac:dyDescent="0.25">
      <c r="J1300" s="77">
        <f t="shared" si="89"/>
        <v>1000000</v>
      </c>
      <c r="K1300" s="20">
        <f t="shared" si="90"/>
        <v>144</v>
      </c>
      <c r="L1300" s="78">
        <f t="shared" si="88"/>
        <v>5623413.251903492</v>
      </c>
    </row>
    <row r="1301" spans="10:12" x14ac:dyDescent="0.25">
      <c r="J1301" s="77">
        <f t="shared" si="89"/>
        <v>1000000</v>
      </c>
      <c r="K1301" s="20">
        <f t="shared" si="90"/>
        <v>145</v>
      </c>
      <c r="L1301" s="78">
        <f t="shared" si="88"/>
        <v>5691258.7803042587</v>
      </c>
    </row>
    <row r="1302" spans="10:12" x14ac:dyDescent="0.25">
      <c r="J1302" s="77">
        <f t="shared" si="89"/>
        <v>1000000</v>
      </c>
      <c r="K1302" s="20">
        <f t="shared" si="90"/>
        <v>146</v>
      </c>
      <c r="L1302" s="78">
        <f t="shared" si="88"/>
        <v>5759922.8535136282</v>
      </c>
    </row>
    <row r="1303" spans="10:12" x14ac:dyDescent="0.25">
      <c r="J1303" s="77">
        <f t="shared" si="89"/>
        <v>1000000</v>
      </c>
      <c r="K1303" s="20">
        <f t="shared" si="90"/>
        <v>147</v>
      </c>
      <c r="L1303" s="78">
        <f t="shared" si="88"/>
        <v>5829415.3471360756</v>
      </c>
    </row>
    <row r="1304" spans="10:12" x14ac:dyDescent="0.25">
      <c r="J1304" s="77">
        <f t="shared" si="89"/>
        <v>1000000</v>
      </c>
      <c r="K1304" s="20">
        <f t="shared" si="90"/>
        <v>148</v>
      </c>
      <c r="L1304" s="78">
        <f t="shared" si="88"/>
        <v>5899746.2559235655</v>
      </c>
    </row>
    <row r="1305" spans="10:12" x14ac:dyDescent="0.25">
      <c r="J1305" s="77">
        <f t="shared" si="89"/>
        <v>1000000</v>
      </c>
      <c r="K1305" s="20">
        <f t="shared" si="90"/>
        <v>149</v>
      </c>
      <c r="L1305" s="78">
        <f t="shared" si="88"/>
        <v>5970925.6952130534</v>
      </c>
    </row>
    <row r="1306" spans="10:12" x14ac:dyDescent="0.25">
      <c r="J1306" s="77">
        <f t="shared" si="89"/>
        <v>1000000</v>
      </c>
      <c r="K1306" s="20">
        <f t="shared" si="90"/>
        <v>150</v>
      </c>
      <c r="L1306" s="78">
        <f t="shared" si="88"/>
        <v>6042963.9023813289</v>
      </c>
    </row>
    <row r="1307" spans="10:12" x14ac:dyDescent="0.25">
      <c r="J1307" s="77">
        <f t="shared" si="89"/>
        <v>1000000</v>
      </c>
      <c r="K1307" s="20">
        <f t="shared" si="90"/>
        <v>151</v>
      </c>
      <c r="L1307" s="78">
        <f t="shared" si="88"/>
        <v>6115871.238317389</v>
      </c>
    </row>
    <row r="1308" spans="10:12" x14ac:dyDescent="0.25">
      <c r="J1308" s="77">
        <f t="shared" si="89"/>
        <v>1000000</v>
      </c>
      <c r="K1308" s="20">
        <f t="shared" si="90"/>
        <v>152</v>
      </c>
      <c r="L1308" s="78">
        <f t="shared" si="88"/>
        <v>6189658.1889126059</v>
      </c>
    </row>
    <row r="1309" spans="10:12" x14ac:dyDescent="0.25">
      <c r="J1309" s="77">
        <f t="shared" si="89"/>
        <v>1000000</v>
      </c>
      <c r="K1309" s="20">
        <f t="shared" si="90"/>
        <v>153</v>
      </c>
      <c r="L1309" s="78">
        <f t="shared" si="88"/>
        <v>6264335.3665688569</v>
      </c>
    </row>
    <row r="1310" spans="10:12" x14ac:dyDescent="0.25">
      <c r="J1310" s="77">
        <f t="shared" si="89"/>
        <v>1000000</v>
      </c>
      <c r="K1310" s="20">
        <f t="shared" si="90"/>
        <v>154</v>
      </c>
      <c r="L1310" s="78">
        <f t="shared" si="88"/>
        <v>6339913.5117248455</v>
      </c>
    </row>
    <row r="1311" spans="10:12" x14ac:dyDescent="0.25">
      <c r="J1311" s="77">
        <f t="shared" si="89"/>
        <v>1000000</v>
      </c>
      <c r="K1311" s="20">
        <f t="shared" si="90"/>
        <v>155</v>
      </c>
      <c r="L1311" s="78">
        <f t="shared" si="88"/>
        <v>6416403.4944008533</v>
      </c>
    </row>
    <row r="1312" spans="10:12" x14ac:dyDescent="0.25">
      <c r="J1312" s="77">
        <f t="shared" si="89"/>
        <v>1000000</v>
      </c>
      <c r="K1312" s="20">
        <f t="shared" si="90"/>
        <v>156</v>
      </c>
      <c r="L1312" s="78">
        <f t="shared" si="88"/>
        <v>6493816.3157621147</v>
      </c>
    </row>
    <row r="1313" spans="10:12" x14ac:dyDescent="0.25">
      <c r="J1313" s="77">
        <f t="shared" si="89"/>
        <v>1000000</v>
      </c>
      <c r="K1313" s="20">
        <f t="shared" si="90"/>
        <v>157</v>
      </c>
      <c r="L1313" s="78">
        <f t="shared" si="88"/>
        <v>6572163.1097010579</v>
      </c>
    </row>
    <row r="1314" spans="10:12" x14ac:dyDescent="0.25">
      <c r="J1314" s="77">
        <f t="shared" si="89"/>
        <v>1000000</v>
      </c>
      <c r="K1314" s="20">
        <f t="shared" si="90"/>
        <v>158</v>
      </c>
      <c r="L1314" s="78">
        <f t="shared" si="88"/>
        <v>6651455.1444386337</v>
      </c>
    </row>
    <row r="1315" spans="10:12" x14ac:dyDescent="0.25">
      <c r="J1315" s="77">
        <f t="shared" si="89"/>
        <v>1000000</v>
      </c>
      <c r="K1315" s="20">
        <f t="shared" si="90"/>
        <v>159</v>
      </c>
      <c r="L1315" s="78">
        <f t="shared" si="88"/>
        <v>6731703.8241449827</v>
      </c>
    </row>
    <row r="1316" spans="10:12" x14ac:dyDescent="0.25">
      <c r="J1316" s="77">
        <f t="shared" si="89"/>
        <v>1000000</v>
      </c>
      <c r="K1316" s="20">
        <f t="shared" si="90"/>
        <v>160</v>
      </c>
      <c r="L1316" s="78">
        <f t="shared" si="88"/>
        <v>6812920.6905796137</v>
      </c>
    </row>
    <row r="1317" spans="10:12" x14ac:dyDescent="0.25">
      <c r="J1317" s="77">
        <f t="shared" si="89"/>
        <v>1000000</v>
      </c>
      <c r="K1317" s="20">
        <f t="shared" si="90"/>
        <v>161</v>
      </c>
      <c r="L1317" s="78">
        <f t="shared" si="88"/>
        <v>6895117.424751414</v>
      </c>
    </row>
    <row r="1318" spans="10:12" x14ac:dyDescent="0.25">
      <c r="J1318" s="77">
        <f t="shared" si="89"/>
        <v>1000000</v>
      </c>
      <c r="K1318" s="20">
        <f t="shared" si="90"/>
        <v>162</v>
      </c>
      <c r="L1318" s="78">
        <f t="shared" si="88"/>
        <v>6978305.8485986646</v>
      </c>
    </row>
    <row r="1319" spans="10:12" x14ac:dyDescent="0.25">
      <c r="J1319" s="77">
        <f t="shared" si="89"/>
        <v>1000000</v>
      </c>
      <c r="K1319" s="20">
        <f t="shared" si="90"/>
        <v>163</v>
      </c>
      <c r="L1319" s="78">
        <f t="shared" si="88"/>
        <v>7062497.9266893296</v>
      </c>
    </row>
    <row r="1320" spans="10:12" x14ac:dyDescent="0.25">
      <c r="J1320" s="77">
        <f t="shared" si="89"/>
        <v>1000000</v>
      </c>
      <c r="K1320" s="20">
        <f t="shared" si="90"/>
        <v>164</v>
      </c>
      <c r="L1320" s="78">
        <f t="shared" si="88"/>
        <v>7147705.7679418568</v>
      </c>
    </row>
    <row r="1321" spans="10:12" x14ac:dyDescent="0.25">
      <c r="J1321" s="77">
        <f t="shared" si="89"/>
        <v>1000000</v>
      </c>
      <c r="K1321" s="20">
        <f t="shared" si="90"/>
        <v>165</v>
      </c>
      <c r="L1321" s="78">
        <f t="shared" si="88"/>
        <v>7233941.6273667496</v>
      </c>
    </row>
    <row r="1322" spans="10:12" x14ac:dyDescent="0.25">
      <c r="J1322" s="77">
        <f t="shared" si="89"/>
        <v>1000000</v>
      </c>
      <c r="K1322" s="20">
        <f t="shared" si="90"/>
        <v>166</v>
      </c>
      <c r="L1322" s="78">
        <f t="shared" si="88"/>
        <v>7321217.907829131</v>
      </c>
    </row>
    <row r="1323" spans="10:12" x14ac:dyDescent="0.25">
      <c r="J1323" s="77">
        <f t="shared" si="89"/>
        <v>1000000</v>
      </c>
      <c r="K1323" s="20">
        <f t="shared" si="90"/>
        <v>167</v>
      </c>
      <c r="L1323" s="78">
        <f t="shared" si="88"/>
        <v>7409547.1618325906</v>
      </c>
    </row>
    <row r="1324" spans="10:12" x14ac:dyDescent="0.25">
      <c r="J1324" s="77">
        <f t="shared" si="89"/>
        <v>1000000</v>
      </c>
      <c r="K1324" s="20">
        <f t="shared" si="90"/>
        <v>168</v>
      </c>
      <c r="L1324" s="78">
        <f t="shared" si="88"/>
        <v>7498942.0933245588</v>
      </c>
    </row>
    <row r="1325" spans="10:12" x14ac:dyDescent="0.25">
      <c r="J1325" s="77">
        <f t="shared" si="89"/>
        <v>1000000</v>
      </c>
      <c r="K1325" s="20">
        <f t="shared" si="90"/>
        <v>169</v>
      </c>
      <c r="L1325" s="78">
        <f t="shared" si="88"/>
        <v>7589415.5595234269</v>
      </c>
    </row>
    <row r="1326" spans="10:12" x14ac:dyDescent="0.25">
      <c r="J1326" s="77">
        <f t="shared" si="89"/>
        <v>1000000</v>
      </c>
      <c r="K1326" s="20">
        <f t="shared" si="90"/>
        <v>170</v>
      </c>
      <c r="L1326" s="78">
        <f t="shared" si="88"/>
        <v>7680980.572767755</v>
      </c>
    </row>
    <row r="1327" spans="10:12" x14ac:dyDescent="0.25">
      <c r="J1327" s="77">
        <f t="shared" si="89"/>
        <v>1000000</v>
      </c>
      <c r="K1327" s="20">
        <f t="shared" si="90"/>
        <v>171</v>
      </c>
      <c r="L1327" s="78">
        <f t="shared" si="88"/>
        <v>7773650.302387761</v>
      </c>
    </row>
    <row r="1328" spans="10:12" x14ac:dyDescent="0.25">
      <c r="J1328" s="77">
        <f t="shared" si="89"/>
        <v>1000000</v>
      </c>
      <c r="K1328" s="20">
        <f t="shared" si="90"/>
        <v>172</v>
      </c>
      <c r="L1328" s="78">
        <f t="shared" si="88"/>
        <v>7867438.0765994033</v>
      </c>
    </row>
    <row r="1329" spans="10:12" x14ac:dyDescent="0.25">
      <c r="J1329" s="77">
        <f t="shared" si="89"/>
        <v>1000000</v>
      </c>
      <c r="K1329" s="20">
        <f t="shared" si="90"/>
        <v>173</v>
      </c>
      <c r="L1329" s="78">
        <f t="shared" si="88"/>
        <v>7962357.3844213039</v>
      </c>
    </row>
    <row r="1330" spans="10:12" x14ac:dyDescent="0.25">
      <c r="J1330" s="77">
        <f t="shared" si="89"/>
        <v>1000000</v>
      </c>
      <c r="K1330" s="20">
        <f t="shared" si="90"/>
        <v>174</v>
      </c>
      <c r="L1330" s="78">
        <f t="shared" si="88"/>
        <v>8058421.8776148194</v>
      </c>
    </row>
    <row r="1331" spans="10:12" x14ac:dyDescent="0.25">
      <c r="J1331" s="77">
        <f t="shared" si="89"/>
        <v>1000000</v>
      </c>
      <c r="K1331" s="20">
        <f t="shared" si="90"/>
        <v>175</v>
      </c>
      <c r="L1331" s="78">
        <f t="shared" si="88"/>
        <v>8155645.3726474876</v>
      </c>
    </row>
    <row r="1332" spans="10:12" x14ac:dyDescent="0.25">
      <c r="J1332" s="77">
        <f t="shared" si="89"/>
        <v>1000000</v>
      </c>
      <c r="K1332" s="20">
        <f>K1331+1</f>
        <v>176</v>
      </c>
      <c r="L1332" s="78">
        <f t="shared" si="88"/>
        <v>8254041.852680183</v>
      </c>
    </row>
    <row r="1333" spans="10:12" x14ac:dyDescent="0.25">
      <c r="J1333" s="77">
        <f t="shared" si="89"/>
        <v>1000000</v>
      </c>
      <c r="K1333" s="20">
        <f t="shared" ref="K1333:K1348" si="91">K1332+1</f>
        <v>177</v>
      </c>
      <c r="L1333" s="78">
        <f t="shared" si="88"/>
        <v>8353625.4695782615</v>
      </c>
    </row>
    <row r="1334" spans="10:12" x14ac:dyDescent="0.25">
      <c r="J1334" s="77">
        <f t="shared" si="89"/>
        <v>1000000</v>
      </c>
      <c r="K1334" s="20">
        <f t="shared" si="91"/>
        <v>178</v>
      </c>
      <c r="L1334" s="78">
        <f t="shared" si="88"/>
        <v>8454410.545946924</v>
      </c>
    </row>
    <row r="1335" spans="10:12" x14ac:dyDescent="0.25">
      <c r="J1335" s="77">
        <f t="shared" si="89"/>
        <v>1000000</v>
      </c>
      <c r="K1335" s="20">
        <f t="shared" si="91"/>
        <v>179</v>
      </c>
      <c r="L1335" s="78">
        <f t="shared" si="88"/>
        <v>8556411.5771911852</v>
      </c>
    </row>
    <row r="1336" spans="10:12" x14ac:dyDescent="0.25">
      <c r="J1336" s="77">
        <f t="shared" si="89"/>
        <v>1000000</v>
      </c>
      <c r="K1336" s="20">
        <f t="shared" si="91"/>
        <v>180</v>
      </c>
      <c r="L1336" s="78">
        <f t="shared" si="88"/>
        <v>8659643.2336006556</v>
      </c>
    </row>
    <row r="1337" spans="10:12" x14ac:dyDescent="0.25">
      <c r="J1337" s="77">
        <f t="shared" si="89"/>
        <v>1000000</v>
      </c>
      <c r="K1337" s="20">
        <f t="shared" si="91"/>
        <v>181</v>
      </c>
      <c r="L1337" s="78">
        <f t="shared" si="88"/>
        <v>8764120.3624595199</v>
      </c>
    </row>
    <row r="1338" spans="10:12" x14ac:dyDescent="0.25">
      <c r="J1338" s="77">
        <f t="shared" si="89"/>
        <v>1000000</v>
      </c>
      <c r="K1338" s="20">
        <f t="shared" si="91"/>
        <v>182</v>
      </c>
      <c r="L1338" s="78">
        <f t="shared" si="88"/>
        <v>8869857.9901819192</v>
      </c>
    </row>
    <row r="1339" spans="10:12" x14ac:dyDescent="0.25">
      <c r="J1339" s="77">
        <f t="shared" si="89"/>
        <v>1000000</v>
      </c>
      <c r="K1339" s="20">
        <f t="shared" si="91"/>
        <v>183</v>
      </c>
      <c r="L1339" s="78">
        <f t="shared" si="88"/>
        <v>8976871.3244731445</v>
      </c>
    </row>
    <row r="1340" spans="10:12" x14ac:dyDescent="0.25">
      <c r="J1340" s="77">
        <f t="shared" si="89"/>
        <v>1000000</v>
      </c>
      <c r="K1340" s="20">
        <f t="shared" si="91"/>
        <v>184</v>
      </c>
      <c r="L1340" s="78">
        <f t="shared" si="88"/>
        <v>9085175.7565168701</v>
      </c>
    </row>
    <row r="1341" spans="10:12" x14ac:dyDescent="0.25">
      <c r="J1341" s="77">
        <f t="shared" si="89"/>
        <v>1000000</v>
      </c>
      <c r="K1341" s="20">
        <f t="shared" si="91"/>
        <v>185</v>
      </c>
      <c r="L1341" s="78">
        <f t="shared" si="88"/>
        <v>9194786.8631887939</v>
      </c>
    </row>
    <row r="1342" spans="10:12" x14ac:dyDescent="0.25">
      <c r="J1342" s="77">
        <f t="shared" si="89"/>
        <v>1000000</v>
      </c>
      <c r="K1342" s="20">
        <f t="shared" si="91"/>
        <v>186</v>
      </c>
      <c r="L1342" s="78">
        <f t="shared" si="88"/>
        <v>9305720.4092969894</v>
      </c>
    </row>
    <row r="1343" spans="10:12" x14ac:dyDescent="0.25">
      <c r="J1343" s="77">
        <f t="shared" si="89"/>
        <v>1000000</v>
      </c>
      <c r="K1343" s="20">
        <f t="shared" si="91"/>
        <v>187</v>
      </c>
      <c r="L1343" s="78">
        <f t="shared" si="88"/>
        <v>9417992.3498492613</v>
      </c>
    </row>
    <row r="1344" spans="10:12" x14ac:dyDescent="0.25">
      <c r="J1344" s="77">
        <f t="shared" si="89"/>
        <v>1000000</v>
      </c>
      <c r="K1344" s="20">
        <f t="shared" si="91"/>
        <v>188</v>
      </c>
      <c r="L1344" s="78">
        <f t="shared" si="88"/>
        <v>9531618.8323478773</v>
      </c>
    </row>
    <row r="1345" spans="10:12" x14ac:dyDescent="0.25">
      <c r="J1345" s="77">
        <f t="shared" si="89"/>
        <v>1000000</v>
      </c>
      <c r="K1345" s="20">
        <f t="shared" si="91"/>
        <v>189</v>
      </c>
      <c r="L1345" s="78">
        <f t="shared" si="88"/>
        <v>9646616.1991119962</v>
      </c>
    </row>
    <row r="1346" spans="10:12" x14ac:dyDescent="0.25">
      <c r="J1346" s="77">
        <f t="shared" si="89"/>
        <v>1000000</v>
      </c>
      <c r="K1346" s="20">
        <f t="shared" si="91"/>
        <v>190</v>
      </c>
      <c r="L1346" s="78">
        <f t="shared" si="88"/>
        <v>9763000.9896280784</v>
      </c>
    </row>
    <row r="1347" spans="10:12" x14ac:dyDescent="0.25">
      <c r="J1347" s="77">
        <f t="shared" si="89"/>
        <v>1000000</v>
      </c>
      <c r="K1347" s="20">
        <f t="shared" si="91"/>
        <v>191</v>
      </c>
      <c r="L1347" s="78">
        <f t="shared" si="88"/>
        <v>9880789.9429286923</v>
      </c>
    </row>
    <row r="1348" spans="10:12" x14ac:dyDescent="0.25">
      <c r="J1348" s="77">
        <f t="shared" si="89"/>
        <v>1000000</v>
      </c>
      <c r="K1348" s="20">
        <f t="shared" si="91"/>
        <v>192</v>
      </c>
      <c r="L1348" s="83">
        <f t="shared" si="88"/>
        <v>10000000</v>
      </c>
    </row>
  </sheetData>
  <sheetProtection selectLockedCells="1"/>
  <mergeCells count="3">
    <mergeCell ref="B2:D2"/>
    <mergeCell ref="F2:H2"/>
    <mergeCell ref="J2:L2"/>
  </mergeCells>
  <pageMargins left="0.7" right="0.7" top="0.75" bottom="0.75" header="0.3" footer="0.3"/>
  <drawing r:id="rId1"/>
  <tableParts count="4">
    <tablePart r:id="rId2"/>
    <tablePart r:id="rId3"/>
    <tablePart r:id="rId4"/>
    <tablePart r:id="rId5"/>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Version xmlns="http://schemas.microsoft.com/sharepoint/v3/fields" xsi:nil="true"/>
    <_DCDateModified xmlns="http://schemas.microsoft.com/sharepoint/v3/fields" xsi:nil="true"/>
    <_Revision xmlns="http://schemas.microsoft.com/sharepoint/v3/fields"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694BDB0366CFF449BFF6BB5BED1ACE66" ma:contentTypeVersion="" ma:contentTypeDescription="Create a new document." ma:contentTypeScope="" ma:versionID="d6deed8e886971231d8a52858db1230f">
  <xsd:schema xmlns:xsd="http://www.w3.org/2001/XMLSchema" xmlns:xs="http://www.w3.org/2001/XMLSchema" xmlns:p="http://schemas.microsoft.com/office/2006/metadata/properties" xmlns:ns2="http://schemas.microsoft.com/sharepoint/v3/fields" xmlns:ns3="81cbb912-a41f-478e-bff8-56a8cfd8785b" targetNamespace="http://schemas.microsoft.com/office/2006/metadata/properties" ma:root="true" ma:fieldsID="35711bc7b8ec5538d72420f9697b25d9" ns2:_="" ns3:_="">
    <xsd:import namespace="http://schemas.microsoft.com/sharepoint/v3/fields"/>
    <xsd:import namespace="81cbb912-a41f-478e-bff8-56a8cfd8785b"/>
    <xsd:element name="properties">
      <xsd:complexType>
        <xsd:sequence>
          <xsd:element name="documentManagement">
            <xsd:complexType>
              <xsd:all>
                <xsd:element ref="ns2:_Version" minOccurs="0"/>
                <xsd:element ref="ns2:_Revision" minOccurs="0"/>
                <xsd:element ref="ns2:_DCDateModified" minOccurs="0"/>
                <xsd:element ref="ns3: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Version" ma:index="2" nillable="true" ma:displayName="Version" ma:internalName="_Version">
      <xsd:simpleType>
        <xsd:restriction base="dms:Text"/>
      </xsd:simpleType>
    </xsd:element>
    <xsd:element name="_Revision" ma:index="3" nillable="true" ma:displayName="Revision" ma:internalName="_Revision">
      <xsd:simpleType>
        <xsd:restriction base="dms:Text"/>
      </xsd:simpleType>
    </xsd:element>
    <xsd:element name="_DCDateModified" ma:index="4" nillable="true" ma:displayName="Date Modified" ma:description="The date on which this resource was last modified" ma:format="DateTime" ma:internalName="_DCDateModified">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81cbb912-a41f-478e-bff8-56a8cfd8785b"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2CC7B43-647D-4A74-9DF7-FAFE925EC295}">
  <ds:schemaRefs>
    <ds:schemaRef ds:uri="http://schemas.microsoft.com/office/2006/metadata/properties"/>
    <ds:schemaRef ds:uri="http://schemas.microsoft.com/office/infopath/2007/PartnerControls"/>
    <ds:schemaRef ds:uri="http://schemas.microsoft.com/sharepoint/v3/fields"/>
  </ds:schemaRefs>
</ds:datastoreItem>
</file>

<file path=customXml/itemProps2.xml><?xml version="1.0" encoding="utf-8"?>
<ds:datastoreItem xmlns:ds="http://schemas.openxmlformats.org/officeDocument/2006/customXml" ds:itemID="{68FB7965-ECC4-40BA-A9B4-25C37263A7B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fields"/>
    <ds:schemaRef ds:uri="81cbb912-a41f-478e-bff8-56a8cfd8785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3A97B69-E84A-425E-BFBB-CF0AE589026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260</vt:i4>
      </vt:variant>
    </vt:vector>
  </HeadingPairs>
  <TitlesOfParts>
    <vt:vector size="263" baseType="lpstr">
      <vt:lpstr>BQ2575X Design Calculator</vt:lpstr>
      <vt:lpstr>Thermistor Qualification</vt:lpstr>
      <vt:lpstr>StdResVals</vt:lpstr>
      <vt:lpstr>ACOV_D</vt:lpstr>
      <vt:lpstr>ACUV_D</vt:lpstr>
      <vt:lpstr>Buck_Boost</vt:lpstr>
      <vt:lpstr>Buck_Only</vt:lpstr>
      <vt:lpstr>C_MOSFET_S_gFS_H_BO</vt:lpstr>
      <vt:lpstr>C_MOSFET_S_gFS_H_BU</vt:lpstr>
      <vt:lpstr>C_MOSFET_S_gFS_L_BO</vt:lpstr>
      <vt:lpstr>C_MOSFET_S_gFS_L_BU</vt:lpstr>
      <vt:lpstr>C_MOSFET_S_QG_H_BO</vt:lpstr>
      <vt:lpstr>C_MOSFET_S_QG_H_BU</vt:lpstr>
      <vt:lpstr>C_MOSFET_S_QG_L_BO</vt:lpstr>
      <vt:lpstr>C_MOSFET_S_QG_L_BU</vt:lpstr>
      <vt:lpstr>C_MOSFET_S_QGD_H_BO</vt:lpstr>
      <vt:lpstr>C_MOSFET_S_QGD_H_BU</vt:lpstr>
      <vt:lpstr>C_MOSFET_S_QGD_L_BO</vt:lpstr>
      <vt:lpstr>C_MOSFET_S_QGD_L_BU</vt:lpstr>
      <vt:lpstr>C_MOSFET_S_QGS_H_BO</vt:lpstr>
      <vt:lpstr>C_MOSFET_S_QGS_H_BU</vt:lpstr>
      <vt:lpstr>C_MOSFET_S_QGS_L_BO</vt:lpstr>
      <vt:lpstr>C_MOSFET_S_QGS_L_BU</vt:lpstr>
      <vt:lpstr>C_MOSFET_S_QOSS_H_BO</vt:lpstr>
      <vt:lpstr>C_MOSFET_S_QOSS_H_BU</vt:lpstr>
      <vt:lpstr>C_MOSFET_S_QOSS_L_BO</vt:lpstr>
      <vt:lpstr>C_MOSFET_S_QOSS_L_BU</vt:lpstr>
      <vt:lpstr>C_MOSFET_S_QRR_H_BO</vt:lpstr>
      <vt:lpstr>C_MOSFET_S_QRR_L_BU</vt:lpstr>
      <vt:lpstr>C_MOSFET_S_RDSON_H_BO</vt:lpstr>
      <vt:lpstr>C_MOSFET_S_RDSON_H_BU</vt:lpstr>
      <vt:lpstr>C_MOSFET_S_RDSON_L_BO</vt:lpstr>
      <vt:lpstr>C_MOSFET_S_RDSON_L_BU</vt:lpstr>
      <vt:lpstr>C_MOSFET_S_VSD_H_BO</vt:lpstr>
      <vt:lpstr>C_MOSFET_S_VSD_H_BU</vt:lpstr>
      <vt:lpstr>C_MOSFET_S_VSD_L_BO</vt:lpstr>
      <vt:lpstr>C_MOSFET_S_VSD_L_BU</vt:lpstr>
      <vt:lpstr>C_MOSFET_S_VTH_H_BO</vt:lpstr>
      <vt:lpstr>C_MOSFET_S_VTH_H_BU</vt:lpstr>
      <vt:lpstr>C_MOSFET_S_VTH_L_BO</vt:lpstr>
      <vt:lpstr>C_MOSFET_S_VTH_L_BU</vt:lpstr>
      <vt:lpstr>C_OUT</vt:lpstr>
      <vt:lpstr>C_QG_10_H_BO</vt:lpstr>
      <vt:lpstr>C_QG_10_H_BU</vt:lpstr>
      <vt:lpstr>C_QG_10_L_BO</vt:lpstr>
      <vt:lpstr>C_QG_10_L_BU</vt:lpstr>
      <vt:lpstr>C_QG_4P5_H_BO</vt:lpstr>
      <vt:lpstr>C_QG_4P5_H_BU</vt:lpstr>
      <vt:lpstr>C_QG_4P5_L_BO</vt:lpstr>
      <vt:lpstr>C_QG_4P5_L_BU</vt:lpstr>
      <vt:lpstr>C_QG_C_H_BO</vt:lpstr>
      <vt:lpstr>C_QG_C_H_BU</vt:lpstr>
      <vt:lpstr>C_QG_C_L_BO</vt:lpstr>
      <vt:lpstr>C_QG_C_L_BU</vt:lpstr>
      <vt:lpstr>C_QGD_H_BO</vt:lpstr>
      <vt:lpstr>C_QGD_H_BU</vt:lpstr>
      <vt:lpstr>C_QGD_L_BO</vt:lpstr>
      <vt:lpstr>C_QGD_L_BU</vt:lpstr>
      <vt:lpstr>C_RDS_10_H_BO</vt:lpstr>
      <vt:lpstr>C_RDS_10_H_BU</vt:lpstr>
      <vt:lpstr>C_RDS_10_L_BO</vt:lpstr>
      <vt:lpstr>C_RDS_10_L_BU</vt:lpstr>
      <vt:lpstr>C_RDS_4P5_H_BO</vt:lpstr>
      <vt:lpstr>C_RDS_4P5_H_BU</vt:lpstr>
      <vt:lpstr>C_RDS_4P5_L_BO</vt:lpstr>
      <vt:lpstr>C_RDS_4P5_L_BU</vt:lpstr>
      <vt:lpstr>C_RDS_C_H_BO</vt:lpstr>
      <vt:lpstr>C_RDS_C_H_BU</vt:lpstr>
      <vt:lpstr>C_RDS_C_L_BO</vt:lpstr>
      <vt:lpstr>C_RDS_C_L_BU</vt:lpstr>
      <vt:lpstr>CLR_Save</vt:lpstr>
      <vt:lpstr>Compare_MOSFET</vt:lpstr>
      <vt:lpstr>COUT_ESR</vt:lpstr>
      <vt:lpstr>Custom_MOSFET</vt:lpstr>
      <vt:lpstr>Desired_Fsw</vt:lpstr>
      <vt:lpstr>Desired_Operation</vt:lpstr>
      <vt:lpstr>Fsw</vt:lpstr>
      <vt:lpstr>ILmax</vt:lpstr>
      <vt:lpstr>Ioutmax</vt:lpstr>
      <vt:lpstr>Ipkpk_VACnom</vt:lpstr>
      <vt:lpstr>Isat</vt:lpstr>
      <vt:lpstr>L</vt:lpstr>
      <vt:lpstr>L_DRC</vt:lpstr>
      <vt:lpstr>MOSFET_S</vt:lpstr>
      <vt:lpstr>R_FB_BOT</vt:lpstr>
      <vt:lpstr>R_FB_BOT_Ideal</vt:lpstr>
      <vt:lpstr>R_FB_TOP</vt:lpstr>
      <vt:lpstr>R_FBG</vt:lpstr>
      <vt:lpstr>RAC_SNS</vt:lpstr>
      <vt:lpstr>RAC1_R</vt:lpstr>
      <vt:lpstr>RAC1_S</vt:lpstr>
      <vt:lpstr>RAC2_R</vt:lpstr>
      <vt:lpstr>RAC2_S</vt:lpstr>
      <vt:lpstr>RAC3_R</vt:lpstr>
      <vt:lpstr>RAC3_S</vt:lpstr>
      <vt:lpstr>RBAT_SNS</vt:lpstr>
      <vt:lpstr>RFB_BOT_R</vt:lpstr>
      <vt:lpstr>RFB_TOP_R</vt:lpstr>
      <vt:lpstr>RIIN</vt:lpstr>
      <vt:lpstr>RIOUT</vt:lpstr>
      <vt:lpstr>RT1_Ideal_TH</vt:lpstr>
      <vt:lpstr>RT1_R</vt:lpstr>
      <vt:lpstr>RT1_TH_S</vt:lpstr>
      <vt:lpstr>RT1_TH_S_MAX</vt:lpstr>
      <vt:lpstr>RT1_TH_S_MIN</vt:lpstr>
      <vt:lpstr>RT2_Ideal_TH</vt:lpstr>
      <vt:lpstr>RT2_R</vt:lpstr>
      <vt:lpstr>RT2_TH_MIN</vt:lpstr>
      <vt:lpstr>RT2_TH_S</vt:lpstr>
      <vt:lpstr>RT2_TH_S_MAX</vt:lpstr>
      <vt:lpstr>RTHCOLD</vt:lpstr>
      <vt:lpstr>RTHCOLD_TH</vt:lpstr>
      <vt:lpstr>RTHHOT</vt:lpstr>
      <vt:lpstr>RTHHOT_TH</vt:lpstr>
      <vt:lpstr>Save</vt:lpstr>
      <vt:lpstr>Save_Sel</vt:lpstr>
      <vt:lpstr>T_50_P</vt:lpstr>
      <vt:lpstr>T_60</vt:lpstr>
      <vt:lpstr>T_600</vt:lpstr>
      <vt:lpstr>T_65</vt:lpstr>
      <vt:lpstr>T1_0</vt:lpstr>
      <vt:lpstr>T1_0_P</vt:lpstr>
      <vt:lpstr>T1_0_PERCENT</vt:lpstr>
      <vt:lpstr>T1_0_TEMP</vt:lpstr>
      <vt:lpstr>T1_5</vt:lpstr>
      <vt:lpstr>T1_5_P</vt:lpstr>
      <vt:lpstr>T1_5_PERCENT</vt:lpstr>
      <vt:lpstr>T1_5_TEMP</vt:lpstr>
      <vt:lpstr>T1_N_TEMP</vt:lpstr>
      <vt:lpstr>T1_N10</vt:lpstr>
      <vt:lpstr>T1_N10_P</vt:lpstr>
      <vt:lpstr>T1_N10_PERCENT</vt:lpstr>
      <vt:lpstr>T1_N10_TEMP</vt:lpstr>
      <vt:lpstr>T1_N5</vt:lpstr>
      <vt:lpstr>T1_N5_P</vt:lpstr>
      <vt:lpstr>T1_N5_PERCENT</vt:lpstr>
      <vt:lpstr>T1_P_Select</vt:lpstr>
      <vt:lpstr>T1_S</vt:lpstr>
      <vt:lpstr>T1_T_N10</vt:lpstr>
      <vt:lpstr>T1_TE</vt:lpstr>
      <vt:lpstr>T1_TEMP</vt:lpstr>
      <vt:lpstr>T1_TEMP__10</vt:lpstr>
      <vt:lpstr>T1_TEMP_0</vt:lpstr>
      <vt:lpstr>T1_TEMP_N10</vt:lpstr>
      <vt:lpstr>T1_TEMP_Neg_5</vt:lpstr>
      <vt:lpstr>T2_10_PERCENT</vt:lpstr>
      <vt:lpstr>T2_10_TEMP</vt:lpstr>
      <vt:lpstr>T2_15_PERCENT</vt:lpstr>
      <vt:lpstr>T2_15_TEMP</vt:lpstr>
      <vt:lpstr>T2_20_PERCENT</vt:lpstr>
      <vt:lpstr>T2_20_TEMP</vt:lpstr>
      <vt:lpstr>T2_5_PERCENT</vt:lpstr>
      <vt:lpstr>T2_5_TEMP</vt:lpstr>
      <vt:lpstr>T2_S</vt:lpstr>
      <vt:lpstr>T3_40_PERCENT</vt:lpstr>
      <vt:lpstr>T3_40_TEMP</vt:lpstr>
      <vt:lpstr>T3_45_PERCENT</vt:lpstr>
      <vt:lpstr>T3_45_TEMP</vt:lpstr>
      <vt:lpstr>T3_50_PERCENT</vt:lpstr>
      <vt:lpstr>T3_50_TEMP</vt:lpstr>
      <vt:lpstr>T3_55_PERCENT</vt:lpstr>
      <vt:lpstr>T3_55_TEMP</vt:lpstr>
      <vt:lpstr>T3_S</vt:lpstr>
      <vt:lpstr>T5_50</vt:lpstr>
      <vt:lpstr>T5_50_PERCENT</vt:lpstr>
      <vt:lpstr>T5_50_TEMP</vt:lpstr>
      <vt:lpstr>T5_55</vt:lpstr>
      <vt:lpstr>T5_55_P</vt:lpstr>
      <vt:lpstr>T5_55_PERCENT</vt:lpstr>
      <vt:lpstr>T5_55_TEMP</vt:lpstr>
      <vt:lpstr>T5_60</vt:lpstr>
      <vt:lpstr>T5_60_P</vt:lpstr>
      <vt:lpstr>T5_60_PERCENT</vt:lpstr>
      <vt:lpstr>T5_60_TEMP</vt:lpstr>
      <vt:lpstr>T5_65</vt:lpstr>
      <vt:lpstr>T5_65_P</vt:lpstr>
      <vt:lpstr>T5_65_PERCENT</vt:lpstr>
      <vt:lpstr>T5_65_TEMP</vt:lpstr>
      <vt:lpstr>T5_P_Select</vt:lpstr>
      <vt:lpstr>T5_S</vt:lpstr>
      <vt:lpstr>TCOLD</vt:lpstr>
      <vt:lpstr>THOT</vt:lpstr>
      <vt:lpstr>TI_MOSFET</vt:lpstr>
      <vt:lpstr>TI_MOSFET_S_gFS_H_BO</vt:lpstr>
      <vt:lpstr>TI_MOSFET_S_gFS_H_BU</vt:lpstr>
      <vt:lpstr>TI_MOSFET_S_gFS_L_BO</vt:lpstr>
      <vt:lpstr>TI_MOSFET_S_gFS_L_BU</vt:lpstr>
      <vt:lpstr>TI_MOSFET_S_QG_H_BO</vt:lpstr>
      <vt:lpstr>TI_MOSFET_S_QG_H_BU</vt:lpstr>
      <vt:lpstr>TI_MOSFET_S_QG_L_BO</vt:lpstr>
      <vt:lpstr>TI_MOSFET_S_QG_L_BU</vt:lpstr>
      <vt:lpstr>TI_MOSFET_S_QGD_H_BO</vt:lpstr>
      <vt:lpstr>TI_MOSFET_S_QGD_H_BU</vt:lpstr>
      <vt:lpstr>TI_MOSFET_S_QGD_L_BO</vt:lpstr>
      <vt:lpstr>TI_MOSFET_S_QGD_L_BU</vt:lpstr>
      <vt:lpstr>TI_MOSFET_S_QGS_H_BO</vt:lpstr>
      <vt:lpstr>TI_MOSFET_S_QGS_H_BU</vt:lpstr>
      <vt:lpstr>TI_MOSFET_S_QGS_L_BO</vt:lpstr>
      <vt:lpstr>TI_MOSFET_S_QGS_L_BU</vt:lpstr>
      <vt:lpstr>TI_MOSFET_S_QOSS_H_BO</vt:lpstr>
      <vt:lpstr>TI_MOSFET_S_QOSS_H_BU</vt:lpstr>
      <vt:lpstr>TI_MOSFET_S_QOSS_L_BO</vt:lpstr>
      <vt:lpstr>TI_MOSFET_S_QOSS_L_BU</vt:lpstr>
      <vt:lpstr>TI_MOSFET_S_QRR_H_BO</vt:lpstr>
      <vt:lpstr>TI_MOSFET_S_QRR_L_BU</vt:lpstr>
      <vt:lpstr>TI_MOSFET_S_RDSON_H_BO</vt:lpstr>
      <vt:lpstr>TI_MOSFET_S_RDSON_H_BU</vt:lpstr>
      <vt:lpstr>TI_MOSFET_S_RDSON_L_BO</vt:lpstr>
      <vt:lpstr>TI_MOSFET_S_RDSON_L_BU</vt:lpstr>
      <vt:lpstr>TI_MOSFET_S_VSD_H_BO</vt:lpstr>
      <vt:lpstr>TI_MOSFET_S_VSD_H_BU</vt:lpstr>
      <vt:lpstr>TI_MOSFET_S_VSD_L_BO</vt:lpstr>
      <vt:lpstr>TI_MOSFET_S_VSD_L_BU</vt:lpstr>
      <vt:lpstr>TI_MOSFET_S_VTH_H_BO</vt:lpstr>
      <vt:lpstr>TI_MOSFET_S_VTH_H_BU</vt:lpstr>
      <vt:lpstr>TI_MOSFET_S_VTH_L_BO</vt:lpstr>
      <vt:lpstr>TI_MOSFET_S_VTH_L_BU</vt:lpstr>
      <vt:lpstr>TI_QG_10_H_BO</vt:lpstr>
      <vt:lpstr>TI_QG_10_H_BU</vt:lpstr>
      <vt:lpstr>TI_QG_10_L_BO</vt:lpstr>
      <vt:lpstr>TI_QG_10_L_BU</vt:lpstr>
      <vt:lpstr>TI_QG_4P5_H_BO</vt:lpstr>
      <vt:lpstr>TI_QG_4P5_H_BU</vt:lpstr>
      <vt:lpstr>TI_QG_4P5_L_BO</vt:lpstr>
      <vt:lpstr>TI_QG_4P5_L_BU</vt:lpstr>
      <vt:lpstr>TI_QG_C_H_BO</vt:lpstr>
      <vt:lpstr>TI_QG_C_H_BU</vt:lpstr>
      <vt:lpstr>TI_QG_C_L_BO</vt:lpstr>
      <vt:lpstr>TI_QG_C_L_BU</vt:lpstr>
      <vt:lpstr>TI_QGD_H_BO</vt:lpstr>
      <vt:lpstr>TI_QGD_H_BU</vt:lpstr>
      <vt:lpstr>TI_QGD_L_BO</vt:lpstr>
      <vt:lpstr>TI_QGD_L_BU</vt:lpstr>
      <vt:lpstr>TI_RDS_10_H_BO</vt:lpstr>
      <vt:lpstr>TI_RDS_10_H_BU</vt:lpstr>
      <vt:lpstr>TI_RDS_10_L_BO</vt:lpstr>
      <vt:lpstr>TI_RDS_10_L_BU</vt:lpstr>
      <vt:lpstr>TI_RDS_4P5_H_BO</vt:lpstr>
      <vt:lpstr>TI_RDS_4P5_H_BU</vt:lpstr>
      <vt:lpstr>TI_RDS_4P5_L_BO</vt:lpstr>
      <vt:lpstr>TI_RDS_4P5_L_BU</vt:lpstr>
      <vt:lpstr>TI_RDS_C_H_BO</vt:lpstr>
      <vt:lpstr>TI_RDS_C_H_BU</vt:lpstr>
      <vt:lpstr>TI_RDS_C_L_BO</vt:lpstr>
      <vt:lpstr>TI_RDS_C_L_BU</vt:lpstr>
      <vt:lpstr>V_FB_CEILING</vt:lpstr>
      <vt:lpstr>V_FB_FLOOR</vt:lpstr>
      <vt:lpstr>V_FB_Ideal</vt:lpstr>
      <vt:lpstr>V_FB_Step</vt:lpstr>
      <vt:lpstr>VACmax</vt:lpstr>
      <vt:lpstr>VACmin</vt:lpstr>
      <vt:lpstr>VACnom</vt:lpstr>
      <vt:lpstr>Vbat</vt:lpstr>
      <vt:lpstr>VBATREG</vt:lpstr>
      <vt:lpstr>VBATREG_CEILING</vt:lpstr>
      <vt:lpstr>VBATREG_D</vt:lpstr>
      <vt:lpstr>VBATREG_FLOOR</vt:lpstr>
      <vt:lpstr>VFB_Default</vt:lpstr>
      <vt:lpstr>VFB_S</vt:lpstr>
      <vt:lpstr>Vgs_10</vt:lpstr>
      <vt:lpstr>Vgs_4P5</vt:lpstr>
      <vt:lpstr>Vgs_C</vt:lpstr>
      <vt:lpstr>VGS_S</vt:lpstr>
    </vt:vector>
  </TitlesOfParts>
  <Manager/>
  <Company>Texas Instruments Inc.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Rook, Jacob</dc:creator>
  <cp:keywords/>
  <dc:description/>
  <cp:lastModifiedBy>Farris Matar</cp:lastModifiedBy>
  <cp:revision/>
  <dcterms:created xsi:type="dcterms:W3CDTF">2023-06-07T12:11:18Z</dcterms:created>
  <dcterms:modified xsi:type="dcterms:W3CDTF">2025-02-13T00:15:14Z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0x010100694BDB0366CFF449BFF6BB5BED1ACE66</vt:lpwstr>
  </property>
</Properties>
</file>