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maz/Files/Teaching/Industrial Engineering/2022/"/>
    </mc:Choice>
  </mc:AlternateContent>
  <xr:revisionPtr revIDLastSave="0" documentId="13_ncr:1_{85011325-00B4-8E42-9E76-B435D24FCD9E}" xr6:coauthVersionLast="47" xr6:coauthVersionMax="47" xr10:uidLastSave="{00000000-0000-0000-0000-000000000000}"/>
  <bookViews>
    <workbookView xWindow="-40960" yWindow="500" windowWidth="40960" windowHeight="22540" activeTab="1" xr2:uid="{E9FAC7DC-816A-4D92-85BA-D02FFE3BF2CD}"/>
  </bookViews>
  <sheets>
    <sheet name="Functions" sheetId="1" r:id="rId1"/>
    <sheet name="Tables and Examples" sheetId="2" r:id="rId2"/>
    <sheet name="Challen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2" l="1"/>
  <c r="L9" i="2"/>
  <c r="L32" i="2"/>
  <c r="L4" i="2"/>
  <c r="T1" i="2" l="1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L29" i="2" l="1" a="1"/>
  <c r="L29" i="2" s="1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8" i="2"/>
  <c r="L11" i="2"/>
  <c r="L10" i="2"/>
  <c r="L7" i="2"/>
  <c r="L6" i="2"/>
  <c r="L5" i="2"/>
  <c r="L3" i="2"/>
  <c r="L2" i="2"/>
  <c r="P31" i="2" l="1"/>
  <c r="L31" i="2"/>
  <c r="M30" i="2"/>
  <c r="N29" i="2"/>
  <c r="M31" i="2"/>
  <c r="N30" i="2"/>
  <c r="O29" i="2"/>
  <c r="O31" i="2"/>
  <c r="P30" i="2"/>
  <c r="L30" i="2"/>
  <c r="M29" i="2"/>
  <c r="N31" i="2"/>
  <c r="O30" i="2"/>
  <c r="P29" i="2"/>
</calcChain>
</file>

<file path=xl/sharedStrings.xml><?xml version="1.0" encoding="utf-8"?>
<sst xmlns="http://schemas.openxmlformats.org/spreadsheetml/2006/main" count="466" uniqueCount="321">
  <si>
    <t>SUM</t>
  </si>
  <si>
    <t>the sum of values supplied</t>
  </si>
  <si>
    <t>SUM(number1, [number2], [number3],…)</t>
  </si>
  <si>
    <t>TRANSPOSE</t>
  </si>
  <si>
    <t>an array in a new orientation</t>
  </si>
  <si>
    <t>TRANSPOSE(array)</t>
  </si>
  <si>
    <t>COUNTA</t>
  </si>
  <si>
    <t>COUNTA(value1, [value2],…)</t>
  </si>
  <si>
    <t>IF</t>
  </si>
  <si>
    <t>IF(logical_test, [value_if_true], [value_if_false]</t>
  </si>
  <si>
    <t>Score</t>
  </si>
  <si>
    <t>Result</t>
  </si>
  <si>
    <t>David</t>
  </si>
  <si>
    <t>COUNTIF</t>
  </si>
  <si>
    <t>a number representing cells counted</t>
  </si>
  <si>
    <t xml:space="preserve">COUNTIF(range, criteria) </t>
  </si>
  <si>
    <t>Alan</t>
  </si>
  <si>
    <t>SUMIF</t>
  </si>
  <si>
    <t>SUMIF(range, criteria, [sum_range])</t>
  </si>
  <si>
    <t>Ramsey</t>
  </si>
  <si>
    <t>Calvin</t>
  </si>
  <si>
    <t>REPT</t>
  </si>
  <si>
    <t>the repeated text</t>
  </si>
  <si>
    <t>REPT(text, number_times)</t>
  </si>
  <si>
    <t>VLOOKUP</t>
  </si>
  <si>
    <t>The matched value from a table</t>
  </si>
  <si>
    <t>VLOOKUP(value, table, col_index, [range_lookup])</t>
  </si>
  <si>
    <t>First Name</t>
  </si>
  <si>
    <t>Last Name</t>
  </si>
  <si>
    <t>Major</t>
  </si>
  <si>
    <t>Walker</t>
  </si>
  <si>
    <t>Garrix</t>
  </si>
  <si>
    <t>Sam</t>
  </si>
  <si>
    <t>Feldt</t>
  </si>
  <si>
    <t>Gareth</t>
  </si>
  <si>
    <t>Bale</t>
  </si>
  <si>
    <t>IFERROR</t>
  </si>
  <si>
    <t>trap and handle errors (get rid of “Not Applicable” errors)</t>
  </si>
  <si>
    <t>the value you specify for error conditions</t>
  </si>
  <si>
    <t>IFERROR(value, value_if_error)</t>
  </si>
  <si>
    <t>ROUND</t>
  </si>
  <si>
    <t>round a number to a given number of digits</t>
  </si>
  <si>
    <t>a rounded number</t>
  </si>
  <si>
    <t>ROUND(number, num_digits)</t>
  </si>
  <si>
    <t>Notes</t>
  </si>
  <si>
    <t>ROUNDUP</t>
  </si>
  <si>
    <t>ROUNDUP (number, num_digits)</t>
  </si>
  <si>
    <t>COLUMN</t>
  </si>
  <si>
    <t>get the column number of a reference</t>
  </si>
  <si>
    <t>a number representing the column</t>
  </si>
  <si>
    <t>COLUMN([reference])</t>
  </si>
  <si>
    <t>Formula</t>
  </si>
  <si>
    <t>MAX/MIN</t>
  </si>
  <si>
    <t>get the largest/the smallest value</t>
  </si>
  <si>
    <t>the largest/the smallest value in the array</t>
  </si>
  <si>
    <t>MAX(number1, [number2],…) / MIN(number1, [number2],…)</t>
  </si>
  <si>
    <t>Frank</t>
  </si>
  <si>
    <t>VALUE</t>
  </si>
  <si>
    <t>convert text to a number</t>
  </si>
  <si>
    <t>a numeric value</t>
  </si>
  <si>
    <t>VALUE(text)</t>
  </si>
  <si>
    <t>LEFT</t>
  </si>
  <si>
    <t>Extract text from left of a string</t>
  </si>
  <si>
    <t>one or more characters</t>
  </si>
  <si>
    <t>LEFT(text, [num_chars])</t>
  </si>
  <si>
    <t>Industrial Engineering</t>
  </si>
  <si>
    <t>MID</t>
  </si>
  <si>
    <t>extract text from inside a string</t>
  </si>
  <si>
    <t>the characters extracted</t>
  </si>
  <si>
    <t>MID(text, start_num, num_chars)</t>
  </si>
  <si>
    <t>HLOOKUP</t>
  </si>
  <si>
    <t xml:space="preserve">look up a value in a table by matching on the first row </t>
  </si>
  <si>
    <t>the matched value from a table</t>
  </si>
  <si>
    <t>HLOOKUP(value, table, row_index, [range_lookup])</t>
  </si>
  <si>
    <t>INDEX</t>
  </si>
  <si>
    <t>get a value in a list or table based on location</t>
  </si>
  <si>
    <t>the value at a given position</t>
  </si>
  <si>
    <t>INDEX(array, row_num, [col_num], [area_num])</t>
  </si>
  <si>
    <t>MATCH</t>
  </si>
  <si>
    <t>get the position of an item in an array</t>
  </si>
  <si>
    <t>a number representing a position in lookup_array</t>
  </si>
  <si>
    <t>MATCH(lookup_value, lookup_array, [match_type])</t>
  </si>
  <si>
    <t>SMALL</t>
  </si>
  <si>
    <t>get the nth smallest value</t>
  </si>
  <si>
    <t>the nth smallest value in the array</t>
  </si>
  <si>
    <t>SMALL(array, n)</t>
  </si>
  <si>
    <t>ROW</t>
  </si>
  <si>
    <t>get the row number of a reference</t>
  </si>
  <si>
    <t>a number representing the row</t>
  </si>
  <si>
    <t>ROW([reference])</t>
  </si>
  <si>
    <t>ROWS</t>
  </si>
  <si>
    <t>get the number of rows in an array or reference</t>
  </si>
  <si>
    <t>number of rows</t>
  </si>
  <si>
    <t>ROWS(array)</t>
  </si>
  <si>
    <t>LARGE</t>
  </si>
  <si>
    <t>get the nth largest value</t>
  </si>
  <si>
    <t>the nth highest value in the array</t>
  </si>
  <si>
    <t>LARGE(array, n)</t>
  </si>
  <si>
    <t>SUMIFS</t>
  </si>
  <si>
    <t>sum cells that match multiple criteria</t>
  </si>
  <si>
    <t>the sum of the cells that meet all criteria</t>
  </si>
  <si>
    <t>SUMIFS(sum_range, range1, criteria1, [range2], [criteria2], …)</t>
  </si>
  <si>
    <t>CHOOSE</t>
  </si>
  <si>
    <t>the value at the given position</t>
  </si>
  <si>
    <t>CHOOSE(index_num, value1, [value2],…)</t>
  </si>
  <si>
    <t>CONCATENATE</t>
  </si>
  <si>
    <t>join text together</t>
  </si>
  <si>
    <t>text joined together</t>
  </si>
  <si>
    <t>CONCATENATE(text1, text2, [text3],…)</t>
  </si>
  <si>
    <t>EXP</t>
  </si>
  <si>
    <t>find the value of e raised to the power of a number</t>
  </si>
  <si>
    <t>the constant e raised to the power of a number</t>
  </si>
  <si>
    <t>EXP(number)</t>
  </si>
  <si>
    <r>
      <t>You have to enter the TRANSPOSE function as an </t>
    </r>
    <r>
      <rPr>
        <i/>
        <sz val="12"/>
        <rFont val="Calibri"/>
        <family val="2"/>
        <scheme val="minor"/>
      </rPr>
      <t>array formula</t>
    </r>
    <r>
      <rPr>
        <sz val="12"/>
        <rFont val="Calibri"/>
        <family val="2"/>
        <scheme val="minor"/>
      </rPr>
      <t> that contains same number of cells as array, using Control + Shift + Enter.</t>
    </r>
  </si>
  <si>
    <t xml:space="preserve">Aaron </t>
  </si>
  <si>
    <t>Martin</t>
  </si>
  <si>
    <t>Villa</t>
  </si>
  <si>
    <t>Tim</t>
  </si>
  <si>
    <t>Berg</t>
  </si>
  <si>
    <t xml:space="preserve">David </t>
  </si>
  <si>
    <t>Guetta</t>
  </si>
  <si>
    <t>Alcantara</t>
  </si>
  <si>
    <t>Thiago</t>
  </si>
  <si>
    <t>International Business Administration</t>
  </si>
  <si>
    <t>Economics</t>
  </si>
  <si>
    <t>Electrical Engineering</t>
  </si>
  <si>
    <t>Computer Science</t>
  </si>
  <si>
    <t>Psychology</t>
  </si>
  <si>
    <t>Biochemistry and Cell Biology</t>
  </si>
  <si>
    <t>Emily</t>
  </si>
  <si>
    <t>Warren</t>
  </si>
  <si>
    <t>Romero</t>
  </si>
  <si>
    <t>Lukaku</t>
  </si>
  <si>
    <t>Andrea</t>
  </si>
  <si>
    <t>Pirlo</t>
  </si>
  <si>
    <t>Robin</t>
  </si>
  <si>
    <t>Schulz</t>
  </si>
  <si>
    <t>Mauro</t>
  </si>
  <si>
    <t>Icardi</t>
  </si>
  <si>
    <t>Steve</t>
  </si>
  <si>
    <t>Aoki</t>
  </si>
  <si>
    <t>Lucas</t>
  </si>
  <si>
    <t>Moura</t>
  </si>
  <si>
    <t>Raul</t>
  </si>
  <si>
    <t>Garcia</t>
  </si>
  <si>
    <t>Alvarez</t>
  </si>
  <si>
    <t>Saul</t>
  </si>
  <si>
    <t>Christian</t>
  </si>
  <si>
    <t>Eriksen</t>
  </si>
  <si>
    <t>Harris</t>
  </si>
  <si>
    <t>Oliver</t>
  </si>
  <si>
    <t>Heldens</t>
  </si>
  <si>
    <t>Dimitri</t>
  </si>
  <si>
    <t>Vegas</t>
  </si>
  <si>
    <t>Felix</t>
  </si>
  <si>
    <t>Laet</t>
  </si>
  <si>
    <t>Andrew</t>
  </si>
  <si>
    <t>Taggart</t>
  </si>
  <si>
    <t>Jack</t>
  </si>
  <si>
    <t>Wilshere</t>
  </si>
  <si>
    <t>Miralem</t>
  </si>
  <si>
    <t>Pjanic</t>
  </si>
  <si>
    <t>Ribery</t>
  </si>
  <si>
    <t>Kevin</t>
  </si>
  <si>
    <t>De Bruyne</t>
  </si>
  <si>
    <t>Hernandes</t>
  </si>
  <si>
    <t>Xavi</t>
  </si>
  <si>
    <t>Sebastian</t>
  </si>
  <si>
    <t>Ingrosso</t>
  </si>
  <si>
    <t>Mathematics</t>
  </si>
  <si>
    <t>Robotics and Intelligent Systems</t>
  </si>
  <si>
    <t>Intelligent Mobile Systems</t>
  </si>
  <si>
    <t>Chemistry</t>
  </si>
  <si>
    <t>Physics</t>
  </si>
  <si>
    <t>Medical Natural Sciences</t>
  </si>
  <si>
    <t>Earth and Environmental Sciences</t>
  </si>
  <si>
    <t>Chemistry and Biotechnology</t>
  </si>
  <si>
    <t>Media and Politics</t>
  </si>
  <si>
    <t>Integrated Social Sciences</t>
  </si>
  <si>
    <t>Cognitive Psychology</t>
  </si>
  <si>
    <t>International Relations</t>
  </si>
  <si>
    <t>Industrial Engineering and Management</t>
  </si>
  <si>
    <t>Politics and History</t>
  </si>
  <si>
    <t>Mechanical Engineering</t>
  </si>
  <si>
    <t>Consulting</t>
  </si>
  <si>
    <t>Marketing</t>
  </si>
  <si>
    <t>Function</t>
  </si>
  <si>
    <t>SUM(E2:E31)</t>
  </si>
  <si>
    <t>Calculate the sum of the scores</t>
  </si>
  <si>
    <t>Matriculation Number</t>
  </si>
  <si>
    <t>Purpose</t>
  </si>
  <si>
    <t>Return value</t>
  </si>
  <si>
    <t>Syntax</t>
  </si>
  <si>
    <t>Usage notes</t>
  </si>
  <si>
    <t>Count the number of non-blank cells of the range "F2:F31"</t>
  </si>
  <si>
    <t>COUNTA(F2:F31)</t>
  </si>
  <si>
    <t xml:space="preserve">Determine whether Emily Warren passed or failed </t>
  </si>
  <si>
    <t>Assignment Grade</t>
  </si>
  <si>
    <t>IF(F4&gt;=45%, "Pass", "Fail")</t>
  </si>
  <si>
    <t>COUNTIF(E2:E31, "&lt;40")</t>
  </si>
  <si>
    <t xml:space="preserve">Count scores if they are less than 40 </t>
  </si>
  <si>
    <t>Find the sum of scores if they are more than 90</t>
  </si>
  <si>
    <t>SUMIF(E2:E31, "&gt;90")</t>
  </si>
  <si>
    <t>REPT(A10, 4)</t>
  </si>
  <si>
    <t>Repeat "Robin" 4 times</t>
  </si>
  <si>
    <t>IFERROR(E4/E16, "")</t>
  </si>
  <si>
    <t>ROUND(E4, 1)</t>
  </si>
  <si>
    <t>ROUNDUP(E10, -1)</t>
  </si>
  <si>
    <t>VLOOKUP(A9, A2:F31, 4, 0)</t>
  </si>
  <si>
    <t>COLUMN(C8)</t>
  </si>
  <si>
    <t>MAX</t>
  </si>
  <si>
    <t>MAX(F2:F31)</t>
  </si>
  <si>
    <t>Get the largest value in the "Assignment Grade" column</t>
  </si>
  <si>
    <t>MIN</t>
  </si>
  <si>
    <t>Get the smallest value in the "Assignment Grade" column</t>
  </si>
  <si>
    <t>MIN(F2:F31)</t>
  </si>
  <si>
    <t>VALUE(F10)</t>
  </si>
  <si>
    <t>LEFT(D13, 10)</t>
  </si>
  <si>
    <t>MID(D19, 11, 13)</t>
  </si>
  <si>
    <t>Extract left 10 characters from Aaron's major</t>
  </si>
  <si>
    <t>Extract "Environmental" from inside "Earth and Environmental Sciences"</t>
  </si>
  <si>
    <t>Matricluation Number</t>
  </si>
  <si>
    <t>HLOOKUP(C26, A34:F35, 2, 0)</t>
  </si>
  <si>
    <t>Table 2:</t>
  </si>
  <si>
    <t xml:space="preserve">Pick "50504062" from the main table and return the matched First Name from "Table 2" </t>
  </si>
  <si>
    <t>INDEX(A2:F31, 9, 4)</t>
  </si>
  <si>
    <t>MATCH(A29, A2:A31, 0)</t>
  </si>
  <si>
    <t>Get the position of "Tim" in the range A2:A31</t>
  </si>
  <si>
    <t>SMALL(E2:E31, 2)</t>
  </si>
  <si>
    <t>Get the 2nd smallest score from the main table</t>
  </si>
  <si>
    <t>Get David's row number</t>
  </si>
  <si>
    <t>ROW(A23)</t>
  </si>
  <si>
    <t>ROWS(C2:F15)</t>
  </si>
  <si>
    <t>Get the number of rows in the range C2:F15</t>
  </si>
  <si>
    <t>LARGE(E2:E31, 1)</t>
  </si>
  <si>
    <t>Get the 1st largest score from the main table</t>
  </si>
  <si>
    <t>SUMIFS(E2:E31, D2:D31, "International Business Administration")</t>
  </si>
  <si>
    <t>CHOOSE(1, "Martin", "Aaron", "Gareth")</t>
  </si>
  <si>
    <t xml:space="preserve">Get "Martin" from the list ("Martin", "Aaron", "Gareth") </t>
  </si>
  <si>
    <t>CONCATENATE(A6, " and ", A12)</t>
  </si>
  <si>
    <t>Join "David" and "Frank" together</t>
  </si>
  <si>
    <t>EXP(E16)</t>
  </si>
  <si>
    <t>Find the value of e raised to the power of 0</t>
  </si>
  <si>
    <t>TRANSPOSE(B2:D6)</t>
  </si>
  <si>
    <t>Flip the orientation of the range B2:D6</t>
  </si>
  <si>
    <t>The Dollar signs tell Excel that you want to fix a specific part of a cell location and stop it from changing when you drag or copy the formula to other cells.</t>
  </si>
  <si>
    <t>The Dollar Sign ($)</t>
  </si>
  <si>
    <t>a number representing non-blank cells</t>
  </si>
  <si>
    <t>the values you supply for TRUE or FALSE</t>
  </si>
  <si>
    <t>round a number up to a given number of digits</t>
  </si>
  <si>
    <t>repeat characters a given number of times</t>
  </si>
  <si>
    <t>sum numbers in a range that meet supplied criteria</t>
  </si>
  <si>
    <t>count cells that match criteria</t>
  </si>
  <si>
    <t>test for a specific condition</t>
  </si>
  <si>
    <t>count the number of non-blank cells</t>
  </si>
  <si>
    <t>flip the orientation of a range of cells</t>
  </si>
  <si>
    <t>add numbers together</t>
  </si>
  <si>
    <t>indicate Absolute References</t>
  </si>
  <si>
    <t xml:space="preserve">You can create a fixed point on the column or/and row position/(s) </t>
  </si>
  <si>
    <t>$A1 or A$1 or $A$1</t>
  </si>
  <si>
    <t>Bonus Point</t>
  </si>
  <si>
    <t>E2+$G$2</t>
  </si>
  <si>
    <t>Add bonus points to all scores</t>
  </si>
  <si>
    <t>Task</t>
  </si>
  <si>
    <t>Answer</t>
  </si>
  <si>
    <t>Final Score</t>
  </si>
  <si>
    <t>Repeat "Economics" 2 times</t>
  </si>
  <si>
    <t>Round the final score of Emily Warren to 1 decimal place</t>
  </si>
  <si>
    <t xml:space="preserve">Round up the final score of Robin Schulz to the nearest 10 </t>
  </si>
  <si>
    <t>Get the column number of "C8"</t>
  </si>
  <si>
    <t>Get the column number of "H14"</t>
  </si>
  <si>
    <t>Get the smallest value in the "Donation" column</t>
  </si>
  <si>
    <t>Convert the assignment grade of Robin Schulz to a number</t>
  </si>
  <si>
    <t xml:space="preserve">Convert the assignment grade of Sam Feldt to a number </t>
  </si>
  <si>
    <t>Extract left 4 characters of Gareth Bale's major</t>
  </si>
  <si>
    <t>Extract "Mobile" from inside of "Intelligent Mobile Systems"</t>
  </si>
  <si>
    <t>Count the number of the major "Mathematics" in the main table</t>
  </si>
  <si>
    <t>Table 2</t>
  </si>
  <si>
    <t>Get Jack's row number</t>
  </si>
  <si>
    <t>Sum final scores of the students majoring in "International Business Administration"</t>
  </si>
  <si>
    <t>Penalty</t>
  </si>
  <si>
    <t>get a value from a list of options based on an index number</t>
  </si>
  <si>
    <t>Count the numbers of non-blank cells of the range "G2:G31"</t>
  </si>
  <si>
    <t>Look up the matriculation number of Lucas Moura</t>
  </si>
  <si>
    <t>Look up "35967148" in column C (=Matriculation number) of the main table and return his/her score</t>
  </si>
  <si>
    <t>Look up "12345678" in column C and return his/her score and if it cannot be found return "Not Found"</t>
  </si>
  <si>
    <t>Advanced Answer (if applicable)</t>
  </si>
  <si>
    <t>Round the final score of Jack Wilshere to 1 decimal place</t>
  </si>
  <si>
    <t>Aaron</t>
  </si>
  <si>
    <t xml:space="preserve">Daily Spendings </t>
  </si>
  <si>
    <t>Find the sum of tall daily spendings</t>
  </si>
  <si>
    <t>Return "Yes" if Aaron Ramsey spent more than $70, otherwise return "No"</t>
  </si>
  <si>
    <t>Find the sum of daily spendings thar are less than $40 each</t>
  </si>
  <si>
    <t>Round up the final score of Dimitri Vegas to the nearest 10</t>
  </si>
  <si>
    <t>Get the largest value in the "Daily Spendings" column</t>
  </si>
  <si>
    <t>Spending</t>
  </si>
  <si>
    <t>Pick "Taggart" from the main table and return the matched spending from "Table 2"</t>
  </si>
  <si>
    <t>Get the value in row 9 and column 4 from the main table</t>
  </si>
  <si>
    <t>Get the the entry in row 6 and column 3 in the main table</t>
  </si>
  <si>
    <t>Get the position of "Cognitive Psychology" in the Major column</t>
  </si>
  <si>
    <t xml:space="preserve">Get the 7th smallest value of daily spendings in the main table </t>
  </si>
  <si>
    <t>Get the number of rows in the range "F4:G26"</t>
  </si>
  <si>
    <t>Get the 4th largest value of daily spendings in the main table</t>
  </si>
  <si>
    <t xml:space="preserve">Sum daily spendings of students majoring in "Earth and Environmental Sciences" </t>
  </si>
  <si>
    <t>Get the fifth entry from the list ("Robin", "Aaron", "Tim", "Sam", "Garcia", "Mauro")</t>
  </si>
  <si>
    <t>Return the first and last name of Martin Garrix</t>
  </si>
  <si>
    <t>Bonus</t>
  </si>
  <si>
    <t>Final Grade</t>
  </si>
  <si>
    <t>Calculate the final grade in column H by adding the attendance grade (that accounts for 20%) to all assignment grades and subtracting penalty</t>
  </si>
  <si>
    <t>Flip/transpose the orientation of the range "C5:D10"</t>
  </si>
  <si>
    <t xml:space="preserve">Task (Cont´d) </t>
  </si>
  <si>
    <t>XLOOKUP</t>
  </si>
  <si>
    <t>look up a value in a table by matching on the first column</t>
  </si>
  <si>
    <t>look up a value in two freely defined colums</t>
  </si>
  <si>
    <t>The matched value from the defined column</t>
  </si>
  <si>
    <t>XLOOKUP(value, lookup_array, return_array, [if_not_found], [macth_mode], [search_mode])</t>
  </si>
  <si>
    <t>Lookup Calvin and return his corresponding grade</t>
  </si>
  <si>
    <t>XLOOKUP("Calvin", $A$2:$A$31, $F$2:$F$31, "N/A", 0, 1)</t>
  </si>
  <si>
    <t>Look up "Andrew" in the table and return the corresponding Major</t>
  </si>
  <si>
    <t>Get rid of the "#DIV/0!" error when dividing 23.78 by 0 and output "please check" instead</t>
  </si>
  <si>
    <t>Advanced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</si>
</sst>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5"/>
      <color theme="0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8" fillId="2" borderId="0" xfId="0" applyFont="1" applyFill="1"/>
    <xf numFmtId="0" fontId="9" fillId="0" borderId="0" xfId="0" applyFont="1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/>
    <xf numFmtId="0" fontId="10" fillId="0" borderId="0" xfId="0" applyFont="1"/>
    <xf numFmtId="0" fontId="5" fillId="0" borderId="0" xfId="0" applyFont="1"/>
    <xf numFmtId="9" fontId="5" fillId="0" borderId="0" xfId="0" applyNumberFormat="1" applyFont="1"/>
    <xf numFmtId="0" fontId="11" fillId="0" borderId="0" xfId="0" applyFont="1"/>
    <xf numFmtId="0" fontId="11" fillId="0" borderId="0" xfId="0" applyFont="1" applyFill="1"/>
    <xf numFmtId="0" fontId="4" fillId="0" borderId="1" xfId="0" applyFont="1" applyBorder="1"/>
    <xf numFmtId="0" fontId="5" fillId="0" borderId="1" xfId="0" applyFont="1" applyBorder="1"/>
    <xf numFmtId="164" fontId="5" fillId="0" borderId="0" xfId="0" applyNumberFormat="1" applyFont="1"/>
    <xf numFmtId="164" fontId="0" fillId="0" borderId="0" xfId="0" applyNumberFormat="1"/>
    <xf numFmtId="9" fontId="0" fillId="0" borderId="0" xfId="0" applyNumberFormat="1"/>
    <xf numFmtId="0" fontId="1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0" fontId="14" fillId="0" borderId="0" xfId="0" applyNumberFormat="1" applyFont="1"/>
    <xf numFmtId="164" fontId="15" fillId="0" borderId="0" xfId="0" applyNumberFormat="1" applyFont="1"/>
    <xf numFmtId="0" fontId="15" fillId="2" borderId="0" xfId="0" applyFont="1" applyFill="1"/>
    <xf numFmtId="0" fontId="15" fillId="0" borderId="0" xfId="0" applyFont="1"/>
    <xf numFmtId="0" fontId="13" fillId="3" borderId="11" xfId="0" applyFont="1" applyFill="1" applyBorder="1"/>
    <xf numFmtId="0" fontId="15" fillId="0" borderId="2" xfId="0" applyFont="1" applyBorder="1"/>
    <xf numFmtId="9" fontId="0" fillId="4" borderId="0" xfId="0" applyNumberFormat="1" applyFill="1"/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3" fillId="3" borderId="12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1" fillId="0" borderId="0" xfId="0" applyFont="1" applyFill="1"/>
    <xf numFmtId="0" fontId="0" fillId="0" borderId="2" xfId="0" applyBorder="1"/>
    <xf numFmtId="0" fontId="17" fillId="0" borderId="2" xfId="0" applyFont="1" applyBorder="1"/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9" fontId="5" fillId="0" borderId="0" xfId="0" applyNumberFormat="1" applyFont="1" applyAlignment="1">
      <alignment horizontal="center"/>
    </xf>
  </cellXfs>
  <cellStyles count="1">
    <cellStyle name="Normal" xfId="0" builtinId="0"/>
  </cellStyles>
  <dxfs count="4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2" tint="-0.249977111117893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35D25-57DC-4B20-9D71-DC8A8A995006}" name="Table4" displayName="Table4" ref="A1:E29" totalsRowShown="0" headerRowDxfId="46" dataDxfId="45">
  <autoFilter ref="A1:E29" xr:uid="{7EFDCD53-6B61-4145-9FE0-D0EDF3BD4CA3}"/>
  <tableColumns count="5">
    <tableColumn id="1" xr3:uid="{6E99CC69-087D-4223-AC8F-98B03E9D4370}" name="Function" dataDxfId="44"/>
    <tableColumn id="2" xr3:uid="{73EF5A9C-120E-4BF1-B52A-0362CD35D443}" name="Purpose" dataDxfId="43"/>
    <tableColumn id="3" xr3:uid="{198E9AAB-877B-4E69-B82C-30C3955BC41A}" name="Return value" dataDxfId="42"/>
    <tableColumn id="4" xr3:uid="{65478046-5421-4C64-BF01-E58828B9D89D}" name="Syntax" dataDxfId="41"/>
    <tableColumn id="5" xr3:uid="{809E3FCC-A5BD-42F9-8C8F-EEC4CC7ACBFA}" name="Usage notes" dataDxfId="40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35B2AD-E703-48DD-9759-1D39DC66EDC0}" name="Table6" displayName="Table6" ref="A1:F31" totalsRowShown="0" headerRowDxfId="39" dataDxfId="38">
  <autoFilter ref="A1:F31" xr:uid="{26D7A1C2-CC1B-42D7-B0B5-11E2CA5AA8F6}"/>
  <sortState xmlns:xlrd2="http://schemas.microsoft.com/office/spreadsheetml/2017/richdata2" ref="A2:F31">
    <sortCondition descending="1" ref="B2"/>
  </sortState>
  <tableColumns count="6">
    <tableColumn id="1" xr3:uid="{B41ED2A8-AB1C-41C2-AF6D-E410FAB8ACBF}" name="First Name" dataDxfId="37"/>
    <tableColumn id="2" xr3:uid="{7C1C0B43-8CE6-4196-831F-B4F781E181F8}" name="Last Name" dataDxfId="36"/>
    <tableColumn id="3" xr3:uid="{94236F1A-E6BD-4E6E-84C8-A1042553AB0A}" name="Matriculation Number" dataDxfId="35"/>
    <tableColumn id="4" xr3:uid="{C1565CE4-C61B-4423-B438-1E6580898FD9}" name="Major" dataDxfId="34"/>
    <tableColumn id="5" xr3:uid="{5F50F29C-025E-440A-BF42-83E58610055B}" name="Final Score" dataDxfId="33"/>
    <tableColumn id="6" xr3:uid="{3DE89601-E508-493B-804B-7CA3789E79D7}" name="Assignment Grade" dataDxfId="32"/>
  </tableColumns>
  <tableStyleInfo name="TableStyleMedium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0DB2DF-FBFF-4154-A62E-F15E0478A58E}" name="Table10" displayName="Table10" ref="I1:K28" headerRowDxfId="31" dataDxfId="30">
  <tableColumns count="3">
    <tableColumn id="1" xr3:uid="{475D5C3E-65E3-47AC-B1F6-573B3F146EC9}" name="Function" totalsRowLabel="Total" dataDxfId="29"/>
    <tableColumn id="2" xr3:uid="{8A66E347-88D7-4158-88F6-F28A2E2A0954}" name="Notes" dataDxfId="28"/>
    <tableColumn id="3" xr3:uid="{4B2F864E-97D9-481D-8082-CA4EAB96C980}" name="Formula" totalsRowFunction="count" dataDxfId="27"/>
  </tableColumns>
  <tableStyleInfo name="TableStyleMedium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4D959A9-D22A-4445-A1B9-C7EEBB6BB126}" name="Table29" displayName="Table29" ref="L1:M28" totalsRowShown="0" dataDxfId="0">
  <tableColumns count="2">
    <tableColumn id="1" xr3:uid="{765EBBB8-5D15-4AD4-B2E3-F3BF7F3E79C7}" name="Result" dataDxfId="2"/>
    <tableColumn id="2" xr3:uid="{3F529DB4-757C-FC4A-B330-F43B28BAF2CF}" name="Advanced Formula" dataDxfId="1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2D543F6-7501-4BD2-9F72-09F01CDEF275}" name="Table35" displayName="Table35" ref="A34:F35" headerRowCount="0" totalsRowShown="0" headerRowDxfId="26" dataDxfId="25">
  <tableColumns count="6">
    <tableColumn id="1" xr3:uid="{22CCC483-0FB5-4045-9350-EEB200830E5E}" name="Column1" dataDxfId="24"/>
    <tableColumn id="2" xr3:uid="{66E1C151-0661-4160-A724-A18BBF9A83F8}" name="Column2" dataDxfId="23"/>
    <tableColumn id="3" xr3:uid="{CF859275-5D33-4B55-8A2A-60075FDF99DE}" name="Column3" dataDxfId="22"/>
    <tableColumn id="4" xr3:uid="{3F9F909D-F2E7-412A-9993-00ABF4F4554F}" name="Column4" dataDxfId="21"/>
    <tableColumn id="5" xr3:uid="{BE99C815-9188-4090-A253-87C36B24A9D2}" name="Column5" dataDxfId="20"/>
    <tableColumn id="6" xr3:uid="{5233FC96-0827-4297-8DE7-C4D8535D84A9}" name="Column6" dataDxfId="19"/>
  </tableColumns>
  <tableStyleInfo name="TableStyleMedium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3DC76C7-ECC9-4D37-AF25-F64ECC087D04}" name="Table41" displayName="Table41" ref="G1:G2" totalsRowShown="0" headerRowDxfId="18">
  <autoFilter ref="G1:G2" xr:uid="{01D97707-68D5-418F-B13D-EAAFF284F954}"/>
  <tableColumns count="1">
    <tableColumn id="1" xr3:uid="{EFCCC99C-BBDD-437B-9C53-8E1EC3993F47}" name="Bonus Point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278088F-2391-4F34-8AD0-35EAAA639A97}" name="Table53" displayName="Table53" ref="Q1:S1" headerRowCount="0" totalsRowShown="0">
  <tableColumns count="3">
    <tableColumn id="1" xr3:uid="{F00F82DB-3436-4B48-B819-FE0DED479BB4}" name="Column1" dataDxfId="17"/>
    <tableColumn id="2" xr3:uid="{9259826F-9FE2-4059-BFE6-1480F9B41F33}" name="Column2"/>
    <tableColumn id="3" xr3:uid="{46E643A1-62B7-41B1-B363-25F357B8C951}" name="Column3"/>
  </tableColumns>
  <tableStyleInfo name="TableStyleMedium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3C1A0D0-9BCA-4135-A37F-4DE959E2958E}" name="Table56" displayName="Table56" ref="T1:T30" headerRowCount="0" totalsRowShown="0">
  <tableColumns count="1">
    <tableColumn id="1" xr3:uid="{D5CD9A20-DF8F-449D-B720-43C2C667039D}" name="Column1">
      <calculatedColumnFormula>E2+$G$2</calculatedColumnFormula>
    </tableColumn>
  </tableColumns>
  <tableStyleInfo name="TableStyleMedium15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7EAD568-E468-42AD-9EF5-4828BDFE7009}" name="Table658" displayName="Table658" ref="A1:H31" totalsRowShown="0" headerRowDxfId="16" dataDxfId="15">
  <autoFilter ref="A1:H31" xr:uid="{7271F3AE-ACB0-4C4F-9743-CC8659A21FA8}"/>
  <sortState xmlns:xlrd2="http://schemas.microsoft.com/office/spreadsheetml/2017/richdata2" ref="A2:F31">
    <sortCondition ref="A1:A31"/>
  </sortState>
  <tableColumns count="8">
    <tableColumn id="1" xr3:uid="{CA69D9CE-3686-4A1F-872F-BC2B7183C1F0}" name="First Name" dataDxfId="14"/>
    <tableColumn id="2" xr3:uid="{6D6454DF-5DA8-4EA8-8605-32A47BEDEA6F}" name="Last Name" dataDxfId="13"/>
    <tableColumn id="3" xr3:uid="{2C8F5FDA-EF94-49B5-A7F4-384CB6277F24}" name="Matriculation Number" dataDxfId="12"/>
    <tableColumn id="4" xr3:uid="{09858196-CB31-4535-A922-C4A30F91A6F6}" name="Major" dataDxfId="11"/>
    <tableColumn id="5" xr3:uid="{B33317E7-3EB2-4C9D-A551-59D2A9675020}" name="Score" dataDxfId="10"/>
    <tableColumn id="6" xr3:uid="{E0E97144-F3AA-4F52-AB39-770A29A46DF8}" name="Assignment Grade" dataDxfId="9"/>
    <tableColumn id="7" xr3:uid="{782E0407-9A11-418A-9A80-ABE361D75306}" name="Daily Spendings " dataDxfId="8"/>
    <tableColumn id="8" xr3:uid="{6EADFD29-014B-5C4D-A99C-2BFE30496BA0}" name="Final Grade" dataDxfId="7"/>
  </tableColumns>
  <tableStyleInfo name="TableStyleMedium15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9723274-ED83-4DE6-BE5C-F8CC629FA124}" name="Table40" displayName="Table40" ref="A34:G35" headerRowCount="0" totalsRowShown="0">
  <tableColumns count="7">
    <tableColumn id="1" xr3:uid="{643EC28D-D32A-4975-A5B2-FB78A02519F8}" name="Column1"/>
    <tableColumn id="2" xr3:uid="{E2CC448B-F72B-4890-BBC3-1CB11045013E}" name="Column2"/>
    <tableColumn id="3" xr3:uid="{CA542867-0950-42B5-A84B-FC901FB5E7C8}" name="Column3"/>
    <tableColumn id="4" xr3:uid="{EC869955-EC5E-442B-AD11-C560299B84AF}" name="Column4"/>
    <tableColumn id="5" xr3:uid="{1DD6AF2F-5EE2-4982-B1EC-F241466FB319}" name="Column5"/>
    <tableColumn id="6" xr3:uid="{A9C535A0-25EA-4226-8DF1-260193BD3102}" name="Column6"/>
    <tableColumn id="7" xr3:uid="{27876B19-3A0C-4E0F-8025-FC37C2BBBC81}" name="Column7"/>
  </tableColumns>
  <tableStyleInfo name="TableStyleMedium15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3F860B6-CA97-4585-8251-DE3B462F5042}" name="Table44" displayName="Table44" ref="I1:I31" totalsRowShown="0" headerRowDxfId="6">
  <autoFilter ref="I1:I31" xr:uid="{0399B76A-D4B0-4DC6-AD39-EF8E7B8ED068}"/>
  <tableColumns count="1">
    <tableColumn id="1" xr3:uid="{1B71DF08-E13F-4778-9487-4CCE80246866}" name="Penalty"/>
  </tableColumns>
  <tableStyleInfo name="TableStyleMedium15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151A805B-5599-43F9-A0F5-E9A22136DCAF}" name="Table54" displayName="Table54" ref="J1:J2" totalsRowShown="0" headerRowDxfId="5" dataDxfId="4">
  <autoFilter ref="J1:J2" xr:uid="{38E45F27-9421-4EE1-B762-5F97D0A67E89}"/>
  <tableColumns count="1">
    <tableColumn id="1" xr3:uid="{CB96C80A-16CA-4BC2-AFD8-E7A357B8F638}" name="Bonus" dataDxfId="3"/>
  </tableColumns>
  <tableStyleInfo name="TableStyleMedium15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ED93457-74AB-4078-8D2C-D2AC8DC4C470}" name="Table58" displayName="Table58" ref="L1:N29" totalsRowShown="0">
  <autoFilter ref="L1:N29" xr:uid="{1CBDF0A4-11F1-46E4-8045-E1F81A596983}"/>
  <tableColumns count="3">
    <tableColumn id="1" xr3:uid="{0413D709-5EED-4585-BB4A-7EB642B2BF1F}" name="Task"/>
    <tableColumn id="2" xr3:uid="{D5FC3104-334F-42C6-AC4D-25E61C442EBE}" name="Answer"/>
    <tableColumn id="3" xr3:uid="{CD420DE6-A214-9C4D-90ED-004676F297C8}" name="Advanced Answer (if applicable)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6284-DE7B-4557-A8E7-7492426C34B6}">
  <dimension ref="A1:F134"/>
  <sheetViews>
    <sheetView zoomScaleNormal="87" workbookViewId="0">
      <selection activeCell="D42" sqref="D42"/>
    </sheetView>
  </sheetViews>
  <sheetFormatPr baseColWidth="10" defaultColWidth="8.83203125" defaultRowHeight="15" x14ac:dyDescent="0.2"/>
  <cols>
    <col min="1" max="1" width="19.1640625" bestFit="1" customWidth="1"/>
    <col min="2" max="2" width="62.5" customWidth="1"/>
    <col min="3" max="3" width="65" bestFit="1" customWidth="1"/>
    <col min="4" max="4" width="80.1640625" customWidth="1"/>
    <col min="5" max="5" width="148.33203125" bestFit="1" customWidth="1"/>
    <col min="6" max="6" width="11" customWidth="1"/>
    <col min="7" max="7" width="122.33203125" bestFit="1" customWidth="1"/>
  </cols>
  <sheetData>
    <row r="1" spans="1:6" ht="25.5" customHeight="1" x14ac:dyDescent="0.3">
      <c r="A1" s="5" t="s">
        <v>186</v>
      </c>
      <c r="B1" s="5" t="s">
        <v>190</v>
      </c>
      <c r="C1" s="5" t="s">
        <v>191</v>
      </c>
      <c r="D1" s="5" t="s">
        <v>192</v>
      </c>
      <c r="E1" s="5" t="s">
        <v>193</v>
      </c>
      <c r="F1" s="1"/>
    </row>
    <row r="2" spans="1:6" ht="16" x14ac:dyDescent="0.2">
      <c r="A2" s="3" t="s">
        <v>0</v>
      </c>
      <c r="B2" s="4" t="s">
        <v>256</v>
      </c>
      <c r="C2" s="4" t="s">
        <v>1</v>
      </c>
      <c r="D2" s="7" t="s">
        <v>2</v>
      </c>
      <c r="E2" s="3"/>
    </row>
    <row r="3" spans="1:6" ht="16" x14ac:dyDescent="0.2">
      <c r="A3" s="3" t="s">
        <v>3</v>
      </c>
      <c r="B3" s="4" t="s">
        <v>255</v>
      </c>
      <c r="C3" s="4" t="s">
        <v>4</v>
      </c>
      <c r="D3" s="4" t="s">
        <v>5</v>
      </c>
      <c r="E3" s="9" t="s">
        <v>113</v>
      </c>
    </row>
    <row r="4" spans="1:6" ht="16" x14ac:dyDescent="0.2">
      <c r="A4" s="3" t="s">
        <v>6</v>
      </c>
      <c r="B4" s="4" t="s">
        <v>254</v>
      </c>
      <c r="C4" s="4" t="s">
        <v>247</v>
      </c>
      <c r="D4" s="4" t="s">
        <v>7</v>
      </c>
      <c r="E4" s="4"/>
    </row>
    <row r="5" spans="1:6" ht="16" x14ac:dyDescent="0.2">
      <c r="A5" s="3" t="s">
        <v>8</v>
      </c>
      <c r="B5" s="4" t="s">
        <v>253</v>
      </c>
      <c r="C5" s="4" t="s">
        <v>248</v>
      </c>
      <c r="D5" s="4" t="s">
        <v>9</v>
      </c>
      <c r="E5" s="4"/>
    </row>
    <row r="6" spans="1:6" ht="16" x14ac:dyDescent="0.2">
      <c r="A6" s="3" t="s">
        <v>13</v>
      </c>
      <c r="B6" s="4" t="s">
        <v>252</v>
      </c>
      <c r="C6" s="4" t="s">
        <v>14</v>
      </c>
      <c r="D6" s="4" t="s">
        <v>15</v>
      </c>
      <c r="E6" s="4"/>
    </row>
    <row r="7" spans="1:6" ht="16" x14ac:dyDescent="0.2">
      <c r="A7" s="3" t="s">
        <v>17</v>
      </c>
      <c r="B7" s="4" t="s">
        <v>251</v>
      </c>
      <c r="C7" s="4" t="s">
        <v>1</v>
      </c>
      <c r="D7" s="4" t="s">
        <v>18</v>
      </c>
      <c r="E7" s="4"/>
    </row>
    <row r="8" spans="1:6" ht="16" x14ac:dyDescent="0.2">
      <c r="A8" s="3" t="s">
        <v>98</v>
      </c>
      <c r="B8" s="4" t="s">
        <v>99</v>
      </c>
      <c r="C8" s="4" t="s">
        <v>100</v>
      </c>
      <c r="D8" s="4" t="s">
        <v>101</v>
      </c>
      <c r="E8" s="4"/>
    </row>
    <row r="9" spans="1:6" ht="16" x14ac:dyDescent="0.2">
      <c r="A9" s="3" t="s">
        <v>21</v>
      </c>
      <c r="B9" s="4" t="s">
        <v>250</v>
      </c>
      <c r="C9" s="4" t="s">
        <v>22</v>
      </c>
      <c r="D9" s="4" t="s">
        <v>23</v>
      </c>
      <c r="E9" s="4"/>
    </row>
    <row r="10" spans="1:6" ht="16" x14ac:dyDescent="0.2">
      <c r="A10" s="3" t="s">
        <v>311</v>
      </c>
      <c r="B10" s="45" t="s">
        <v>313</v>
      </c>
      <c r="C10" s="45" t="s">
        <v>314</v>
      </c>
      <c r="D10" s="45" t="s">
        <v>315</v>
      </c>
      <c r="E10" s="45"/>
    </row>
    <row r="11" spans="1:6" ht="16" x14ac:dyDescent="0.2">
      <c r="A11" s="3" t="s">
        <v>24</v>
      </c>
      <c r="B11" s="45" t="s">
        <v>312</v>
      </c>
      <c r="C11" s="4" t="s">
        <v>25</v>
      </c>
      <c r="D11" s="4" t="s">
        <v>26</v>
      </c>
      <c r="E11" s="4"/>
    </row>
    <row r="12" spans="1:6" ht="16" x14ac:dyDescent="0.2">
      <c r="A12" s="3" t="s">
        <v>70</v>
      </c>
      <c r="B12" s="4" t="s">
        <v>71</v>
      </c>
      <c r="C12" s="4" t="s">
        <v>72</v>
      </c>
      <c r="D12" s="4" t="s">
        <v>73</v>
      </c>
      <c r="E12" s="4"/>
    </row>
    <row r="13" spans="1:6" ht="16" x14ac:dyDescent="0.2">
      <c r="A13" s="3" t="s">
        <v>36</v>
      </c>
      <c r="B13" s="4" t="s">
        <v>37</v>
      </c>
      <c r="C13" s="4" t="s">
        <v>38</v>
      </c>
      <c r="D13" s="8" t="s">
        <v>39</v>
      </c>
      <c r="E13" s="4"/>
    </row>
    <row r="14" spans="1:6" ht="16" x14ac:dyDescent="0.2">
      <c r="A14" s="3" t="s">
        <v>40</v>
      </c>
      <c r="B14" s="4" t="s">
        <v>41</v>
      </c>
      <c r="C14" s="4" t="s">
        <v>42</v>
      </c>
      <c r="D14" s="4" t="s">
        <v>43</v>
      </c>
      <c r="E14" s="4"/>
    </row>
    <row r="15" spans="1:6" ht="16" x14ac:dyDescent="0.2">
      <c r="A15" s="3" t="s">
        <v>45</v>
      </c>
      <c r="B15" s="9" t="s">
        <v>249</v>
      </c>
      <c r="C15" s="4" t="s">
        <v>42</v>
      </c>
      <c r="D15" s="9" t="s">
        <v>46</v>
      </c>
      <c r="E15" s="4"/>
    </row>
    <row r="16" spans="1:6" ht="16" x14ac:dyDescent="0.2">
      <c r="A16" s="3" t="s">
        <v>47</v>
      </c>
      <c r="B16" s="4" t="s">
        <v>48</v>
      </c>
      <c r="C16" s="4" t="s">
        <v>49</v>
      </c>
      <c r="D16" s="4" t="s">
        <v>50</v>
      </c>
      <c r="E16" s="4"/>
    </row>
    <row r="17" spans="1:5" ht="16" x14ac:dyDescent="0.2">
      <c r="A17" s="3" t="s">
        <v>52</v>
      </c>
      <c r="B17" s="4" t="s">
        <v>53</v>
      </c>
      <c r="C17" s="4" t="s">
        <v>54</v>
      </c>
      <c r="D17" s="4" t="s">
        <v>55</v>
      </c>
      <c r="E17" s="4"/>
    </row>
    <row r="18" spans="1:5" ht="16" x14ac:dyDescent="0.2">
      <c r="A18" s="3" t="s">
        <v>57</v>
      </c>
      <c r="B18" s="4" t="s">
        <v>58</v>
      </c>
      <c r="C18" s="4" t="s">
        <v>59</v>
      </c>
      <c r="D18" s="4" t="s">
        <v>60</v>
      </c>
      <c r="E18" s="4"/>
    </row>
    <row r="19" spans="1:5" ht="16" x14ac:dyDescent="0.2">
      <c r="A19" s="3" t="s">
        <v>61</v>
      </c>
      <c r="B19" s="4" t="s">
        <v>62</v>
      </c>
      <c r="C19" s="4" t="s">
        <v>63</v>
      </c>
      <c r="D19" s="4" t="s">
        <v>64</v>
      </c>
      <c r="E19" s="4"/>
    </row>
    <row r="20" spans="1:5" ht="16" x14ac:dyDescent="0.2">
      <c r="A20" s="3" t="s">
        <v>66</v>
      </c>
      <c r="B20" s="4" t="s">
        <v>67</v>
      </c>
      <c r="C20" s="4" t="s">
        <v>68</v>
      </c>
      <c r="D20" s="4" t="s">
        <v>69</v>
      </c>
      <c r="E20" s="4"/>
    </row>
    <row r="21" spans="1:5" ht="16" x14ac:dyDescent="0.2">
      <c r="A21" s="3" t="s">
        <v>74</v>
      </c>
      <c r="B21" s="4" t="s">
        <v>75</v>
      </c>
      <c r="C21" s="4" t="s">
        <v>76</v>
      </c>
      <c r="D21" s="4" t="s">
        <v>77</v>
      </c>
      <c r="E21" s="4"/>
    </row>
    <row r="22" spans="1:5" ht="16" x14ac:dyDescent="0.2">
      <c r="A22" s="3" t="s">
        <v>78</v>
      </c>
      <c r="B22" s="4" t="s">
        <v>79</v>
      </c>
      <c r="C22" s="4" t="s">
        <v>80</v>
      </c>
      <c r="D22" s="8" t="s">
        <v>81</v>
      </c>
      <c r="E22" s="4"/>
    </row>
    <row r="23" spans="1:5" ht="16" x14ac:dyDescent="0.2">
      <c r="A23" s="3" t="s">
        <v>82</v>
      </c>
      <c r="B23" s="4" t="s">
        <v>83</v>
      </c>
      <c r="C23" s="4" t="s">
        <v>84</v>
      </c>
      <c r="D23" s="4" t="s">
        <v>85</v>
      </c>
      <c r="E23" s="4"/>
    </row>
    <row r="24" spans="1:5" ht="16" x14ac:dyDescent="0.2">
      <c r="A24" s="3" t="s">
        <v>94</v>
      </c>
      <c r="B24" s="4" t="s">
        <v>95</v>
      </c>
      <c r="C24" s="4" t="s">
        <v>96</v>
      </c>
      <c r="D24" s="4" t="s">
        <v>97</v>
      </c>
      <c r="E24" s="4"/>
    </row>
    <row r="25" spans="1:5" ht="16" x14ac:dyDescent="0.2">
      <c r="A25" s="3" t="s">
        <v>86</v>
      </c>
      <c r="B25" s="7" t="s">
        <v>87</v>
      </c>
      <c r="C25" s="4" t="s">
        <v>88</v>
      </c>
      <c r="D25" s="4" t="s">
        <v>89</v>
      </c>
      <c r="E25" s="4"/>
    </row>
    <row r="26" spans="1:5" ht="16" x14ac:dyDescent="0.2">
      <c r="A26" s="3" t="s">
        <v>90</v>
      </c>
      <c r="B26" s="4" t="s">
        <v>91</v>
      </c>
      <c r="C26" s="4" t="s">
        <v>92</v>
      </c>
      <c r="D26" s="4" t="s">
        <v>93</v>
      </c>
      <c r="E26" s="4"/>
    </row>
    <row r="27" spans="1:5" ht="16" x14ac:dyDescent="0.2">
      <c r="A27" s="3" t="s">
        <v>102</v>
      </c>
      <c r="B27" s="21" t="s">
        <v>281</v>
      </c>
      <c r="C27" s="4" t="s">
        <v>103</v>
      </c>
      <c r="D27" s="4" t="s">
        <v>104</v>
      </c>
      <c r="E27" s="4"/>
    </row>
    <row r="28" spans="1:5" ht="16" x14ac:dyDescent="0.2">
      <c r="A28" s="3" t="s">
        <v>105</v>
      </c>
      <c r="B28" s="4" t="s">
        <v>106</v>
      </c>
      <c r="C28" s="4" t="s">
        <v>107</v>
      </c>
      <c r="D28" s="4" t="s">
        <v>108</v>
      </c>
      <c r="E28" s="4"/>
    </row>
    <row r="29" spans="1:5" ht="16" x14ac:dyDescent="0.2">
      <c r="A29" s="3" t="s">
        <v>109</v>
      </c>
      <c r="B29" s="4" t="s">
        <v>110</v>
      </c>
      <c r="C29" s="4" t="s">
        <v>111</v>
      </c>
      <c r="D29" s="4" t="s">
        <v>112</v>
      </c>
      <c r="E29" s="4"/>
    </row>
    <row r="30" spans="1:5" x14ac:dyDescent="0.2">
      <c r="E30" s="2"/>
    </row>
    <row r="31" spans="1:5" ht="18" customHeight="1" thickBot="1" x14ac:dyDescent="0.25">
      <c r="A31" s="15" t="s">
        <v>246</v>
      </c>
      <c r="B31" s="16" t="s">
        <v>257</v>
      </c>
      <c r="C31" s="16" t="s">
        <v>258</v>
      </c>
      <c r="D31" s="16" t="s">
        <v>259</v>
      </c>
      <c r="E31" s="16" t="s">
        <v>245</v>
      </c>
    </row>
    <row r="32" spans="1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026-7E9A-45E9-80AE-0A8B7E93CB40}">
  <dimension ref="A1:T40"/>
  <sheetViews>
    <sheetView tabSelected="1" topLeftCell="G1" workbookViewId="0">
      <selection activeCell="M4" sqref="M4"/>
    </sheetView>
  </sheetViews>
  <sheetFormatPr baseColWidth="10" defaultColWidth="8.83203125" defaultRowHeight="15" x14ac:dyDescent="0.2"/>
  <cols>
    <col min="1" max="1" width="20.5" bestFit="1" customWidth="1"/>
    <col min="2" max="2" width="16.1640625" bestFit="1" customWidth="1"/>
    <col min="3" max="3" width="30.83203125" bestFit="1" customWidth="1"/>
    <col min="4" max="4" width="39.1640625" bestFit="1" customWidth="1"/>
    <col min="5" max="5" width="16.5" bestFit="1" customWidth="1"/>
    <col min="6" max="6" width="27" bestFit="1" customWidth="1"/>
    <col min="7" max="7" width="18.33203125" bestFit="1" customWidth="1"/>
    <col min="8" max="9" width="23.5" bestFit="1" customWidth="1"/>
    <col min="10" max="10" width="85" bestFit="1" customWidth="1"/>
    <col min="11" max="11" width="63.1640625" bestFit="1" customWidth="1"/>
    <col min="12" max="12" width="36.6640625" bestFit="1" customWidth="1"/>
    <col min="13" max="13" width="20.5" customWidth="1"/>
    <col min="14" max="14" width="17.33203125" bestFit="1" customWidth="1"/>
    <col min="15" max="15" width="27.83203125" bestFit="1" customWidth="1"/>
    <col min="16" max="16" width="9" customWidth="1"/>
    <col min="17" max="17" width="14.6640625" bestFit="1" customWidth="1"/>
    <col min="18" max="18" width="23.83203125" bestFit="1" customWidth="1"/>
  </cols>
  <sheetData>
    <row r="1" spans="1:20" ht="20.25" customHeight="1" x14ac:dyDescent="0.25">
      <c r="A1" s="6" t="s">
        <v>27</v>
      </c>
      <c r="B1" s="6" t="s">
        <v>28</v>
      </c>
      <c r="C1" s="6" t="s">
        <v>189</v>
      </c>
      <c r="D1" s="6" t="s">
        <v>29</v>
      </c>
      <c r="E1" s="6" t="s">
        <v>265</v>
      </c>
      <c r="F1" s="6" t="s">
        <v>197</v>
      </c>
      <c r="G1" s="6" t="s">
        <v>260</v>
      </c>
      <c r="I1" s="6" t="s">
        <v>186</v>
      </c>
      <c r="J1" s="6" t="s">
        <v>44</v>
      </c>
      <c r="K1" s="6" t="s">
        <v>51</v>
      </c>
      <c r="L1" s="10" t="s">
        <v>11</v>
      </c>
      <c r="M1" s="6" t="s">
        <v>320</v>
      </c>
      <c r="Q1" s="20" t="s">
        <v>246</v>
      </c>
      <c r="R1" t="s">
        <v>262</v>
      </c>
      <c r="S1" t="s">
        <v>261</v>
      </c>
      <c r="T1">
        <f t="shared" ref="T1:T30" si="0">E2+$G$2</f>
        <v>96.56</v>
      </c>
    </row>
    <row r="2" spans="1:20" ht="16" x14ac:dyDescent="0.2">
      <c r="A2" s="11" t="s">
        <v>165</v>
      </c>
      <c r="B2" s="11" t="s">
        <v>166</v>
      </c>
      <c r="C2" s="11">
        <v>21034568</v>
      </c>
      <c r="D2" s="11" t="s">
        <v>174</v>
      </c>
      <c r="E2" s="11">
        <v>91.56</v>
      </c>
      <c r="F2" s="12">
        <v>0.82</v>
      </c>
      <c r="G2">
        <v>5</v>
      </c>
      <c r="I2" s="13" t="s">
        <v>0</v>
      </c>
      <c r="J2" s="11" t="s">
        <v>188</v>
      </c>
      <c r="K2" s="11" t="s">
        <v>187</v>
      </c>
      <c r="L2" s="49">
        <f>SUM(E2:E31)</f>
        <v>1801.7150000000001</v>
      </c>
      <c r="M2" s="50"/>
      <c r="T2">
        <f t="shared" si="0"/>
        <v>19.47</v>
      </c>
    </row>
    <row r="3" spans="1:20" ht="16" x14ac:dyDescent="0.2">
      <c r="A3" s="11" t="s">
        <v>158</v>
      </c>
      <c r="B3" s="11" t="s">
        <v>159</v>
      </c>
      <c r="C3" s="11">
        <v>91347620</v>
      </c>
      <c r="D3" s="11" t="s">
        <v>182</v>
      </c>
      <c r="E3" s="11">
        <v>14.47</v>
      </c>
      <c r="F3" s="11"/>
      <c r="I3" s="13" t="s">
        <v>6</v>
      </c>
      <c r="J3" s="11" t="s">
        <v>194</v>
      </c>
      <c r="K3" s="11" t="s">
        <v>195</v>
      </c>
      <c r="L3" s="49">
        <f>COUNTA(F2:F31)</f>
        <v>21</v>
      </c>
      <c r="M3" s="50"/>
      <c r="T3">
        <f t="shared" si="0"/>
        <v>28.78</v>
      </c>
    </row>
    <row r="4" spans="1:20" ht="16" x14ac:dyDescent="0.2">
      <c r="A4" s="11" t="s">
        <v>129</v>
      </c>
      <c r="B4" s="11" t="s">
        <v>130</v>
      </c>
      <c r="C4" s="11">
        <v>35967148</v>
      </c>
      <c r="D4" s="11" t="s">
        <v>169</v>
      </c>
      <c r="E4" s="11">
        <v>23.78</v>
      </c>
      <c r="F4" s="12">
        <v>0.56999999999999995</v>
      </c>
      <c r="I4" s="13" t="s">
        <v>8</v>
      </c>
      <c r="J4" s="11" t="s">
        <v>196</v>
      </c>
      <c r="K4" s="11" t="s">
        <v>198</v>
      </c>
      <c r="L4" s="49" t="str">
        <f>IF(F4&gt;=45%, "Pass", "Fail")</f>
        <v>Pass</v>
      </c>
      <c r="M4" s="50" t="str">
        <f>IF(VLOOKUP("Emily",A2:F31,6,0)&gt;=45%,"Pass","Fail")</f>
        <v>Pass</v>
      </c>
      <c r="T4">
        <f t="shared" si="0"/>
        <v>98.12</v>
      </c>
    </row>
    <row r="5" spans="1:20" ht="16" x14ac:dyDescent="0.2">
      <c r="A5" s="11" t="s">
        <v>16</v>
      </c>
      <c r="B5" s="11" t="s">
        <v>30</v>
      </c>
      <c r="C5" s="11">
        <v>89524756</v>
      </c>
      <c r="D5" s="11" t="s">
        <v>126</v>
      </c>
      <c r="E5" s="11">
        <v>93.12</v>
      </c>
      <c r="F5" s="12">
        <v>0.98</v>
      </c>
      <c r="I5" s="13" t="s">
        <v>13</v>
      </c>
      <c r="J5" s="11" t="s">
        <v>200</v>
      </c>
      <c r="K5" s="11" t="s">
        <v>199</v>
      </c>
      <c r="L5" s="49">
        <f>COUNTIF(E2:E31, "&lt;40")</f>
        <v>7</v>
      </c>
      <c r="M5" s="50"/>
      <c r="T5">
        <f t="shared" si="0"/>
        <v>81.52</v>
      </c>
    </row>
    <row r="6" spans="1:20" ht="16" x14ac:dyDescent="0.2">
      <c r="A6" s="11" t="s">
        <v>12</v>
      </c>
      <c r="B6" s="11" t="s">
        <v>116</v>
      </c>
      <c r="C6" s="11">
        <v>78942635</v>
      </c>
      <c r="D6" s="11" t="s">
        <v>124</v>
      </c>
      <c r="E6" s="11">
        <v>76.52</v>
      </c>
      <c r="F6" s="11"/>
      <c r="I6" s="13" t="s">
        <v>17</v>
      </c>
      <c r="J6" s="11" t="s">
        <v>201</v>
      </c>
      <c r="K6" s="11" t="s">
        <v>202</v>
      </c>
      <c r="L6" s="49">
        <f>SUMIF(E2:E31, "&gt;90")</f>
        <v>470.57</v>
      </c>
      <c r="M6" s="50"/>
      <c r="T6">
        <f t="shared" si="0"/>
        <v>15.125</v>
      </c>
    </row>
    <row r="7" spans="1:20" ht="16" x14ac:dyDescent="0.2">
      <c r="A7" s="11" t="s">
        <v>152</v>
      </c>
      <c r="B7" s="11" t="s">
        <v>153</v>
      </c>
      <c r="C7" s="11">
        <v>46568944</v>
      </c>
      <c r="D7" s="11" t="s">
        <v>175</v>
      </c>
      <c r="E7" s="11">
        <v>10.125</v>
      </c>
      <c r="F7" s="12">
        <v>0.66</v>
      </c>
      <c r="I7" s="13" t="s">
        <v>21</v>
      </c>
      <c r="J7" s="11" t="s">
        <v>204</v>
      </c>
      <c r="K7" s="11" t="s">
        <v>203</v>
      </c>
      <c r="L7" s="49" t="str">
        <f>REPT(A10, 4)</f>
        <v>RobinRobinRobinRobin</v>
      </c>
      <c r="M7" s="50"/>
      <c r="T7">
        <f t="shared" si="0"/>
        <v>96.89</v>
      </c>
    </row>
    <row r="8" spans="1:20" ht="16" x14ac:dyDescent="0.2">
      <c r="A8" s="11" t="s">
        <v>121</v>
      </c>
      <c r="B8" s="11" t="s">
        <v>122</v>
      </c>
      <c r="C8" s="11">
        <v>96415754</v>
      </c>
      <c r="D8" s="11" t="s">
        <v>128</v>
      </c>
      <c r="E8" s="11">
        <v>91.89</v>
      </c>
      <c r="F8" s="12">
        <v>0.49</v>
      </c>
      <c r="I8" s="13" t="s">
        <v>24</v>
      </c>
      <c r="J8" s="48" t="s">
        <v>318</v>
      </c>
      <c r="K8" s="11" t="s">
        <v>208</v>
      </c>
      <c r="L8" s="49" t="str">
        <f>VLOOKUP(A9, A2:F31, 4, 0)</f>
        <v>International Business Administration</v>
      </c>
      <c r="M8" s="50"/>
      <c r="T8">
        <f t="shared" si="0"/>
        <v>86.54</v>
      </c>
    </row>
    <row r="9" spans="1:20" ht="16" x14ac:dyDescent="0.2">
      <c r="A9" s="11" t="s">
        <v>156</v>
      </c>
      <c r="B9" s="11" t="s">
        <v>157</v>
      </c>
      <c r="C9" s="11">
        <v>23015207</v>
      </c>
      <c r="D9" s="11" t="s">
        <v>123</v>
      </c>
      <c r="E9" s="11">
        <v>81.540000000000006</v>
      </c>
      <c r="F9" s="11"/>
      <c r="I9" s="13" t="s">
        <v>36</v>
      </c>
      <c r="J9" s="48" t="s">
        <v>319</v>
      </c>
      <c r="K9" s="11" t="s">
        <v>205</v>
      </c>
      <c r="L9" s="49" t="str">
        <f>IFERROR(E4/E16, "please check")</f>
        <v>please check</v>
      </c>
      <c r="M9" s="50"/>
      <c r="T9">
        <f t="shared" si="0"/>
        <v>92.71</v>
      </c>
    </row>
    <row r="10" spans="1:20" ht="16" x14ac:dyDescent="0.2">
      <c r="A10" s="11" t="s">
        <v>135</v>
      </c>
      <c r="B10" s="11" t="s">
        <v>136</v>
      </c>
      <c r="C10" s="11">
        <v>90805621</v>
      </c>
      <c r="D10" s="11" t="s">
        <v>173</v>
      </c>
      <c r="E10" s="11">
        <v>87.71</v>
      </c>
      <c r="F10" s="12">
        <v>0.91</v>
      </c>
      <c r="I10" s="13" t="s">
        <v>40</v>
      </c>
      <c r="J10" s="11" t="s">
        <v>267</v>
      </c>
      <c r="K10" s="11" t="s">
        <v>206</v>
      </c>
      <c r="L10" s="49">
        <f>ROUND(E4, 1)</f>
        <v>23.8</v>
      </c>
      <c r="M10" s="50"/>
      <c r="T10">
        <f t="shared" si="0"/>
        <v>72</v>
      </c>
    </row>
    <row r="11" spans="1:20" ht="16" x14ac:dyDescent="0.2">
      <c r="A11" s="11" t="s">
        <v>145</v>
      </c>
      <c r="B11" s="11" t="s">
        <v>146</v>
      </c>
      <c r="C11" s="11">
        <v>20012354</v>
      </c>
      <c r="D11" s="11" t="s">
        <v>177</v>
      </c>
      <c r="E11" s="11">
        <v>67</v>
      </c>
      <c r="F11" s="12">
        <v>1</v>
      </c>
      <c r="I11" s="13" t="s">
        <v>45</v>
      </c>
      <c r="J11" s="11" t="s">
        <v>268</v>
      </c>
      <c r="K11" s="11" t="s">
        <v>207</v>
      </c>
      <c r="L11" s="49">
        <f>ROUNDUP(E10, -1)</f>
        <v>90</v>
      </c>
      <c r="M11" s="50"/>
      <c r="T11">
        <f t="shared" si="0"/>
        <v>46</v>
      </c>
    </row>
    <row r="12" spans="1:20" ht="16" x14ac:dyDescent="0.2">
      <c r="A12" s="11" t="s">
        <v>56</v>
      </c>
      <c r="B12" s="11" t="s">
        <v>162</v>
      </c>
      <c r="C12" s="11">
        <v>67193456</v>
      </c>
      <c r="D12" s="11" t="s">
        <v>184</v>
      </c>
      <c r="E12" s="11">
        <v>41</v>
      </c>
      <c r="F12" s="12">
        <v>0.54</v>
      </c>
      <c r="I12" s="13" t="s">
        <v>47</v>
      </c>
      <c r="J12" s="11" t="s">
        <v>269</v>
      </c>
      <c r="K12" s="11" t="s">
        <v>209</v>
      </c>
      <c r="L12" s="49">
        <f>COLUMN(C8)</f>
        <v>3</v>
      </c>
      <c r="M12" s="50"/>
      <c r="T12">
        <f t="shared" si="0"/>
        <v>87</v>
      </c>
    </row>
    <row r="13" spans="1:20" ht="16" x14ac:dyDescent="0.2">
      <c r="A13" s="11" t="s">
        <v>114</v>
      </c>
      <c r="B13" s="11" t="s">
        <v>19</v>
      </c>
      <c r="C13" s="11">
        <v>80004594</v>
      </c>
      <c r="D13" s="11" t="s">
        <v>181</v>
      </c>
      <c r="E13" s="11">
        <v>82</v>
      </c>
      <c r="F13" s="12">
        <v>0.76</v>
      </c>
      <c r="I13" s="13" t="s">
        <v>210</v>
      </c>
      <c r="J13" s="11" t="s">
        <v>212</v>
      </c>
      <c r="K13" s="11" t="s">
        <v>211</v>
      </c>
      <c r="L13" s="51">
        <f>MAX(F2:F31)</f>
        <v>1</v>
      </c>
      <c r="M13" s="50"/>
      <c r="T13">
        <f t="shared" si="0"/>
        <v>72</v>
      </c>
    </row>
    <row r="14" spans="1:20" ht="16" x14ac:dyDescent="0.2">
      <c r="A14" s="11" t="s">
        <v>160</v>
      </c>
      <c r="B14" s="11" t="s">
        <v>161</v>
      </c>
      <c r="C14" s="11">
        <v>84561237</v>
      </c>
      <c r="D14" s="11" t="s">
        <v>183</v>
      </c>
      <c r="E14" s="11">
        <v>67</v>
      </c>
      <c r="F14" s="11"/>
      <c r="I14" s="13" t="s">
        <v>213</v>
      </c>
      <c r="J14" s="11" t="s">
        <v>214</v>
      </c>
      <c r="K14" s="11" t="s">
        <v>215</v>
      </c>
      <c r="L14" s="51">
        <f>MIN(F2:F31)</f>
        <v>0.28000000000000003</v>
      </c>
      <c r="M14" s="50"/>
      <c r="T14">
        <f t="shared" si="0"/>
        <v>57</v>
      </c>
    </row>
    <row r="15" spans="1:20" ht="16" x14ac:dyDescent="0.2">
      <c r="A15" s="11" t="s">
        <v>133</v>
      </c>
      <c r="B15" s="11" t="s">
        <v>134</v>
      </c>
      <c r="C15" s="11">
        <v>13605894</v>
      </c>
      <c r="D15" s="11" t="s">
        <v>171</v>
      </c>
      <c r="E15" s="11">
        <v>52</v>
      </c>
      <c r="F15" s="12">
        <v>0.41</v>
      </c>
      <c r="I15" s="13" t="s">
        <v>57</v>
      </c>
      <c r="J15" s="11" t="s">
        <v>272</v>
      </c>
      <c r="K15" s="11" t="s">
        <v>216</v>
      </c>
      <c r="L15" s="49">
        <f>VALUE(F10)</f>
        <v>0.91</v>
      </c>
      <c r="M15" s="50"/>
      <c r="T15">
        <f t="shared" si="0"/>
        <v>5</v>
      </c>
    </row>
    <row r="16" spans="1:20" ht="16" x14ac:dyDescent="0.2">
      <c r="A16" s="11" t="s">
        <v>141</v>
      </c>
      <c r="B16" s="11" t="s">
        <v>142</v>
      </c>
      <c r="C16" s="11">
        <v>90548765</v>
      </c>
      <c r="D16" s="11" t="s">
        <v>176</v>
      </c>
      <c r="E16" s="11">
        <v>0</v>
      </c>
      <c r="F16" s="12">
        <v>0.79</v>
      </c>
      <c r="I16" s="13" t="s">
        <v>61</v>
      </c>
      <c r="J16" s="11" t="s">
        <v>219</v>
      </c>
      <c r="K16" s="11" t="s">
        <v>217</v>
      </c>
      <c r="L16" s="49" t="str">
        <f>LEFT(D13, 10)</f>
        <v>Industrial</v>
      </c>
      <c r="M16" s="50"/>
      <c r="T16">
        <f t="shared" si="0"/>
        <v>57</v>
      </c>
    </row>
    <row r="17" spans="1:20" ht="16" x14ac:dyDescent="0.2">
      <c r="A17" s="11" t="s">
        <v>131</v>
      </c>
      <c r="B17" s="11" t="s">
        <v>132</v>
      </c>
      <c r="C17" s="11">
        <v>74639845</v>
      </c>
      <c r="D17" s="11" t="s">
        <v>170</v>
      </c>
      <c r="E17" s="11">
        <v>52</v>
      </c>
      <c r="F17" s="12">
        <v>0.81</v>
      </c>
      <c r="I17" s="13" t="s">
        <v>66</v>
      </c>
      <c r="J17" s="11" t="s">
        <v>220</v>
      </c>
      <c r="K17" s="11" t="s">
        <v>218</v>
      </c>
      <c r="L17" s="49" t="str">
        <f>MID(D19, 11, 13)</f>
        <v>Environmental</v>
      </c>
      <c r="M17" s="50"/>
      <c r="T17">
        <f t="shared" si="0"/>
        <v>42</v>
      </c>
    </row>
    <row r="18" spans="1:20" ht="16" x14ac:dyDescent="0.2">
      <c r="A18" s="11" t="s">
        <v>154</v>
      </c>
      <c r="B18" s="11" t="s">
        <v>155</v>
      </c>
      <c r="C18" s="11">
        <v>91548634</v>
      </c>
      <c r="D18" s="11" t="s">
        <v>171</v>
      </c>
      <c r="E18" s="11">
        <v>37</v>
      </c>
      <c r="F18" s="11"/>
      <c r="I18" s="13" t="s">
        <v>70</v>
      </c>
      <c r="J18" s="11" t="s">
        <v>224</v>
      </c>
      <c r="K18" s="11" t="s">
        <v>222</v>
      </c>
      <c r="L18" s="49" t="str">
        <f>HLOOKUP(C26, A34:F35, 2, 0)</f>
        <v>Sam</v>
      </c>
      <c r="M18" s="50"/>
      <c r="T18">
        <f t="shared" si="0"/>
        <v>90</v>
      </c>
    </row>
    <row r="19" spans="1:20" ht="16" x14ac:dyDescent="0.2">
      <c r="A19" s="11" t="s">
        <v>167</v>
      </c>
      <c r="B19" s="11" t="s">
        <v>168</v>
      </c>
      <c r="C19" s="11">
        <v>36791205</v>
      </c>
      <c r="D19" s="11" t="s">
        <v>175</v>
      </c>
      <c r="E19" s="11">
        <v>85</v>
      </c>
      <c r="F19" s="11"/>
      <c r="I19" s="13" t="s">
        <v>74</v>
      </c>
      <c r="J19" s="22" t="s">
        <v>297</v>
      </c>
      <c r="K19" s="11" t="s">
        <v>225</v>
      </c>
      <c r="L19" s="49" t="str">
        <f>INDEX(A2:F31, 9, 4)</f>
        <v>Physics</v>
      </c>
      <c r="M19" s="50"/>
      <c r="T19">
        <f t="shared" si="0"/>
        <v>78</v>
      </c>
    </row>
    <row r="20" spans="1:20" ht="16" x14ac:dyDescent="0.2">
      <c r="A20" s="11" t="s">
        <v>137</v>
      </c>
      <c r="B20" s="11" t="s">
        <v>138</v>
      </c>
      <c r="C20" s="11">
        <v>30164798</v>
      </c>
      <c r="D20" s="11" t="s">
        <v>174</v>
      </c>
      <c r="E20" s="11">
        <v>73</v>
      </c>
      <c r="F20" s="11"/>
      <c r="I20" s="13" t="s">
        <v>78</v>
      </c>
      <c r="J20" s="11" t="s">
        <v>227</v>
      </c>
      <c r="K20" s="11" t="s">
        <v>226</v>
      </c>
      <c r="L20" s="49">
        <f>MATCH(A29, A2:A31, 0)</f>
        <v>28</v>
      </c>
      <c r="M20" s="50"/>
      <c r="T20">
        <f t="shared" si="0"/>
        <v>54</v>
      </c>
    </row>
    <row r="21" spans="1:20" ht="16" x14ac:dyDescent="0.2">
      <c r="A21" s="11" t="s">
        <v>150</v>
      </c>
      <c r="B21" s="11" t="s">
        <v>151</v>
      </c>
      <c r="C21" s="11">
        <v>78852155</v>
      </c>
      <c r="D21" s="11" t="s">
        <v>180</v>
      </c>
      <c r="E21" s="11">
        <v>49</v>
      </c>
      <c r="F21" s="12">
        <v>0.98</v>
      </c>
      <c r="I21" s="13" t="s">
        <v>82</v>
      </c>
      <c r="J21" s="11" t="s">
        <v>229</v>
      </c>
      <c r="K21" s="11" t="s">
        <v>228</v>
      </c>
      <c r="L21" s="49">
        <f>SMALL(E2:E31, 2)</f>
        <v>6</v>
      </c>
      <c r="M21" s="50"/>
      <c r="T21">
        <f t="shared" si="0"/>
        <v>69</v>
      </c>
    </row>
    <row r="22" spans="1:20" ht="16" x14ac:dyDescent="0.2">
      <c r="A22" s="11" t="s">
        <v>20</v>
      </c>
      <c r="B22" s="11" t="s">
        <v>149</v>
      </c>
      <c r="C22" s="11">
        <v>30048965</v>
      </c>
      <c r="D22" s="11" t="s">
        <v>169</v>
      </c>
      <c r="E22" s="11">
        <v>64</v>
      </c>
      <c r="F22" s="12">
        <v>0.45</v>
      </c>
      <c r="I22" s="13" t="s">
        <v>86</v>
      </c>
      <c r="J22" s="11" t="s">
        <v>230</v>
      </c>
      <c r="K22" s="11" t="s">
        <v>231</v>
      </c>
      <c r="L22" s="49">
        <f>ROW(A23)</f>
        <v>23</v>
      </c>
      <c r="M22" s="50"/>
      <c r="T22">
        <f t="shared" si="0"/>
        <v>87</v>
      </c>
    </row>
    <row r="23" spans="1:20" ht="16" x14ac:dyDescent="0.2">
      <c r="A23" s="11" t="s">
        <v>119</v>
      </c>
      <c r="B23" s="11" t="s">
        <v>120</v>
      </c>
      <c r="C23" s="11">
        <v>56321489</v>
      </c>
      <c r="D23" s="11" t="s">
        <v>127</v>
      </c>
      <c r="E23" s="11">
        <v>82</v>
      </c>
      <c r="F23" s="12">
        <v>0.74</v>
      </c>
      <c r="I23" s="14" t="s">
        <v>90</v>
      </c>
      <c r="J23" s="11" t="s">
        <v>233</v>
      </c>
      <c r="K23" s="11" t="s">
        <v>232</v>
      </c>
      <c r="L23" s="49">
        <f>ROWS(C2:F15)</f>
        <v>14</v>
      </c>
      <c r="M23" s="50"/>
      <c r="T23">
        <f t="shared" si="0"/>
        <v>50</v>
      </c>
    </row>
    <row r="24" spans="1:20" ht="16" x14ac:dyDescent="0.2">
      <c r="A24" s="11" t="s">
        <v>115</v>
      </c>
      <c r="B24" s="11" t="s">
        <v>31</v>
      </c>
      <c r="C24" s="11">
        <v>65207895</v>
      </c>
      <c r="D24" s="11" t="s">
        <v>123</v>
      </c>
      <c r="E24" s="11">
        <v>45</v>
      </c>
      <c r="F24" s="12">
        <v>0.89</v>
      </c>
      <c r="I24" s="14" t="s">
        <v>94</v>
      </c>
      <c r="J24" s="11" t="s">
        <v>235</v>
      </c>
      <c r="K24" s="11" t="s">
        <v>234</v>
      </c>
      <c r="L24" s="49">
        <f>LARGE(E2:E31, 1)</f>
        <v>99</v>
      </c>
      <c r="M24" s="50"/>
      <c r="T24">
        <f t="shared" si="0"/>
        <v>61</v>
      </c>
    </row>
    <row r="25" spans="1:20" ht="16" x14ac:dyDescent="0.2">
      <c r="A25" s="11" t="s">
        <v>143</v>
      </c>
      <c r="B25" s="11" t="s">
        <v>144</v>
      </c>
      <c r="C25" s="11">
        <v>78965234</v>
      </c>
      <c r="D25" s="11" t="s">
        <v>65</v>
      </c>
      <c r="E25" s="11">
        <v>56</v>
      </c>
      <c r="F25" s="11"/>
      <c r="I25" s="14" t="s">
        <v>98</v>
      </c>
      <c r="J25" s="11" t="s">
        <v>279</v>
      </c>
      <c r="K25" s="11" t="s">
        <v>236</v>
      </c>
      <c r="L25" s="49">
        <f>SUMIFS(E2:E31, D2:D31, "International Business Administration")</f>
        <v>126.54</v>
      </c>
      <c r="M25" s="50"/>
      <c r="T25">
        <f t="shared" si="0"/>
        <v>104</v>
      </c>
    </row>
    <row r="26" spans="1:20" ht="16" x14ac:dyDescent="0.2">
      <c r="A26" s="11" t="s">
        <v>32</v>
      </c>
      <c r="B26" s="11" t="s">
        <v>33</v>
      </c>
      <c r="C26" s="11">
        <v>50504062</v>
      </c>
      <c r="D26" s="11" t="s">
        <v>179</v>
      </c>
      <c r="E26" s="11">
        <v>99</v>
      </c>
      <c r="F26" s="12">
        <v>0.67</v>
      </c>
      <c r="I26" s="14" t="s">
        <v>102</v>
      </c>
      <c r="J26" s="11" t="s">
        <v>238</v>
      </c>
      <c r="K26" s="11" t="s">
        <v>237</v>
      </c>
      <c r="L26" s="49" t="str">
        <f>CHOOSE(1, "Martin", "Aaron", "Gareth")</f>
        <v>Martin</v>
      </c>
      <c r="M26" s="50"/>
      <c r="T26">
        <f t="shared" si="0"/>
        <v>11</v>
      </c>
    </row>
    <row r="27" spans="1:20" ht="16" x14ac:dyDescent="0.2">
      <c r="A27" s="11" t="s">
        <v>147</v>
      </c>
      <c r="B27" s="11" t="s">
        <v>148</v>
      </c>
      <c r="C27" s="11">
        <v>94203467</v>
      </c>
      <c r="D27" s="11" t="s">
        <v>178</v>
      </c>
      <c r="E27" s="11">
        <v>6</v>
      </c>
      <c r="F27" s="12">
        <v>0.49</v>
      </c>
      <c r="I27" s="14" t="s">
        <v>105</v>
      </c>
      <c r="J27" s="11" t="s">
        <v>240</v>
      </c>
      <c r="K27" s="11" t="s">
        <v>239</v>
      </c>
      <c r="L27" s="49" t="str">
        <f>CONCATENATE(A6, " and ", A12)</f>
        <v>David and Frank</v>
      </c>
      <c r="M27" s="50"/>
      <c r="T27">
        <f t="shared" si="0"/>
        <v>86</v>
      </c>
    </row>
    <row r="28" spans="1:20" ht="16" x14ac:dyDescent="0.2">
      <c r="A28" s="11" t="s">
        <v>163</v>
      </c>
      <c r="B28" s="11" t="s">
        <v>164</v>
      </c>
      <c r="C28" s="11">
        <v>46357951</v>
      </c>
      <c r="D28" s="11" t="s">
        <v>185</v>
      </c>
      <c r="E28" s="11">
        <v>81</v>
      </c>
      <c r="F28" s="12">
        <v>0.28000000000000003</v>
      </c>
      <c r="I28" s="14" t="s">
        <v>109</v>
      </c>
      <c r="J28" s="4" t="s">
        <v>242</v>
      </c>
      <c r="K28" s="11" t="s">
        <v>241</v>
      </c>
      <c r="L28" s="49">
        <f>EXP(E16)</f>
        <v>1</v>
      </c>
      <c r="M28" s="50"/>
      <c r="T28">
        <f t="shared" si="0"/>
        <v>100</v>
      </c>
    </row>
    <row r="29" spans="1:20" ht="16" x14ac:dyDescent="0.2">
      <c r="A29" s="11" t="s">
        <v>117</v>
      </c>
      <c r="B29" s="11" t="s">
        <v>118</v>
      </c>
      <c r="C29" s="11">
        <v>85246944</v>
      </c>
      <c r="D29" s="11" t="s">
        <v>125</v>
      </c>
      <c r="E29" s="11">
        <v>95</v>
      </c>
      <c r="F29" s="12">
        <v>1</v>
      </c>
      <c r="I29" s="36" t="s">
        <v>3</v>
      </c>
      <c r="J29" s="39" t="s">
        <v>244</v>
      </c>
      <c r="K29" s="39" t="s">
        <v>243</v>
      </c>
      <c r="L29" s="23" t="str">
        <f t="array" ref="L29:P31">TRANSPOSE(B2:D6)</f>
        <v>Xavi</v>
      </c>
      <c r="M29" s="23" t="str">
        <v>Wilshere</v>
      </c>
      <c r="N29" s="23" t="str">
        <v>Warren</v>
      </c>
      <c r="O29" s="23" t="str">
        <v>Walker</v>
      </c>
      <c r="P29" s="24" t="str">
        <v>Villa</v>
      </c>
      <c r="T29">
        <f t="shared" si="0"/>
        <v>69</v>
      </c>
    </row>
    <row r="30" spans="1:20" ht="20" customHeight="1" x14ac:dyDescent="0.2">
      <c r="A30" s="11" t="s">
        <v>34</v>
      </c>
      <c r="B30" s="11" t="s">
        <v>35</v>
      </c>
      <c r="C30" s="11">
        <v>20065874</v>
      </c>
      <c r="D30" s="11" t="s">
        <v>172</v>
      </c>
      <c r="E30" s="11">
        <v>64</v>
      </c>
      <c r="F30" s="12">
        <v>0.94</v>
      </c>
      <c r="I30" s="37"/>
      <c r="J30" s="40"/>
      <c r="K30" s="40"/>
      <c r="L30" s="25">
        <v>21034568</v>
      </c>
      <c r="M30" s="25">
        <v>91347620</v>
      </c>
      <c r="N30" s="25">
        <v>35967148</v>
      </c>
      <c r="O30" s="25">
        <v>89524756</v>
      </c>
      <c r="P30" s="26">
        <v>78942635</v>
      </c>
      <c r="T30">
        <f t="shared" si="0"/>
        <v>39</v>
      </c>
    </row>
    <row r="31" spans="1:20" ht="16" x14ac:dyDescent="0.2">
      <c r="A31" s="11" t="s">
        <v>139</v>
      </c>
      <c r="B31" s="11" t="s">
        <v>140</v>
      </c>
      <c r="C31" s="11">
        <v>70521489</v>
      </c>
      <c r="D31" s="11" t="s">
        <v>175</v>
      </c>
      <c r="E31" s="11">
        <v>34</v>
      </c>
      <c r="F31" s="11"/>
      <c r="I31" s="38"/>
      <c r="J31" s="41"/>
      <c r="K31" s="41"/>
      <c r="L31" s="27" t="str">
        <v>Medical Natural Sciences</v>
      </c>
      <c r="M31" s="27" t="str">
        <v>Politics and History</v>
      </c>
      <c r="N31" s="27" t="str">
        <v>Mathematics</v>
      </c>
      <c r="O31" s="27" t="str">
        <v>Computer Science</v>
      </c>
      <c r="P31" s="28" t="str">
        <v>Economics</v>
      </c>
    </row>
    <row r="32" spans="1:20" ht="16" x14ac:dyDescent="0.2">
      <c r="A32" s="11"/>
      <c r="B32" s="11"/>
      <c r="C32" s="11"/>
      <c r="D32" s="11"/>
      <c r="E32" s="11"/>
      <c r="F32" s="11"/>
      <c r="I32" s="47" t="s">
        <v>311</v>
      </c>
      <c r="J32" s="46" t="s">
        <v>316</v>
      </c>
      <c r="K32" s="46" t="s">
        <v>317</v>
      </c>
      <c r="L32" s="46">
        <f>_xlfn.XLOOKUP("Calvin", Table6[First Name], Table6[Assignment Grade], "N/A", 0, 1)</f>
        <v>0.45</v>
      </c>
    </row>
    <row r="33" spans="1:6" ht="16" x14ac:dyDescent="0.2">
      <c r="A33" s="11" t="s">
        <v>223</v>
      </c>
      <c r="B33" s="11"/>
      <c r="C33" s="11"/>
      <c r="D33" s="11"/>
      <c r="E33" s="11"/>
      <c r="F33" s="11"/>
    </row>
    <row r="34" spans="1:6" ht="16" x14ac:dyDescent="0.2">
      <c r="A34" s="11" t="s">
        <v>221</v>
      </c>
      <c r="B34" s="11">
        <v>36791205</v>
      </c>
      <c r="C34" s="11">
        <v>85246944</v>
      </c>
      <c r="D34" s="11">
        <v>74639845</v>
      </c>
      <c r="E34" s="11">
        <v>20012354</v>
      </c>
      <c r="F34" s="11">
        <v>50504062</v>
      </c>
    </row>
    <row r="35" spans="1:6" ht="16" x14ac:dyDescent="0.2">
      <c r="A35" s="11" t="s">
        <v>27</v>
      </c>
      <c r="B35" s="11" t="s">
        <v>167</v>
      </c>
      <c r="C35" s="11" t="s">
        <v>117</v>
      </c>
      <c r="D35" s="11" t="s">
        <v>131</v>
      </c>
      <c r="E35" s="11" t="s">
        <v>145</v>
      </c>
      <c r="F35" s="11" t="s">
        <v>32</v>
      </c>
    </row>
    <row r="36" spans="1:6" ht="16" x14ac:dyDescent="0.2">
      <c r="A36" s="11"/>
      <c r="B36" s="11"/>
      <c r="C36" s="11"/>
      <c r="D36" s="11"/>
      <c r="E36" s="11"/>
      <c r="F36" s="11"/>
    </row>
    <row r="37" spans="1:6" ht="16" x14ac:dyDescent="0.2">
      <c r="A37" s="11"/>
      <c r="B37" s="11"/>
      <c r="C37" s="11"/>
      <c r="D37" s="11"/>
      <c r="E37" s="11"/>
      <c r="F37" s="11"/>
    </row>
    <row r="38" spans="1:6" ht="16" x14ac:dyDescent="0.2">
      <c r="A38" s="11"/>
      <c r="B38" s="11"/>
      <c r="C38" s="11"/>
      <c r="D38" s="11"/>
      <c r="E38" s="11"/>
      <c r="F38" s="11"/>
    </row>
    <row r="39" spans="1:6" ht="16" x14ac:dyDescent="0.2">
      <c r="A39" s="11"/>
      <c r="B39" s="11"/>
      <c r="C39" s="11"/>
      <c r="D39" s="11"/>
      <c r="E39" s="11"/>
      <c r="F39" s="11"/>
    </row>
    <row r="40" spans="1:6" ht="16" x14ac:dyDescent="0.2">
      <c r="A40" s="11"/>
      <c r="B40" s="11"/>
      <c r="C40" s="11"/>
      <c r="D40" s="11"/>
      <c r="E40" s="11"/>
      <c r="F40" s="11"/>
    </row>
  </sheetData>
  <mergeCells count="3">
    <mergeCell ref="I29:I31"/>
    <mergeCell ref="J29:J31"/>
    <mergeCell ref="K29:K31"/>
  </mergeCells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3FF0-4565-43D2-B0F5-660A7353E914}">
  <dimension ref="A1:V35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16.5" bestFit="1" customWidth="1"/>
    <col min="2" max="2" width="16.1640625" bestFit="1" customWidth="1"/>
    <col min="3" max="3" width="30.83203125" bestFit="1" customWidth="1"/>
    <col min="4" max="4" width="39.1640625" bestFit="1" customWidth="1"/>
    <col min="5" max="5" width="11" customWidth="1"/>
    <col min="6" max="6" width="25.83203125" bestFit="1" customWidth="1"/>
    <col min="7" max="8" width="24" customWidth="1"/>
    <col min="9" max="9" width="25.83203125" bestFit="1" customWidth="1"/>
    <col min="10" max="10" width="12.5" bestFit="1" customWidth="1"/>
    <col min="11" max="11" width="12.5" customWidth="1"/>
    <col min="12" max="12" width="109.83203125" bestFit="1" customWidth="1"/>
    <col min="13" max="13" width="18.83203125" customWidth="1"/>
    <col min="14" max="14" width="40.1640625" customWidth="1"/>
    <col min="15" max="15" width="10.5" customWidth="1"/>
    <col min="16" max="16" width="41.1640625" bestFit="1" customWidth="1"/>
    <col min="17" max="17" width="33.1640625" bestFit="1" customWidth="1"/>
    <col min="18" max="19" width="26.33203125" bestFit="1" customWidth="1"/>
    <col min="20" max="20" width="11" bestFit="1" customWidth="1"/>
    <col min="21" max="21" width="20.6640625" bestFit="1" customWidth="1"/>
    <col min="22" max="22" width="27" bestFit="1" customWidth="1"/>
  </cols>
  <sheetData>
    <row r="1" spans="1:22" ht="20" x14ac:dyDescent="0.25">
      <c r="A1" s="6" t="s">
        <v>27</v>
      </c>
      <c r="B1" s="6" t="s">
        <v>28</v>
      </c>
      <c r="C1" s="6" t="s">
        <v>189</v>
      </c>
      <c r="D1" s="6" t="s">
        <v>29</v>
      </c>
      <c r="E1" s="6" t="s">
        <v>10</v>
      </c>
      <c r="F1" s="6" t="s">
        <v>197</v>
      </c>
      <c r="G1" s="6" t="s">
        <v>289</v>
      </c>
      <c r="H1" s="6" t="s">
        <v>307</v>
      </c>
      <c r="I1" s="6" t="s">
        <v>280</v>
      </c>
      <c r="J1" s="6" t="s">
        <v>306</v>
      </c>
      <c r="K1" s="6"/>
      <c r="L1" s="6" t="s">
        <v>263</v>
      </c>
      <c r="M1" s="6" t="s">
        <v>264</v>
      </c>
      <c r="N1" s="6" t="s">
        <v>286</v>
      </c>
      <c r="P1" s="33" t="s">
        <v>310</v>
      </c>
      <c r="Q1" s="43" t="s">
        <v>11</v>
      </c>
      <c r="R1" s="44"/>
      <c r="S1" s="44"/>
      <c r="T1" s="44"/>
      <c r="U1" s="44"/>
      <c r="V1" s="44"/>
    </row>
    <row r="2" spans="1:22" ht="16" x14ac:dyDescent="0.2">
      <c r="A2" s="22" t="s">
        <v>288</v>
      </c>
      <c r="B2" s="11" t="s">
        <v>19</v>
      </c>
      <c r="C2" s="11">
        <v>80004594</v>
      </c>
      <c r="D2" s="11" t="s">
        <v>181</v>
      </c>
      <c r="E2" s="11">
        <v>82</v>
      </c>
      <c r="F2" s="12">
        <v>0.76</v>
      </c>
      <c r="G2" s="17">
        <v>86</v>
      </c>
      <c r="H2" s="29"/>
      <c r="I2" s="19">
        <v>0.05</v>
      </c>
      <c r="J2" s="35">
        <v>0.1</v>
      </c>
      <c r="K2" s="19"/>
      <c r="L2" t="s">
        <v>290</v>
      </c>
      <c r="M2" s="30"/>
      <c r="N2" s="31"/>
      <c r="P2" s="42" t="s">
        <v>309</v>
      </c>
      <c r="Q2" s="34"/>
      <c r="R2" s="34"/>
      <c r="S2" s="34"/>
      <c r="T2" s="34"/>
      <c r="U2" s="34"/>
      <c r="V2" s="34"/>
    </row>
    <row r="3" spans="1:22" ht="16" x14ac:dyDescent="0.2">
      <c r="A3" s="22" t="s">
        <v>16</v>
      </c>
      <c r="B3" s="11" t="s">
        <v>30</v>
      </c>
      <c r="C3" s="11">
        <v>89524756</v>
      </c>
      <c r="D3" s="11" t="s">
        <v>126</v>
      </c>
      <c r="E3" s="11">
        <v>93.12</v>
      </c>
      <c r="F3" s="12">
        <v>0.98</v>
      </c>
      <c r="G3" s="17">
        <v>49</v>
      </c>
      <c r="H3" s="29"/>
      <c r="I3" s="19"/>
      <c r="L3" t="s">
        <v>282</v>
      </c>
      <c r="M3" s="32"/>
      <c r="N3" s="31"/>
      <c r="P3" s="42"/>
      <c r="Q3" s="34"/>
      <c r="R3" s="34"/>
      <c r="S3" s="34"/>
      <c r="T3" s="34"/>
      <c r="U3" s="34"/>
      <c r="V3" s="34"/>
    </row>
    <row r="4" spans="1:22" ht="16" x14ac:dyDescent="0.2">
      <c r="A4" s="11" t="s">
        <v>121</v>
      </c>
      <c r="B4" s="11" t="s">
        <v>122</v>
      </c>
      <c r="C4" s="11">
        <v>96415754</v>
      </c>
      <c r="D4" s="11" t="s">
        <v>128</v>
      </c>
      <c r="E4" s="11">
        <v>91.89</v>
      </c>
      <c r="F4" s="12">
        <v>0.49</v>
      </c>
      <c r="G4" s="17">
        <v>71</v>
      </c>
      <c r="H4" s="29"/>
      <c r="I4" s="19">
        <v>0.05</v>
      </c>
      <c r="L4" t="s">
        <v>291</v>
      </c>
      <c r="M4" s="32"/>
      <c r="N4" s="32"/>
    </row>
    <row r="5" spans="1:22" ht="16" x14ac:dyDescent="0.2">
      <c r="A5" s="11" t="s">
        <v>145</v>
      </c>
      <c r="B5" s="11" t="s">
        <v>146</v>
      </c>
      <c r="C5" s="11">
        <v>20012354</v>
      </c>
      <c r="D5" s="11" t="s">
        <v>177</v>
      </c>
      <c r="E5" s="11">
        <v>67</v>
      </c>
      <c r="F5" s="12">
        <v>1</v>
      </c>
      <c r="G5" s="17">
        <v>56</v>
      </c>
      <c r="H5" s="29"/>
      <c r="I5" s="19">
        <v>0.05</v>
      </c>
      <c r="L5" t="s">
        <v>276</v>
      </c>
      <c r="M5" s="32"/>
      <c r="N5" s="31"/>
    </row>
    <row r="6" spans="1:22" ht="16" x14ac:dyDescent="0.2">
      <c r="A6" s="11" t="s">
        <v>133</v>
      </c>
      <c r="B6" s="11" t="s">
        <v>134</v>
      </c>
      <c r="C6" s="11">
        <v>13605894</v>
      </c>
      <c r="D6" s="11" t="s">
        <v>171</v>
      </c>
      <c r="E6" s="11">
        <v>52</v>
      </c>
      <c r="F6" s="12">
        <v>0.41</v>
      </c>
      <c r="G6" s="17"/>
      <c r="H6" s="29"/>
      <c r="I6" s="19"/>
      <c r="L6" t="s">
        <v>292</v>
      </c>
      <c r="M6" s="32"/>
      <c r="N6" s="31"/>
    </row>
    <row r="7" spans="1:22" ht="16" x14ac:dyDescent="0.2">
      <c r="A7" s="11" t="s">
        <v>156</v>
      </c>
      <c r="B7" s="11" t="s">
        <v>157</v>
      </c>
      <c r="C7" s="11">
        <v>23015207</v>
      </c>
      <c r="D7" s="11" t="s">
        <v>123</v>
      </c>
      <c r="E7" s="11">
        <v>81.540000000000006</v>
      </c>
      <c r="F7" s="11"/>
      <c r="G7" s="17">
        <v>63</v>
      </c>
      <c r="H7" s="29"/>
      <c r="I7" s="19"/>
      <c r="L7" t="s">
        <v>266</v>
      </c>
      <c r="M7" s="32"/>
      <c r="N7" s="31"/>
    </row>
    <row r="8" spans="1:22" ht="16" x14ac:dyDescent="0.2">
      <c r="A8" s="11" t="s">
        <v>20</v>
      </c>
      <c r="B8" s="11" t="s">
        <v>149</v>
      </c>
      <c r="C8" s="11">
        <v>30048965</v>
      </c>
      <c r="D8" s="11" t="s">
        <v>169</v>
      </c>
      <c r="E8" s="11">
        <v>64</v>
      </c>
      <c r="F8" s="12">
        <v>0.45</v>
      </c>
      <c r="G8" s="17">
        <v>39</v>
      </c>
      <c r="H8" s="29"/>
      <c r="I8" s="19"/>
      <c r="L8" t="s">
        <v>283</v>
      </c>
      <c r="M8" s="32"/>
      <c r="N8" s="31"/>
    </row>
    <row r="9" spans="1:22" ht="16" x14ac:dyDescent="0.2">
      <c r="A9" s="11" t="s">
        <v>147</v>
      </c>
      <c r="B9" s="11" t="s">
        <v>148</v>
      </c>
      <c r="C9" s="11">
        <v>94203467</v>
      </c>
      <c r="D9" s="11" t="s">
        <v>178</v>
      </c>
      <c r="E9" s="11">
        <v>27</v>
      </c>
      <c r="F9" s="12">
        <v>0.49</v>
      </c>
      <c r="G9" s="17">
        <v>82</v>
      </c>
      <c r="H9" s="29"/>
      <c r="I9" s="19"/>
      <c r="L9" t="s">
        <v>284</v>
      </c>
      <c r="M9" s="32"/>
      <c r="N9" s="31"/>
    </row>
    <row r="10" spans="1:22" ht="16" x14ac:dyDescent="0.2">
      <c r="A10" s="11" t="s">
        <v>12</v>
      </c>
      <c r="B10" s="11" t="s">
        <v>116</v>
      </c>
      <c r="C10" s="11">
        <v>78942635</v>
      </c>
      <c r="D10" s="11" t="s">
        <v>175</v>
      </c>
      <c r="E10" s="11">
        <v>76.52</v>
      </c>
      <c r="F10" s="11"/>
      <c r="G10" s="17">
        <v>220</v>
      </c>
      <c r="H10" s="29"/>
      <c r="I10" s="19">
        <v>0.05</v>
      </c>
      <c r="L10" t="s">
        <v>285</v>
      </c>
      <c r="M10" s="32"/>
      <c r="N10" s="31"/>
    </row>
    <row r="11" spans="1:22" ht="16" x14ac:dyDescent="0.2">
      <c r="A11" s="11" t="s">
        <v>119</v>
      </c>
      <c r="B11" s="11" t="s">
        <v>120</v>
      </c>
      <c r="C11" s="11">
        <v>56321489</v>
      </c>
      <c r="D11" s="11" t="s">
        <v>127</v>
      </c>
      <c r="E11" s="11">
        <v>82</v>
      </c>
      <c r="F11" s="12">
        <v>0.74</v>
      </c>
      <c r="G11" s="17"/>
      <c r="H11" s="29"/>
      <c r="I11" s="19">
        <v>0.05</v>
      </c>
      <c r="L11" t="s">
        <v>287</v>
      </c>
      <c r="M11" s="32"/>
      <c r="N11" s="32"/>
    </row>
    <row r="12" spans="1:22" ht="16" x14ac:dyDescent="0.2">
      <c r="A12" s="11" t="s">
        <v>152</v>
      </c>
      <c r="B12" s="11" t="s">
        <v>153</v>
      </c>
      <c r="C12" s="11">
        <v>46568944</v>
      </c>
      <c r="D12" s="11" t="s">
        <v>175</v>
      </c>
      <c r="E12" s="11">
        <v>10.125</v>
      </c>
      <c r="F12" s="12">
        <v>0.66</v>
      </c>
      <c r="G12" s="17">
        <v>68</v>
      </c>
      <c r="H12" s="29"/>
      <c r="I12" s="19">
        <v>0.05</v>
      </c>
      <c r="L12" t="s">
        <v>293</v>
      </c>
      <c r="M12" s="32"/>
      <c r="N12" s="32"/>
    </row>
    <row r="13" spans="1:22" ht="16" x14ac:dyDescent="0.2">
      <c r="A13" s="11" t="s">
        <v>129</v>
      </c>
      <c r="B13" s="11" t="s">
        <v>130</v>
      </c>
      <c r="C13" s="11">
        <v>35967148</v>
      </c>
      <c r="D13" s="11" t="s">
        <v>169</v>
      </c>
      <c r="E13" s="11">
        <v>23.78</v>
      </c>
      <c r="F13" s="12">
        <v>0.56999999999999995</v>
      </c>
      <c r="G13" s="17">
        <v>84</v>
      </c>
      <c r="H13" s="29"/>
      <c r="I13" s="19"/>
      <c r="L13" t="s">
        <v>270</v>
      </c>
      <c r="M13" s="32"/>
      <c r="N13" s="31"/>
    </row>
    <row r="14" spans="1:22" ht="16" x14ac:dyDescent="0.2">
      <c r="A14" s="11" t="s">
        <v>154</v>
      </c>
      <c r="B14" s="11" t="s">
        <v>155</v>
      </c>
      <c r="C14" s="11">
        <v>91548634</v>
      </c>
      <c r="D14" s="11" t="s">
        <v>171</v>
      </c>
      <c r="E14" s="11">
        <v>37</v>
      </c>
      <c r="F14" s="11"/>
      <c r="G14" s="17">
        <v>77</v>
      </c>
      <c r="H14" s="29"/>
      <c r="I14" s="19"/>
      <c r="L14" t="s">
        <v>294</v>
      </c>
      <c r="M14" s="30"/>
      <c r="N14" s="31"/>
    </row>
    <row r="15" spans="1:22" ht="16" x14ac:dyDescent="0.2">
      <c r="A15" s="11" t="s">
        <v>56</v>
      </c>
      <c r="B15" s="11" t="s">
        <v>162</v>
      </c>
      <c r="C15" s="11">
        <v>67193456</v>
      </c>
      <c r="D15" s="11" t="s">
        <v>184</v>
      </c>
      <c r="E15" s="11">
        <v>41</v>
      </c>
      <c r="F15" s="12">
        <v>0.54</v>
      </c>
      <c r="G15" s="17"/>
      <c r="H15" s="29"/>
      <c r="I15" s="19"/>
      <c r="L15" t="s">
        <v>271</v>
      </c>
      <c r="M15" s="30"/>
      <c r="N15" s="31"/>
    </row>
    <row r="16" spans="1:22" ht="16" x14ac:dyDescent="0.2">
      <c r="A16" s="11" t="s">
        <v>34</v>
      </c>
      <c r="B16" s="11" t="s">
        <v>35</v>
      </c>
      <c r="C16" s="11">
        <v>20065874</v>
      </c>
      <c r="D16" s="11" t="s">
        <v>172</v>
      </c>
      <c r="E16" s="11">
        <v>64</v>
      </c>
      <c r="F16" s="12">
        <v>0.94</v>
      </c>
      <c r="G16" s="17">
        <v>8</v>
      </c>
      <c r="H16" s="29"/>
      <c r="I16" s="19">
        <v>0.05</v>
      </c>
      <c r="L16" t="s">
        <v>273</v>
      </c>
      <c r="M16" s="32"/>
      <c r="N16" s="32"/>
    </row>
    <row r="17" spans="1:18" ht="16" x14ac:dyDescent="0.2">
      <c r="A17" s="11" t="s">
        <v>165</v>
      </c>
      <c r="B17" s="11" t="s">
        <v>166</v>
      </c>
      <c r="C17" s="11">
        <v>21034568</v>
      </c>
      <c r="D17" s="11" t="s">
        <v>174</v>
      </c>
      <c r="E17" s="11">
        <v>91.56</v>
      </c>
      <c r="F17" s="12">
        <v>0.82</v>
      </c>
      <c r="G17" s="17">
        <v>145</v>
      </c>
      <c r="H17" s="29"/>
      <c r="I17" s="19">
        <v>0.05</v>
      </c>
      <c r="L17" t="s">
        <v>274</v>
      </c>
      <c r="M17" s="32"/>
      <c r="N17" s="32"/>
    </row>
    <row r="18" spans="1:18" ht="16" x14ac:dyDescent="0.2">
      <c r="A18" s="11" t="s">
        <v>158</v>
      </c>
      <c r="B18" s="11" t="s">
        <v>159</v>
      </c>
      <c r="C18" s="11">
        <v>91347620</v>
      </c>
      <c r="D18" s="11" t="s">
        <v>182</v>
      </c>
      <c r="E18" s="11">
        <v>14.47</v>
      </c>
      <c r="F18" s="11"/>
      <c r="G18" s="17"/>
      <c r="H18" s="29"/>
      <c r="I18" s="19">
        <v>0.05</v>
      </c>
      <c r="L18" t="s">
        <v>275</v>
      </c>
      <c r="M18" s="32"/>
      <c r="N18" s="31"/>
    </row>
    <row r="19" spans="1:18" ht="16" x14ac:dyDescent="0.2">
      <c r="A19" s="11" t="s">
        <v>163</v>
      </c>
      <c r="B19" s="11" t="s">
        <v>164</v>
      </c>
      <c r="C19" s="11">
        <v>46357951</v>
      </c>
      <c r="D19" s="11" t="s">
        <v>185</v>
      </c>
      <c r="E19" s="11">
        <v>81</v>
      </c>
      <c r="F19" s="12">
        <v>0.28000000000000003</v>
      </c>
      <c r="G19" s="17">
        <v>38</v>
      </c>
      <c r="H19" s="29"/>
      <c r="I19" s="19"/>
      <c r="L19" t="s">
        <v>296</v>
      </c>
      <c r="M19" s="32"/>
      <c r="N19" s="32"/>
    </row>
    <row r="20" spans="1:18" ht="16" x14ac:dyDescent="0.2">
      <c r="A20" s="11" t="s">
        <v>141</v>
      </c>
      <c r="B20" s="11" t="s">
        <v>142</v>
      </c>
      <c r="C20" s="11">
        <v>90548765</v>
      </c>
      <c r="D20" s="11" t="s">
        <v>176</v>
      </c>
      <c r="E20" s="11">
        <v>0</v>
      </c>
      <c r="F20" s="12">
        <v>0.79</v>
      </c>
      <c r="G20" s="17">
        <v>56</v>
      </c>
      <c r="H20" s="29"/>
      <c r="I20" s="19"/>
      <c r="L20" t="s">
        <v>298</v>
      </c>
      <c r="M20" s="32"/>
      <c r="N20" s="31"/>
    </row>
    <row r="21" spans="1:18" ht="16" x14ac:dyDescent="0.2">
      <c r="A21" s="11" t="s">
        <v>115</v>
      </c>
      <c r="B21" s="11" t="s">
        <v>31</v>
      </c>
      <c r="C21" s="11">
        <v>65207895</v>
      </c>
      <c r="D21" s="11" t="s">
        <v>123</v>
      </c>
      <c r="E21" s="11">
        <v>45</v>
      </c>
      <c r="F21" s="12">
        <v>0.89</v>
      </c>
      <c r="G21" s="17"/>
      <c r="H21" s="29"/>
      <c r="I21" s="19"/>
      <c r="L21" t="s">
        <v>299</v>
      </c>
      <c r="M21" s="32"/>
      <c r="N21" s="31"/>
    </row>
    <row r="22" spans="1:18" ht="16" x14ac:dyDescent="0.2">
      <c r="A22" s="11" t="s">
        <v>137</v>
      </c>
      <c r="B22" s="11" t="s">
        <v>138</v>
      </c>
      <c r="C22" s="11">
        <v>30164798</v>
      </c>
      <c r="D22" s="11" t="s">
        <v>174</v>
      </c>
      <c r="E22" s="11">
        <v>73</v>
      </c>
      <c r="F22" s="12">
        <v>0.14000000000000001</v>
      </c>
      <c r="G22" s="17">
        <v>320</v>
      </c>
      <c r="H22" s="29"/>
      <c r="I22" s="19"/>
      <c r="L22" t="s">
        <v>300</v>
      </c>
      <c r="M22" s="32"/>
      <c r="N22" s="31"/>
    </row>
    <row r="23" spans="1:18" ht="16" x14ac:dyDescent="0.2">
      <c r="A23" s="11" t="s">
        <v>160</v>
      </c>
      <c r="B23" s="11" t="s">
        <v>161</v>
      </c>
      <c r="C23" s="11">
        <v>84561237</v>
      </c>
      <c r="D23" s="11" t="s">
        <v>183</v>
      </c>
      <c r="E23" s="11">
        <v>67</v>
      </c>
      <c r="F23" s="11"/>
      <c r="G23" s="17">
        <v>97</v>
      </c>
      <c r="H23" s="29"/>
      <c r="I23" s="19"/>
      <c r="L23" t="s">
        <v>278</v>
      </c>
      <c r="M23" s="32"/>
      <c r="N23" s="31"/>
    </row>
    <row r="24" spans="1:18" ht="16" x14ac:dyDescent="0.2">
      <c r="A24" s="11" t="s">
        <v>150</v>
      </c>
      <c r="B24" s="11" t="s">
        <v>151</v>
      </c>
      <c r="C24" s="11">
        <v>78852155</v>
      </c>
      <c r="D24" s="11" t="s">
        <v>180</v>
      </c>
      <c r="E24" s="11">
        <v>49</v>
      </c>
      <c r="F24" s="12">
        <v>0.98</v>
      </c>
      <c r="G24" s="17">
        <v>3</v>
      </c>
      <c r="H24" s="29"/>
      <c r="I24" s="19">
        <v>0.05</v>
      </c>
      <c r="L24" t="s">
        <v>301</v>
      </c>
      <c r="M24" s="32"/>
      <c r="N24" s="31"/>
    </row>
    <row r="25" spans="1:18" ht="16" x14ac:dyDescent="0.2">
      <c r="A25" s="11" t="s">
        <v>143</v>
      </c>
      <c r="B25" s="11" t="s">
        <v>144</v>
      </c>
      <c r="C25" s="11">
        <v>78965234</v>
      </c>
      <c r="D25" s="11" t="s">
        <v>65</v>
      </c>
      <c r="E25" s="11">
        <v>56</v>
      </c>
      <c r="F25" s="11"/>
      <c r="G25" s="17"/>
      <c r="H25" s="29"/>
      <c r="I25" s="19"/>
      <c r="L25" t="s">
        <v>302</v>
      </c>
      <c r="M25" s="32"/>
      <c r="N25" s="31"/>
    </row>
    <row r="26" spans="1:18" ht="16" x14ac:dyDescent="0.2">
      <c r="A26" s="11" t="s">
        <v>135</v>
      </c>
      <c r="B26" s="11" t="s">
        <v>136</v>
      </c>
      <c r="C26" s="11">
        <v>90805621</v>
      </c>
      <c r="D26" s="11" t="s">
        <v>173</v>
      </c>
      <c r="E26" s="11">
        <v>87.71</v>
      </c>
      <c r="F26" s="12">
        <v>0.91</v>
      </c>
      <c r="G26" s="17">
        <v>42</v>
      </c>
      <c r="H26" s="29"/>
      <c r="I26" s="19">
        <v>0.05</v>
      </c>
      <c r="L26" t="s">
        <v>303</v>
      </c>
      <c r="M26" s="32"/>
      <c r="N26" s="31"/>
    </row>
    <row r="27" spans="1:18" ht="16" x14ac:dyDescent="0.2">
      <c r="A27" s="11" t="s">
        <v>131</v>
      </c>
      <c r="B27" s="11" t="s">
        <v>132</v>
      </c>
      <c r="C27" s="11">
        <v>74639845</v>
      </c>
      <c r="D27" s="11" t="s">
        <v>170</v>
      </c>
      <c r="E27" s="11">
        <v>52</v>
      </c>
      <c r="F27" s="12">
        <v>0.81</v>
      </c>
      <c r="G27" s="17">
        <v>61</v>
      </c>
      <c r="H27" s="29"/>
      <c r="I27" s="19"/>
      <c r="L27" t="s">
        <v>304</v>
      </c>
      <c r="M27" s="32"/>
      <c r="N27" s="31"/>
    </row>
    <row r="28" spans="1:18" ht="16" x14ac:dyDescent="0.2">
      <c r="A28" s="11" t="s">
        <v>32</v>
      </c>
      <c r="B28" s="11" t="s">
        <v>33</v>
      </c>
      <c r="C28" s="11">
        <v>50504062</v>
      </c>
      <c r="D28" s="11" t="s">
        <v>179</v>
      </c>
      <c r="E28" s="11">
        <v>99</v>
      </c>
      <c r="F28" s="12">
        <v>0.67</v>
      </c>
      <c r="G28" s="17">
        <v>34</v>
      </c>
      <c r="H28" s="29"/>
      <c r="I28" s="19"/>
      <c r="L28" t="s">
        <v>305</v>
      </c>
      <c r="M28" s="32"/>
      <c r="N28" s="32"/>
    </row>
    <row r="29" spans="1:18" ht="16" x14ac:dyDescent="0.2">
      <c r="A29" s="11" t="s">
        <v>167</v>
      </c>
      <c r="B29" s="11" t="s">
        <v>168</v>
      </c>
      <c r="C29" s="11">
        <v>36791205</v>
      </c>
      <c r="D29" s="11" t="s">
        <v>175</v>
      </c>
      <c r="E29" s="11">
        <v>85</v>
      </c>
      <c r="F29" s="11"/>
      <c r="G29" s="17"/>
      <c r="H29" s="29"/>
      <c r="I29" s="19"/>
      <c r="L29" t="s">
        <v>308</v>
      </c>
      <c r="M29" s="31"/>
      <c r="N29" s="31"/>
    </row>
    <row r="30" spans="1:18" ht="16" x14ac:dyDescent="0.2">
      <c r="A30" s="11" t="s">
        <v>139</v>
      </c>
      <c r="B30" s="11" t="s">
        <v>140</v>
      </c>
      <c r="C30" s="11">
        <v>70521489</v>
      </c>
      <c r="D30" s="11" t="s">
        <v>175</v>
      </c>
      <c r="E30" s="11">
        <v>34</v>
      </c>
      <c r="F30" s="11"/>
      <c r="G30" s="17">
        <v>18</v>
      </c>
      <c r="H30" s="29"/>
      <c r="I30" s="19"/>
      <c r="O30" s="25"/>
      <c r="P30" s="25"/>
      <c r="Q30" s="25"/>
      <c r="R30" s="25"/>
    </row>
    <row r="31" spans="1:18" ht="16" x14ac:dyDescent="0.2">
      <c r="A31" s="11" t="s">
        <v>117</v>
      </c>
      <c r="B31" s="11" t="s">
        <v>118</v>
      </c>
      <c r="C31" s="11">
        <v>85246944</v>
      </c>
      <c r="D31" s="11" t="s">
        <v>125</v>
      </c>
      <c r="E31" s="11">
        <v>95</v>
      </c>
      <c r="F31" s="12">
        <v>1</v>
      </c>
      <c r="G31" s="17">
        <v>162</v>
      </c>
      <c r="H31" s="29"/>
      <c r="I31" s="19">
        <v>0.05</v>
      </c>
      <c r="O31" s="25"/>
      <c r="P31" s="25"/>
      <c r="Q31" s="25"/>
      <c r="R31" s="25"/>
    </row>
    <row r="32" spans="1:18" x14ac:dyDescent="0.2">
      <c r="O32" s="25"/>
      <c r="P32" s="25"/>
      <c r="Q32" s="25"/>
      <c r="R32" s="25"/>
    </row>
    <row r="33" spans="1:18" ht="20" x14ac:dyDescent="0.25">
      <c r="A33" s="43" t="s">
        <v>277</v>
      </c>
      <c r="B33" s="44"/>
      <c r="C33" s="44"/>
      <c r="D33" s="44"/>
      <c r="E33" s="44"/>
      <c r="F33" s="44"/>
      <c r="G33" s="44"/>
      <c r="O33" s="25"/>
      <c r="P33" s="25"/>
      <c r="Q33" s="25"/>
      <c r="R33" s="25"/>
    </row>
    <row r="34" spans="1:18" x14ac:dyDescent="0.2">
      <c r="A34" t="s">
        <v>28</v>
      </c>
      <c r="B34" s="18" t="s">
        <v>140</v>
      </c>
      <c r="C34" t="s">
        <v>151</v>
      </c>
      <c r="D34" t="s">
        <v>159</v>
      </c>
      <c r="E34" t="s">
        <v>157</v>
      </c>
      <c r="F34" t="s">
        <v>146</v>
      </c>
      <c r="G34" t="s">
        <v>118</v>
      </c>
    </row>
    <row r="35" spans="1:18" x14ac:dyDescent="0.2">
      <c r="A35" t="s">
        <v>295</v>
      </c>
      <c r="B35" s="18">
        <v>18</v>
      </c>
      <c r="C35" s="18">
        <v>3</v>
      </c>
      <c r="E35" s="18">
        <v>63</v>
      </c>
      <c r="F35" s="18">
        <v>56</v>
      </c>
      <c r="G35" s="18">
        <v>162</v>
      </c>
      <c r="H35" s="18"/>
    </row>
  </sheetData>
  <mergeCells count="3">
    <mergeCell ref="P2:P3"/>
    <mergeCell ref="Q1:V1"/>
    <mergeCell ref="A33:G33"/>
  </mergeCells>
  <phoneticPr fontId="1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Tables and Examples</vt:lpstr>
      <vt:lpstr>Challenges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Microsoft Office User</cp:lastModifiedBy>
  <dcterms:created xsi:type="dcterms:W3CDTF">2020-03-22T13:30:56Z</dcterms:created>
  <dcterms:modified xsi:type="dcterms:W3CDTF">2022-02-09T11:55:46Z</dcterms:modified>
</cp:coreProperties>
</file>