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Ferdous\Desktop\Study___________________________________\Financial Analysis BT Group\"/>
    </mc:Choice>
  </mc:AlternateContent>
  <xr:revisionPtr revIDLastSave="0" documentId="13_ncr:1_{933F639D-049E-46FF-B0CE-6DE0634A5B04}" xr6:coauthVersionLast="47" xr6:coauthVersionMax="47" xr10:uidLastSave="{00000000-0000-0000-0000-000000000000}"/>
  <bookViews>
    <workbookView xWindow="-120" yWindow="-120" windowWidth="29040" windowHeight="15840" tabRatio="807" activeTab="5" xr2:uid="{00000000-000D-0000-FFFF-FFFF00000000}"/>
  </bookViews>
  <sheets>
    <sheet name="P&amp;L 2022-25" sheetId="2" r:id="rId1"/>
    <sheet name="P&amp;L 2025" sheetId="13" state="hidden" r:id="rId2"/>
    <sheet name="Balance Sheet 2022-24" sheetId="3" r:id="rId3"/>
    <sheet name="BS 25" sheetId="14" state="hidden" r:id="rId4"/>
    <sheet name="CF 2022-24" sheetId="4" r:id="rId5"/>
    <sheet name="Ratio Analysis" sheetId="8" r:id="rId6"/>
    <sheet name="DashBoard" sheetId="12" r:id="rId7"/>
    <sheet name="P&amp;L 2022-24 Veritical Analysis" sheetId="9" r:id="rId8"/>
    <sheet name="BalanceSheet Verticle Analysis" sheetId="11" r:id="rId9"/>
  </sheets>
  <externalReferences>
    <externalReference r:id="rId10"/>
  </externalReferences>
  <definedNames>
    <definedName name="ExternalData_1" localSheetId="7" hidden="1">'P&amp;L 2022-24 Veritical Analysis'!$B$5:$E$25</definedName>
    <definedName name="ExternalData_1" localSheetId="0" hidden="1">'P&amp;L 2022-25'!$B$5:$E$25</definedName>
    <definedName name="ExternalData_2" localSheetId="2" hidden="1">'Balance Sheet 2022-24'!$B$5:$F$67</definedName>
    <definedName name="ExternalData_2" localSheetId="8" hidden="1">'BalanceSheet Verticle Analysis'!$B$5:$F$67</definedName>
    <definedName name="ExternalData_3" localSheetId="4" hidden="1">'CF 2022-24'!$B$5:$D$70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8" i="9"/>
  <c r="C9" i="9"/>
  <c r="C10" i="9"/>
  <c r="D43" i="8"/>
  <c r="D31" i="8"/>
  <c r="D32" i="8"/>
  <c r="D33" i="8"/>
  <c r="D34" i="8" s="1"/>
  <c r="C23" i="3"/>
  <c r="C31" i="3" s="1"/>
  <c r="C33" i="3" s="1"/>
  <c r="C28" i="3"/>
  <c r="C29" i="3"/>
  <c r="C30" i="3"/>
  <c r="C32" i="3"/>
  <c r="C38" i="3"/>
  <c r="C45" i="3" s="1"/>
  <c r="C47" i="3" s="1"/>
  <c r="D23" i="8" s="1"/>
  <c r="C39" i="3"/>
  <c r="C40" i="3"/>
  <c r="C41" i="3"/>
  <c r="C44" i="3"/>
  <c r="C46" i="3"/>
  <c r="C55" i="3"/>
  <c r="C57" i="3" s="1"/>
  <c r="D45" i="8" s="1"/>
  <c r="C56" i="3"/>
  <c r="C60" i="3"/>
  <c r="C61" i="3"/>
  <c r="C62" i="3"/>
  <c r="C63" i="3"/>
  <c r="C64" i="3"/>
  <c r="C65" i="3"/>
  <c r="C66" i="3"/>
  <c r="C18" i="3"/>
  <c r="C8" i="3"/>
  <c r="C20" i="3" s="1"/>
  <c r="C9" i="3"/>
  <c r="C10" i="3"/>
  <c r="C11" i="3"/>
  <c r="C12" i="3"/>
  <c r="C13" i="3"/>
  <c r="C14" i="3"/>
  <c r="C16" i="3"/>
  <c r="C17" i="3"/>
  <c r="C19" i="3"/>
  <c r="B56" i="14"/>
  <c r="B58" i="14" s="1"/>
  <c r="B49" i="14"/>
  <c r="B37" i="14"/>
  <c r="B24" i="14"/>
  <c r="B26" i="14" s="1"/>
  <c r="B15" i="14"/>
  <c r="B2" i="14"/>
  <c r="D11" i="8"/>
  <c r="D10" i="8"/>
  <c r="D9" i="8"/>
  <c r="C8" i="2"/>
  <c r="C9" i="2"/>
  <c r="C10" i="2"/>
  <c r="C11" i="2"/>
  <c r="C12" i="2"/>
  <c r="C13" i="2"/>
  <c r="C15" i="2"/>
  <c r="C16" i="2"/>
  <c r="C17" i="2"/>
  <c r="C19" i="2"/>
  <c r="C20" i="2"/>
  <c r="C21" i="2"/>
  <c r="C22" i="2"/>
  <c r="C23" i="2"/>
  <c r="C24" i="2"/>
  <c r="C25" i="2"/>
  <c r="E13" i="13"/>
  <c r="D34" i="13"/>
  <c r="C34" i="13"/>
  <c r="E33" i="13"/>
  <c r="E34" i="13" s="1"/>
  <c r="E32" i="13"/>
  <c r="E28" i="13"/>
  <c r="E24" i="13"/>
  <c r="E21" i="13"/>
  <c r="E20" i="13"/>
  <c r="E19" i="13"/>
  <c r="E16" i="13"/>
  <c r="E12" i="13"/>
  <c r="E11" i="13"/>
  <c r="D9" i="13"/>
  <c r="D14" i="13" s="1"/>
  <c r="D17" i="13" s="1"/>
  <c r="D22" i="13" s="1"/>
  <c r="D25" i="13" s="1"/>
  <c r="D29" i="13" s="1"/>
  <c r="C9" i="13"/>
  <c r="C14" i="13" s="1"/>
  <c r="C17" i="13" s="1"/>
  <c r="C22" i="13" s="1"/>
  <c r="C25" i="13" s="1"/>
  <c r="C29" i="13" s="1"/>
  <c r="E8" i="13"/>
  <c r="E7" i="13"/>
  <c r="E9" i="13" s="1"/>
  <c r="C3" i="13"/>
  <c r="D22" i="8" l="1"/>
  <c r="C34" i="3"/>
  <c r="D21" i="8"/>
  <c r="D29" i="8"/>
  <c r="D30" i="8" s="1"/>
  <c r="D35" i="8" s="1"/>
  <c r="D13" i="8"/>
  <c r="C58" i="3"/>
  <c r="B39" i="14"/>
  <c r="B50" i="14" s="1"/>
  <c r="E14" i="13"/>
  <c r="E17" i="13" s="1"/>
  <c r="E22" i="13" s="1"/>
  <c r="E25" i="13" s="1"/>
  <c r="E29" i="13" s="1"/>
  <c r="C8" i="11" l="1"/>
  <c r="C12" i="11"/>
  <c r="C16" i="11"/>
  <c r="C20" i="11"/>
  <c r="C25" i="11"/>
  <c r="C30" i="11"/>
  <c r="C34" i="11"/>
  <c r="C9" i="11"/>
  <c r="C13" i="11"/>
  <c r="C17" i="11"/>
  <c r="C22" i="11"/>
  <c r="C27" i="11"/>
  <c r="C31" i="11"/>
  <c r="C10" i="11"/>
  <c r="C14" i="11"/>
  <c r="C18" i="11"/>
  <c r="C23" i="11"/>
  <c r="C28" i="11"/>
  <c r="C32" i="11"/>
  <c r="D12" i="8"/>
  <c r="D14" i="8" s="1"/>
  <c r="C11" i="11"/>
  <c r="C15" i="11"/>
  <c r="C19" i="11"/>
  <c r="C24" i="11"/>
  <c r="C29" i="11"/>
  <c r="C33" i="11"/>
  <c r="D44" i="8"/>
  <c r="D41" i="8"/>
  <c r="D42" i="8"/>
  <c r="C67" i="3"/>
  <c r="C39" i="11" l="1"/>
  <c r="C43" i="11"/>
  <c r="C47" i="11"/>
  <c r="C52" i="11"/>
  <c r="C56" i="11"/>
  <c r="C61" i="11"/>
  <c r="C65" i="11"/>
  <c r="C36" i="11"/>
  <c r="C40" i="11"/>
  <c r="C44" i="11"/>
  <c r="C49" i="11"/>
  <c r="C53" i="11"/>
  <c r="C57" i="11"/>
  <c r="C62" i="11"/>
  <c r="C66" i="11"/>
  <c r="C37" i="11"/>
  <c r="C41" i="11"/>
  <c r="C45" i="11"/>
  <c r="C50" i="11"/>
  <c r="C54" i="11"/>
  <c r="C58" i="11"/>
  <c r="C63" i="11"/>
  <c r="C67" i="11"/>
  <c r="C38" i="11"/>
  <c r="C42" i="11"/>
  <c r="C46" i="11"/>
  <c r="C51" i="11"/>
  <c r="C55" i="11"/>
  <c r="C60" i="11"/>
  <c r="C64" i="11"/>
  <c r="E11" i="9"/>
  <c r="F11" i="9"/>
  <c r="D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12" i="9"/>
  <c r="F10" i="9"/>
  <c r="F8" i="9"/>
  <c r="F9" i="9"/>
  <c r="E8" i="9"/>
  <c r="E9" i="9"/>
  <c r="D9" i="9"/>
  <c r="D8" i="9"/>
  <c r="E10" i="9"/>
  <c r="D10" i="9"/>
  <c r="F45" i="8"/>
  <c r="G45" i="8"/>
  <c r="E45" i="8"/>
  <c r="F43" i="8"/>
  <c r="G43" i="8"/>
  <c r="E43" i="8"/>
  <c r="E33" i="8"/>
  <c r="E34" i="8" s="1"/>
  <c r="F33" i="8"/>
  <c r="F34" i="8" s="1"/>
  <c r="G33" i="8"/>
  <c r="G34" i="8" s="1"/>
  <c r="E31" i="8"/>
  <c r="E32" i="8" s="1"/>
  <c r="G31" i="8"/>
  <c r="G32" i="8" s="1"/>
  <c r="F31" i="8"/>
  <c r="F32" i="8" s="1"/>
  <c r="E29" i="8"/>
  <c r="E30" i="8" s="1"/>
  <c r="F29" i="8"/>
  <c r="F30" i="8" s="1"/>
  <c r="G29" i="8"/>
  <c r="G30" i="8" s="1"/>
  <c r="F13" i="8"/>
  <c r="G13" i="8"/>
  <c r="E13" i="8"/>
  <c r="F11" i="8"/>
  <c r="G11" i="8"/>
  <c r="G10" i="8"/>
  <c r="G9" i="8"/>
  <c r="G35" i="8" l="1"/>
  <c r="F35" i="8"/>
  <c r="E35" i="8"/>
  <c r="E11" i="8"/>
  <c r="F10" i="8"/>
  <c r="E10" i="8"/>
  <c r="F9" i="8"/>
  <c r="E9" i="8"/>
  <c r="E34" i="3"/>
  <c r="F34" i="3"/>
  <c r="D34" i="3"/>
  <c r="D25" i="11" s="1"/>
  <c r="E47" i="3"/>
  <c r="E58" i="3" s="1"/>
  <c r="F47" i="3"/>
  <c r="D47" i="3"/>
  <c r="E23" i="8" l="1"/>
  <c r="G12" i="8"/>
  <c r="G14" i="8" s="1"/>
  <c r="F8" i="11"/>
  <c r="F12" i="11"/>
  <c r="F16" i="11"/>
  <c r="F20" i="11"/>
  <c r="F25" i="11"/>
  <c r="F29" i="11"/>
  <c r="F33" i="11"/>
  <c r="F9" i="11"/>
  <c r="F13" i="11"/>
  <c r="F17" i="11"/>
  <c r="F22" i="11"/>
  <c r="F26" i="11"/>
  <c r="F30" i="11"/>
  <c r="F34" i="11"/>
  <c r="F10" i="11"/>
  <c r="F14" i="11"/>
  <c r="F18" i="11"/>
  <c r="F23" i="11"/>
  <c r="F27" i="11"/>
  <c r="F31" i="11"/>
  <c r="F11" i="11"/>
  <c r="F28" i="11"/>
  <c r="G44" i="8"/>
  <c r="F15" i="11"/>
  <c r="F32" i="11"/>
  <c r="F19" i="11"/>
  <c r="F24" i="11"/>
  <c r="E67" i="3"/>
  <c r="F41" i="8"/>
  <c r="F42" i="8"/>
  <c r="E12" i="8"/>
  <c r="E14" i="8" s="1"/>
  <c r="D9" i="11"/>
  <c r="D13" i="11"/>
  <c r="D17" i="11"/>
  <c r="D22" i="11"/>
  <c r="D30" i="11"/>
  <c r="D34" i="11"/>
  <c r="E44" i="8"/>
  <c r="D10" i="11"/>
  <c r="D14" i="11"/>
  <c r="D18" i="11"/>
  <c r="D23" i="11"/>
  <c r="D27" i="11"/>
  <c r="D31" i="11"/>
  <c r="D8" i="11"/>
  <c r="D11" i="11"/>
  <c r="D15" i="11"/>
  <c r="D20" i="11"/>
  <c r="D29" i="11"/>
  <c r="D19" i="11"/>
  <c r="D12" i="11"/>
  <c r="D24" i="11"/>
  <c r="D32" i="11"/>
  <c r="D16" i="11"/>
  <c r="D33" i="11"/>
  <c r="D28" i="11"/>
  <c r="E10" i="11"/>
  <c r="E14" i="11"/>
  <c r="E18" i="11"/>
  <c r="E23" i="11"/>
  <c r="E27" i="11"/>
  <c r="E31" i="11"/>
  <c r="E11" i="11"/>
  <c r="E15" i="11"/>
  <c r="E19" i="11"/>
  <c r="E24" i="11"/>
  <c r="E28" i="11"/>
  <c r="E32" i="11"/>
  <c r="E8" i="11"/>
  <c r="E12" i="11"/>
  <c r="E16" i="11"/>
  <c r="E20" i="11"/>
  <c r="E25" i="11"/>
  <c r="E29" i="11"/>
  <c r="E33" i="11"/>
  <c r="E17" i="11"/>
  <c r="E34" i="11"/>
  <c r="E9" i="11"/>
  <c r="E26" i="11"/>
  <c r="F44" i="8"/>
  <c r="E13" i="11"/>
  <c r="E22" i="11"/>
  <c r="E30" i="11"/>
  <c r="D58" i="3"/>
  <c r="E22" i="8"/>
  <c r="E21" i="8"/>
  <c r="F58" i="3"/>
  <c r="G23" i="8"/>
  <c r="G22" i="8"/>
  <c r="G21" i="8"/>
  <c r="F12" i="8"/>
  <c r="F14" i="8" s="1"/>
  <c r="F23" i="8"/>
  <c r="F22" i="8"/>
  <c r="F21" i="8"/>
  <c r="E36" i="11" l="1"/>
  <c r="E38" i="11"/>
  <c r="E40" i="11"/>
  <c r="E42" i="11"/>
  <c r="E44" i="11"/>
  <c r="E46" i="11"/>
  <c r="E49" i="11"/>
  <c r="E51" i="11"/>
  <c r="E53" i="11"/>
  <c r="E55" i="11"/>
  <c r="E57" i="11"/>
  <c r="E60" i="11"/>
  <c r="E62" i="11"/>
  <c r="E64" i="11"/>
  <c r="E66" i="11"/>
  <c r="E37" i="11"/>
  <c r="E41" i="11"/>
  <c r="E43" i="11"/>
  <c r="E47" i="11"/>
  <c r="E52" i="11"/>
  <c r="E56" i="11"/>
  <c r="E61" i="11"/>
  <c r="E65" i="11"/>
  <c r="E39" i="11"/>
  <c r="E45" i="11"/>
  <c r="E50" i="11"/>
  <c r="E54" i="11"/>
  <c r="E58" i="11"/>
  <c r="E63" i="11"/>
  <c r="E67" i="11"/>
  <c r="G41" i="8"/>
  <c r="F67" i="3"/>
  <c r="G42" i="8"/>
  <c r="E42" i="8"/>
  <c r="D67" i="3"/>
  <c r="D58" i="11" s="1"/>
  <c r="E41" i="8"/>
  <c r="F37" i="11" l="1"/>
  <c r="F41" i="11"/>
  <c r="F43" i="11"/>
  <c r="F45" i="11"/>
  <c r="F50" i="11"/>
  <c r="F54" i="11"/>
  <c r="F56" i="11"/>
  <c r="F61" i="11"/>
  <c r="F65" i="11"/>
  <c r="F36" i="11"/>
  <c r="F38" i="11"/>
  <c r="F40" i="11"/>
  <c r="F42" i="11"/>
  <c r="F44" i="11"/>
  <c r="F46" i="11"/>
  <c r="F49" i="11"/>
  <c r="F51" i="11"/>
  <c r="F53" i="11"/>
  <c r="F55" i="11"/>
  <c r="F57" i="11"/>
  <c r="F60" i="11"/>
  <c r="F62" i="11"/>
  <c r="F64" i="11"/>
  <c r="F66" i="11"/>
  <c r="F39" i="11"/>
  <c r="F47" i="11"/>
  <c r="F52" i="11"/>
  <c r="F58" i="11"/>
  <c r="F63" i="11"/>
  <c r="F67" i="11"/>
  <c r="D67" i="11"/>
  <c r="D61" i="11"/>
  <c r="D65" i="11"/>
  <c r="D38" i="11"/>
  <c r="D42" i="11"/>
  <c r="D46" i="11"/>
  <c r="D50" i="11"/>
  <c r="D54" i="11"/>
  <c r="D62" i="11"/>
  <c r="D66" i="11"/>
  <c r="D39" i="11"/>
  <c r="D43" i="11"/>
  <c r="D51" i="11"/>
  <c r="D55" i="11"/>
  <c r="D63" i="11"/>
  <c r="D57" i="11"/>
  <c r="D40" i="11"/>
  <c r="D44" i="11"/>
  <c r="D52" i="11"/>
  <c r="D56" i="11"/>
  <c r="D60" i="11"/>
  <c r="D45" i="11"/>
  <c r="D37" i="11"/>
  <c r="D53" i="11"/>
  <c r="D41" i="11"/>
  <c r="D64" i="11"/>
  <c r="D49" i="11"/>
  <c r="D36" i="11"/>
  <c r="D47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F9A6E7-A27C-4D1B-A838-E58B8F9D0E88}" keepAlive="1" name="Query - Balance Sheet2324" description="Connection to the 'Balance Sheet2324' query in the workbook." type="5" refreshedVersion="8" background="1" saveData="1">
    <dbPr connection="Provider=Microsoft.Mashup.OleDb.1;Data Source=$Workbook$;Location=&quot;Balance Sheet2324&quot;;Extended Properties=&quot;&quot;" command="SELECT * FROM [Balance Sheet2324]"/>
  </connection>
  <connection id="2" xr16:uid="{E3687734-BCD6-434F-BAF1-7471A9C932B3}" keepAlive="1" name="Query - Balance Sheet2324 (2)" description="Connection to the 'Balance Sheet2324 (2)' query in the workbook." type="5" refreshedVersion="8" background="1" saveData="1">
    <dbPr connection="Provider=Microsoft.Mashup.OleDb.1;Data Source=$Workbook$;Location=&quot;Balance Sheet2324 (2)&quot;;Extended Properties=&quot;&quot;" command="SELECT * FROM [Balance Sheet2324 (2)]"/>
  </connection>
  <connection id="3" xr16:uid="{BA61D2F4-314C-404A-B2EE-D8FA53DA7AD7}" keepAlive="1" name="Query - BS 22/23" description="Connection to the 'BS 22/23' query in the workbook." type="5" refreshedVersion="8" background="1" saveData="1">
    <dbPr connection="Provider=Microsoft.Mashup.OleDb.1;Data Source=$Workbook$;Location=&quot;BS 22/23&quot;;Extended Properties=&quot;&quot;" command="SELECT * FROM [BS 22/23]"/>
  </connection>
  <connection id="4" xr16:uid="{19590801-D56C-4F40-9519-68C4603FBC96}" keepAlive="1" name="Query - CF22/23" description="Connection to the 'CF22/23' query in the workbook." type="5" refreshedVersion="8" background="1" saveData="1">
    <dbPr connection="Provider=Microsoft.Mashup.OleDb.1;Data Source=$Workbook$;Location=CF22/23;Extended Properties=&quot;&quot;" command="SELECT * FROM [CF22/23]"/>
  </connection>
  <connection id="5" xr16:uid="{0BFDADBF-ADD1-42E0-85D4-CAAC2780E53F}" keepAlive="1" name="Query - CF22/23 (2)" description="Connection to the 'CF22/23 (2)' query in the workbook." type="5" refreshedVersion="8" background="1" saveData="1">
    <dbPr connection="Provider=Microsoft.Mashup.OleDb.1;Data Source=$Workbook$;Location=&quot;CF22/23 (2)&quot;;Extended Properties=&quot;&quot;" command="SELECT * FROM [CF22/23 (2)]"/>
  </connection>
  <connection id="6" xr16:uid="{968C22C1-9373-4DCE-8F3C-B56A97E6F1E2}" keepAlive="1" name="Query - CF2324" description="Connection to the 'CF2324' query in the workbook." type="5" refreshedVersion="8" background="1" saveData="1">
    <dbPr connection="Provider=Microsoft.Mashup.OleDb.1;Data Source=$Workbook$;Location=CF2324;Extended Properties=&quot;&quot;" command="SELECT * FROM [CF2324]"/>
  </connection>
  <connection id="7" xr16:uid="{2E404D06-3092-4980-8FAD-95DEEA836767}" keepAlive="1" name="Query - Income Statement23-22" description="Connection to the 'Income Statement23-22' query in the workbook." type="5" refreshedVersion="0" background="1">
    <dbPr connection="Provider=Microsoft.Mashup.OleDb.1;Data Source=$Workbook$;Location=&quot;Income Statement23-22&quot;;Extended Properties=&quot;&quot;" command="SELECT * FROM [Income Statement23-22]"/>
  </connection>
  <connection id="8" xr16:uid="{237A0C65-653D-43F2-A4E3-EF789C86A337}" keepAlive="1" name="Query - Income Statement2324" description="Connection to the 'Income Statement2324' query in the workbook." type="5" refreshedVersion="8" background="1" saveData="1">
    <dbPr connection="Provider=Microsoft.Mashup.OleDb.1;Data Source=$Workbook$;Location=&quot;Income Statement2324&quot;;Extended Properties=&quot;&quot;" command="SELECT * FROM [Income Statement2324]"/>
  </connection>
  <connection id="9" xr16:uid="{A093BD0D-8570-4C72-9123-4B26CC995968}" keepAlive="1" name="Query - Income Statement2324 (2)" description="Connection to the 'Income Statement2324 (2)' query in the workbook." type="5" refreshedVersion="8" background="1" saveData="1">
    <dbPr connection="Provider=Microsoft.Mashup.OleDb.1;Data Source=$Workbook$;Location=&quot;Income Statement2324 (2)&quot;;Extended Properties=&quot;&quot;" command="SELECT * FROM [Income Statement2324 (2)]"/>
  </connection>
</connections>
</file>

<file path=xl/sharedStrings.xml><?xml version="1.0" encoding="utf-8"?>
<sst xmlns="http://schemas.openxmlformats.org/spreadsheetml/2006/main" count="808" uniqueCount="505">
  <si>
    <t>FY 2024</t>
  </si>
  <si>
    <t>FY 2023</t>
  </si>
  <si>
    <t>Notes</t>
  </si>
  <si>
    <t>Continuing operations</t>
  </si>
  <si>
    <t/>
  </si>
  <si>
    <t>Revenue from sale of goods and services</t>
  </si>
  <si>
    <t>67,673</t>
  </si>
  <si>
    <t>64,864</t>
  </si>
  <si>
    <t>Insurance revenue</t>
  </si>
  <si>
    <t>514</t>
  </si>
  <si>
    <t>458</t>
  </si>
  <si>
    <t>Revenue</t>
  </si>
  <si>
    <t>68,187</t>
  </si>
  <si>
    <t>65,322</t>
  </si>
  <si>
    <t>Cost of sales</t>
  </si>
  <si>
    <t>(62,836)</t>
  </si>
  <si>
    <t>(61,516)</t>
  </si>
  <si>
    <t>Insurance service expenses</t>
  </si>
  <si>
    <t>(454)</t>
  </si>
  <si>
    <t>(408)</t>
  </si>
  <si>
    <t>Net expenses from reinsurance contracts held</t>
  </si>
  <si>
    <t>(48)</t>
  </si>
  <si>
    <t>(37)</t>
  </si>
  <si>
    <t>Gross profit/(loss)</t>
  </si>
  <si>
    <t>4,849</t>
  </si>
  <si>
    <t>3,361</t>
  </si>
  <si>
    <t>Administrative expenses</t>
  </si>
  <si>
    <t>(2,028)</t>
  </si>
  <si>
    <t>(1,951)</t>
  </si>
  <si>
    <t>Operating profit/(loss)</t>
  </si>
  <si>
    <t>2,821</t>
  </si>
  <si>
    <t>1,410</t>
  </si>
  <si>
    <t>Share of post-tax profits of joint ventures and associates</t>
  </si>
  <si>
    <t>6</t>
  </si>
  <si>
    <t>8</t>
  </si>
  <si>
    <t>Finance income</t>
  </si>
  <si>
    <t>267</t>
  </si>
  <si>
    <t>87</t>
  </si>
  <si>
    <t>Finance costs</t>
  </si>
  <si>
    <t>(805)</t>
  </si>
  <si>
    <t>(623)</t>
  </si>
  <si>
    <t>Profit/(loss) before tax from continuing operations</t>
  </si>
  <si>
    <t>2,289</t>
  </si>
  <si>
    <t>882</t>
  </si>
  <si>
    <t>Taxation</t>
  </si>
  <si>
    <t>(525)</t>
  </si>
  <si>
    <t>(224)</t>
  </si>
  <si>
    <t>Profit/(loss) for the year from continuing operations</t>
  </si>
  <si>
    <t>1,764</t>
  </si>
  <si>
    <t>658</t>
  </si>
  <si>
    <t>Profit/(loss) for the year from discontinued operations</t>
  </si>
  <si>
    <t>(572)</t>
  </si>
  <si>
    <t>78</t>
  </si>
  <si>
    <t>Profit/(loss) for the year</t>
  </si>
  <si>
    <t>1,192</t>
  </si>
  <si>
    <t>736</t>
  </si>
  <si>
    <t>Attributable to:</t>
  </si>
  <si>
    <t>Owners of the parent</t>
  </si>
  <si>
    <t>Non-controlling interests</t>
  </si>
  <si>
    <t>(1)</t>
  </si>
  <si>
    <t>Basic</t>
  </si>
  <si>
    <t>Diluted</t>
  </si>
  <si>
    <t>£m</t>
  </si>
  <si>
    <t>Cash flows generated from/(used in) operating activities</t>
  </si>
  <si>
    <t>Operating profit/(loss) of continuing operations</t>
  </si>
  <si>
    <t>Operating profit/(loss) of discontinued operations</t>
  </si>
  <si>
    <t>(659)</t>
  </si>
  <si>
    <t>98</t>
  </si>
  <si>
    <t>Depreciation and amortisation</t>
  </si>
  <si>
    <t>1,723</t>
  </si>
  <si>
    <t>1,700</t>
  </si>
  <si>
    <t>(Profit)/loss arising on sale of property, plant and equipment, investment property, intangible assets, assets</t>
  </si>
  <si>
    <t>(53)</t>
  </si>
  <si>
    <t>(76)</t>
  </si>
  <si>
    <t>classified as held for sale and early termination of leases</t>
  </si>
  <si>
    <t>(Profit)/loss arising from sale of other investments</t>
  </si>
  <si>
    <t>–</t>
  </si>
  <si>
    <t>3</t>
  </si>
  <si>
    <t>(Profit)/loss arising on sale of joint ventures and associates</t>
  </si>
  <si>
    <t>(9)</t>
  </si>
  <si>
    <t>(Profit)/loss arising on sale of subsidiaries</t>
  </si>
  <si>
    <t>(12)</t>
  </si>
  <si>
    <t>Net impairment (reversal)/loss on property, plant and equipment, right of use assets, intangible assets and</t>
  </si>
  <si>
    <t>(28)</t>
  </si>
  <si>
    <t>982</t>
  </si>
  <si>
    <t>investment property</t>
  </si>
  <si>
    <t>Net remeasurement loss on non-current assets held for sale</t>
  </si>
  <si>
    <t>720</t>
  </si>
  <si>
    <t>23</t>
  </si>
  <si>
    <t>Defined benefit pension scheme payments</t>
  </si>
  <si>
    <t>(29)</t>
  </si>
  <si>
    <t>(23)</t>
  </si>
  <si>
    <t>Share-based payments</t>
  </si>
  <si>
    <t>59</t>
  </si>
  <si>
    <t>Fair value movements included in operating profit/(loss)</t>
  </si>
  <si>
    <t>71</t>
  </si>
  <si>
    <t>70</t>
  </si>
  <si>
    <t>Retail (increase)/decrease in inventories</t>
  </si>
  <si>
    <t>(150)</t>
  </si>
  <si>
    <t>(147)</t>
  </si>
  <si>
    <t>Retail (increase)/decrease in trade and other receivables</t>
  </si>
  <si>
    <t>(118)</t>
  </si>
  <si>
    <t>(54)</t>
  </si>
  <si>
    <t>Retail increase/(decrease) in trade and other payables</t>
  </si>
  <si>
    <t>714</t>
  </si>
  <si>
    <t>643</t>
  </si>
  <si>
    <t>Retail increase/(decrease) in provisions</t>
  </si>
  <si>
    <t>(72)</t>
  </si>
  <si>
    <t>75</t>
  </si>
  <si>
    <t>Retail (increase)/decrease in working capital</t>
  </si>
  <si>
    <t>374</t>
  </si>
  <si>
    <t>517</t>
  </si>
  <si>
    <t>Tesco Bank (increase)/decrease in loans and advances to customers</t>
  </si>
  <si>
    <t>(714)</t>
  </si>
  <si>
    <t>(690)</t>
  </si>
  <si>
    <t>Tesco Bank (increase)/decrease in trade, reinsurance and other receivables</t>
  </si>
  <si>
    <t>83</t>
  </si>
  <si>
    <t>Tesco Bank increase/(decrease) in customer and bank deposits, trade, insurance liabilities and other payables</t>
  </si>
  <si>
    <t>584</t>
  </si>
  <si>
    <t>348</t>
  </si>
  <si>
    <t>Tesco Bank increase/(decrease) in provisions</t>
  </si>
  <si>
    <t>28</t>
  </si>
  <si>
    <t>(7)</t>
  </si>
  <si>
    <t>Tesco Bank (increase)/decrease in working capital</t>
  </si>
  <si>
    <t>(111)</t>
  </si>
  <si>
    <t>(266)</t>
  </si>
  <si>
    <t>Cash generated from/(used in) operations</t>
  </si>
  <si>
    <t>4,886</t>
  </si>
  <si>
    <t>4,497</t>
  </si>
  <si>
    <t>Interest paid</t>
  </si>
  <si>
    <t>(824)</t>
  </si>
  <si>
    <t>(652)</t>
  </si>
  <si>
    <t>Corporation tax paid</t>
  </si>
  <si>
    <t>(223)</t>
  </si>
  <si>
    <t>(123)</t>
  </si>
  <si>
    <t>Net cash generated from/(used in) operating activities</t>
  </si>
  <si>
    <t>3,839</t>
  </si>
  <si>
    <t>3,722</t>
  </si>
  <si>
    <t>Cash flows generated from/(used in) investing activities</t>
  </si>
  <si>
    <t>Proceeds from sale of property, plant and equipment, investment property, intangible assets and assets</t>
  </si>
  <si>
    <t>55</t>
  </si>
  <si>
    <t>342</t>
  </si>
  <si>
    <t>classified as held for sale</t>
  </si>
  <si>
    <t>Purchase of property, plant and equipment, investment property and other long-term assets</t>
  </si>
  <si>
    <t>(1,108)</t>
  </si>
  <si>
    <t>(971)</t>
  </si>
  <si>
    <t>Purchase of intangible assets</t>
  </si>
  <si>
    <t>(278)</t>
  </si>
  <si>
    <t>(279)</t>
  </si>
  <si>
    <t>Disposal of subsidiaries, net of cash disposed</t>
  </si>
  <si>
    <t>15</t>
  </si>
  <si>
    <t>Acquisition of subsidiaries, net of cash acquired</t>
  </si>
  <si>
    <t>(17)</t>
  </si>
  <si>
    <t>(71)</t>
  </si>
  <si>
    <t>Proceeds from sale of joint ventures and associates</t>
  </si>
  <si>
    <t>9</t>
  </si>
  <si>
    <t>Increase in loans to joint ventures and associates</t>
  </si>
  <si>
    <t>(61)</t>
  </si>
  <si>
    <t>Investments in joint ventures and associates</t>
  </si>
  <si>
    <t>(10)</t>
  </si>
  <si>
    <t>Net (investments in)/proceeds from sale of short-term investments</t>
  </si>
  <si>
    <t>(507)</t>
  </si>
  <si>
    <t>451</t>
  </si>
  <si>
    <t>Proceeds from sale of other investments</t>
  </si>
  <si>
    <t>352</t>
  </si>
  <si>
    <t>230</t>
  </si>
  <si>
    <t>Purchase of other investments</t>
  </si>
  <si>
    <t>(390)</t>
  </si>
  <si>
    <t>(529)</t>
  </si>
  <si>
    <t>Dividends received from joint ventures and associates</t>
  </si>
  <si>
    <t>14</t>
  </si>
  <si>
    <t>Interest received</t>
  </si>
  <si>
    <t>249</t>
  </si>
  <si>
    <t>Cash inflows from derivative financial instruments</t>
  </si>
  <si>
    <t>5</t>
  </si>
  <si>
    <t>54</t>
  </si>
  <si>
    <t>Cash outflows from derivative financial instruments</t>
  </si>
  <si>
    <t>(24)</t>
  </si>
  <si>
    <t>(6)</t>
  </si>
  <si>
    <t>Net cash generated from/(used in) investing activities</t>
  </si>
  <si>
    <t>(1,700)</t>
  </si>
  <si>
    <t>(706)</t>
  </si>
  <si>
    <t>Cash flows generated from/(used in) financing activities</t>
  </si>
  <si>
    <t>Own shares purchased for cancellation</t>
  </si>
  <si>
    <t>(752)</t>
  </si>
  <si>
    <t>(781)</t>
  </si>
  <si>
    <t>Own shares purchased for share schemes</t>
  </si>
  <si>
    <t>(93)</t>
  </si>
  <si>
    <t>(86)</t>
  </si>
  <si>
    <t>Repayment of capital element of obligations under leases</t>
  </si>
  <si>
    <t>(627)</t>
  </si>
  <si>
    <t>(593)</t>
  </si>
  <si>
    <t>Cash outflows exceeding the incremental increase in assets in a property buyback</t>
  </si>
  <si>
    <t>(62)</t>
  </si>
  <si>
    <t>(21)</t>
  </si>
  <si>
    <t>Increase in borrowings</t>
  </si>
  <si>
    <t>1,232</t>
  </si>
  <si>
    <t>Repayment of borrowings</t>
  </si>
  <si>
    <t>(775)</t>
  </si>
  <si>
    <t>(709)</t>
  </si>
  <si>
    <t>232</t>
  </si>
  <si>
    <t>(102)</t>
  </si>
  <si>
    <t>(371)</t>
  </si>
  <si>
    <t>Dividends paid to equity owners</t>
  </si>
  <si>
    <t>(778)</t>
  </si>
  <si>
    <t>(859)</t>
  </si>
  <si>
    <t>Net cash generated from/(used in) financing activities</t>
  </si>
  <si>
    <t>(1,859)</t>
  </si>
  <si>
    <t>(3,188)</t>
  </si>
  <si>
    <t>Net increase/(decrease) in cash and cash equivalents</t>
  </si>
  <si>
    <t>280</t>
  </si>
  <si>
    <t>(172)</t>
  </si>
  <si>
    <t>Cash and cash equivalents at the beginning of the year</t>
  </si>
  <si>
    <t>1,565</t>
  </si>
  <si>
    <t>1,771</t>
  </si>
  <si>
    <t>Effect of foreign exchange rate changes</t>
  </si>
  <si>
    <t>29</t>
  </si>
  <si>
    <t>(34)</t>
  </si>
  <si>
    <t>Cash and cash equivalents, including cash held in the disposal group, at the end of the year</t>
  </si>
  <si>
    <t>1,874</t>
  </si>
  <si>
    <t>Less: Cash held in the disposal group</t>
  </si>
  <si>
    <t>(346)</t>
  </si>
  <si>
    <t>Cash and cash equivalents at the end of the year</t>
  </si>
  <si>
    <t>1,528</t>
  </si>
  <si>
    <t>FY 23</t>
  </si>
  <si>
    <t>FY 22</t>
  </si>
  <si>
    <t>Non-current assets</t>
  </si>
  <si>
    <t>Goodwill and other intangible assets</t>
  </si>
  <si>
    <t>5,066</t>
  </si>
  <si>
    <t>5,375</t>
  </si>
  <si>
    <t>5,360</t>
  </si>
  <si>
    <t>Property, plant and equipment</t>
  </si>
  <si>
    <t>17,221</t>
  </si>
  <si>
    <t>16,862</t>
  </si>
  <si>
    <t>17,060</t>
  </si>
  <si>
    <t>Right of use assets</t>
  </si>
  <si>
    <t>5,478</t>
  </si>
  <si>
    <t>5,500</t>
  </si>
  <si>
    <t>5,720</t>
  </si>
  <si>
    <t>Investment property</t>
  </si>
  <si>
    <t>24</t>
  </si>
  <si>
    <t>22</t>
  </si>
  <si>
    <t>102</t>
  </si>
  <si>
    <t>93</t>
  </si>
  <si>
    <t>86</t>
  </si>
  <si>
    <t>Other investments</t>
  </si>
  <si>
    <t>1,546</t>
  </si>
  <si>
    <t>1,339</t>
  </si>
  <si>
    <t>1,253</t>
  </si>
  <si>
    <t>Trade and other receivables</t>
  </si>
  <si>
    <t>36</t>
  </si>
  <si>
    <t>79</t>
  </si>
  <si>
    <t>159</t>
  </si>
  <si>
    <t>Loans and advances to customers</t>
  </si>
  <si>
    <t>3,029</t>
  </si>
  <si>
    <t>3,141</t>
  </si>
  <si>
    <t>Reinsurance contract assets</t>
  </si>
  <si>
    <t>125</t>
  </si>
  <si>
    <t>135</t>
  </si>
  <si>
    <t>171</t>
  </si>
  <si>
    <t>Derivative financial instruments</t>
  </si>
  <si>
    <t>781</t>
  </si>
  <si>
    <t>873</t>
  </si>
  <si>
    <t>942</t>
  </si>
  <si>
    <t>Post-employment benefit surplus</t>
  </si>
  <si>
    <t>3,150</t>
  </si>
  <si>
    <t>Deferred tax assets</t>
  </si>
  <si>
    <t>32</t>
  </si>
  <si>
    <t>84</t>
  </si>
  <si>
    <t>88</t>
  </si>
  <si>
    <t>30,433</t>
  </si>
  <si>
    <t>33,399</t>
  </si>
  <si>
    <t>37,152</t>
  </si>
  <si>
    <t>Current assets</t>
  </si>
  <si>
    <t>206</t>
  </si>
  <si>
    <t>353</t>
  </si>
  <si>
    <t>226</t>
  </si>
  <si>
    <t>Inventories</t>
  </si>
  <si>
    <t>2,635</t>
  </si>
  <si>
    <t>2,510</t>
  </si>
  <si>
    <t>2,339</t>
  </si>
  <si>
    <t>3,948</t>
  </si>
  <si>
    <t>3,251</t>
  </si>
  <si>
    <t>57</t>
  </si>
  <si>
    <t>69</t>
  </si>
  <si>
    <t>Current tax assets</t>
  </si>
  <si>
    <t>110</t>
  </si>
  <si>
    <t>63</t>
  </si>
  <si>
    <t>Short-term investments</t>
  </si>
  <si>
    <t>2,128</t>
  </si>
  <si>
    <t>1,628</t>
  </si>
  <si>
    <t>2,076</t>
  </si>
  <si>
    <t>Cash and cash equivalents</t>
  </si>
  <si>
    <t>2,340</t>
  </si>
  <si>
    <t>2,465</t>
  </si>
  <si>
    <t>2,345</t>
  </si>
  <si>
    <t>8,823</t>
  </si>
  <si>
    <t>12,259</t>
  </si>
  <si>
    <t>11,617</t>
  </si>
  <si>
    <t>Assets of the disposal group and non-current assets classified as held for sale</t>
  </si>
  <si>
    <t>7,783</t>
  </si>
  <si>
    <t>210</t>
  </si>
  <si>
    <t>368</t>
  </si>
  <si>
    <t>Current liabilities</t>
  </si>
  <si>
    <t>Trade and other payables</t>
  </si>
  <si>
    <t>Borrowings</t>
  </si>
  <si>
    <t>(1,536)</t>
  </si>
  <si>
    <t>(1,770)</t>
  </si>
  <si>
    <t>(725)</t>
  </si>
  <si>
    <t>Lease liabilities</t>
  </si>
  <si>
    <t>(584)</t>
  </si>
  <si>
    <t>(595)</t>
  </si>
  <si>
    <t>(547)</t>
  </si>
  <si>
    <t>Provisions</t>
  </si>
  <si>
    <t>(306)</t>
  </si>
  <si>
    <t>(366)</t>
  </si>
  <si>
    <t>(283)</t>
  </si>
  <si>
    <t>Insurance contract liabilities</t>
  </si>
  <si>
    <t>(526)</t>
  </si>
  <si>
    <t>(501)</t>
  </si>
  <si>
    <t>(588)</t>
  </si>
  <si>
    <t>Customer deposits and deposits from banks</t>
  </si>
  <si>
    <t>(108)</t>
  </si>
  <si>
    <t>(4,485)</t>
  </si>
  <si>
    <t>(4,729)</t>
  </si>
  <si>
    <t>(25)</t>
  </si>
  <si>
    <t>(99)</t>
  </si>
  <si>
    <t>(26)</t>
  </si>
  <si>
    <t>Current tax liabilities</t>
  </si>
  <si>
    <t>(18)</t>
  </si>
  <si>
    <t>(11)</t>
  </si>
  <si>
    <t>(13,350)</t>
  </si>
  <si>
    <t>(17,596)</t>
  </si>
  <si>
    <t>(15,949)</t>
  </si>
  <si>
    <t>Liabilities of the disposal group classified as held for sale</t>
  </si>
  <si>
    <t>(7,122)</t>
  </si>
  <si>
    <t>(14)</t>
  </si>
  <si>
    <t>Non-current liabilities</t>
  </si>
  <si>
    <t>(39)</t>
  </si>
  <si>
    <t>(5,683)</t>
  </si>
  <si>
    <t>(5,581)</t>
  </si>
  <si>
    <t>(6,674)</t>
  </si>
  <si>
    <t>(7,038)</t>
  </si>
  <si>
    <t>(7,132)</t>
  </si>
  <si>
    <t>(7,411)</t>
  </si>
  <si>
    <t>(175)</t>
  </si>
  <si>
    <t>(194)</t>
  </si>
  <si>
    <t>(183)</t>
  </si>
  <si>
    <t>(800)</t>
  </si>
  <si>
    <t>(2,265)</t>
  </si>
  <si>
    <t>(1,650)</t>
  </si>
  <si>
    <t>(241)</t>
  </si>
  <si>
    <t>(288)</t>
  </si>
  <si>
    <t>(357)</t>
  </si>
  <si>
    <t>Post-employment benefit deficit</t>
  </si>
  <si>
    <t>(657)</t>
  </si>
  <si>
    <t>(400)</t>
  </si>
  <si>
    <t>(303)</t>
  </si>
  <si>
    <t>Deferred tax liabilities</t>
  </si>
  <si>
    <t>(269)</t>
  </si>
  <si>
    <t>(119)</t>
  </si>
  <si>
    <t>(910)</t>
  </si>
  <si>
    <t>(14,902)</t>
  </si>
  <si>
    <t>(16,033)</t>
  </si>
  <si>
    <t>(17,542)</t>
  </si>
  <si>
    <t>11,665</t>
  </si>
  <si>
    <t>12,225</t>
  </si>
  <si>
    <t>15,632</t>
  </si>
  <si>
    <t>Equity</t>
  </si>
  <si>
    <t>Share capital</t>
  </si>
  <si>
    <t>445</t>
  </si>
  <si>
    <t>463</t>
  </si>
  <si>
    <t>484</t>
  </si>
  <si>
    <t>Share premium</t>
  </si>
  <si>
    <t>5,165</t>
  </si>
  <si>
    <t>Other reserves</t>
  </si>
  <si>
    <t>3,131</t>
  </si>
  <si>
    <t>3,139</t>
  </si>
  <si>
    <t>3,080</t>
  </si>
  <si>
    <t>Retained earnings</t>
  </si>
  <si>
    <t>2,930</t>
  </si>
  <si>
    <t>3,469</t>
  </si>
  <si>
    <t>6,919</t>
  </si>
  <si>
    <t>Equity attributable to owners of the parent</t>
  </si>
  <si>
    <t>11,671</t>
  </si>
  <si>
    <t>12,236</t>
  </si>
  <si>
    <t>15,648</t>
  </si>
  <si>
    <t>(16)</t>
  </si>
  <si>
    <t>Total equity</t>
  </si>
  <si>
    <t>61,344</t>
  </si>
  <si>
    <t>(56,750)</t>
  </si>
  <si>
    <t>Impairment (loss)/reversal on financial assets</t>
  </si>
  <si>
    <t>39</t>
  </si>
  <si>
    <t>4,633</t>
  </si>
  <si>
    <t>(2,073)</t>
  </si>
  <si>
    <t>2,560</t>
  </si>
  <si>
    <t>(551)</t>
  </si>
  <si>
    <t>2,033</t>
  </si>
  <si>
    <t>(510)</t>
  </si>
  <si>
    <t>1,523</t>
  </si>
  <si>
    <t>(40)</t>
  </si>
  <si>
    <t>1,483</t>
  </si>
  <si>
    <t>(51)</t>
  </si>
  <si>
    <t>1,718</t>
  </si>
  <si>
    <t>115</t>
  </si>
  <si>
    <t>(19)</t>
  </si>
  <si>
    <t>66</t>
  </si>
  <si>
    <t>(281)</t>
  </si>
  <si>
    <t>27</t>
  </si>
  <si>
    <t>743</t>
  </si>
  <si>
    <t>(65)</t>
  </si>
  <si>
    <t>424</t>
  </si>
  <si>
    <t>(95)</t>
  </si>
  <si>
    <t>47</t>
  </si>
  <si>
    <t>(22)</t>
  </si>
  <si>
    <t>4,608</t>
  </si>
  <si>
    <t>(650)</t>
  </si>
  <si>
    <t>(201)</t>
  </si>
  <si>
    <t>3,757</t>
  </si>
  <si>
    <t>309</t>
  </si>
  <si>
    <t>(949)</t>
  </si>
  <si>
    <t>(229)</t>
  </si>
  <si>
    <t>161</t>
  </si>
  <si>
    <t>(4)</t>
  </si>
  <si>
    <t>(1,067)</t>
  </si>
  <si>
    <t>274</t>
  </si>
  <si>
    <t>(221)</t>
  </si>
  <si>
    <t>(1,735)</t>
  </si>
  <si>
    <t>(144)</t>
  </si>
  <si>
    <t>(577)</t>
  </si>
  <si>
    <t>394</t>
  </si>
  <si>
    <t>798</t>
  </si>
  <si>
    <t>(921)</t>
  </si>
  <si>
    <t>(731)</t>
  </si>
  <si>
    <t>(2,234)</t>
  </si>
  <si>
    <t>(212)</t>
  </si>
  <si>
    <t>1,971</t>
  </si>
  <si>
    <t>12</t>
  </si>
  <si>
    <t>FY 20232</t>
  </si>
  <si>
    <t>Net Profit Margin</t>
  </si>
  <si>
    <t>Operating Profit Margin</t>
  </si>
  <si>
    <t>Total Assets</t>
  </si>
  <si>
    <t>Total Liabilities</t>
  </si>
  <si>
    <t>Financial Analysis</t>
  </si>
  <si>
    <t>ROE</t>
  </si>
  <si>
    <t>ROCE</t>
  </si>
  <si>
    <t>Profitability Ratios</t>
  </si>
  <si>
    <t>FY 2022</t>
  </si>
  <si>
    <t>Gross Profit Margin</t>
  </si>
  <si>
    <t>Return on Equity</t>
  </si>
  <si>
    <t>Liquidity Ratios</t>
  </si>
  <si>
    <t>Current Ratio</t>
  </si>
  <si>
    <t>Quick Ratio</t>
  </si>
  <si>
    <t>Cash Ratio</t>
  </si>
  <si>
    <t>Efficiency Ratios</t>
  </si>
  <si>
    <t>Inventory Turnover</t>
  </si>
  <si>
    <t>Receivables Turnover</t>
  </si>
  <si>
    <t>Trade Receivables</t>
  </si>
  <si>
    <t>Other receivables</t>
  </si>
  <si>
    <t>Trade Paybales</t>
  </si>
  <si>
    <t>Days Sales Outstanding</t>
  </si>
  <si>
    <t>Days Inventory Outstanding</t>
  </si>
  <si>
    <t>Paybale Turnover</t>
  </si>
  <si>
    <t>Days Payable Outstanding</t>
  </si>
  <si>
    <t>Cash Conversion Cycle</t>
  </si>
  <si>
    <t>Leverage/Solvency Ratios</t>
  </si>
  <si>
    <t>Debt to Equity Ratio</t>
  </si>
  <si>
    <t>Debt Ratio</t>
  </si>
  <si>
    <t>Interest Coverage Ratio</t>
  </si>
  <si>
    <t>Equity Ratio</t>
  </si>
  <si>
    <t>Capital Gearing Ratio</t>
  </si>
  <si>
    <t>Total Assets + Total Liability</t>
  </si>
  <si>
    <t>Total Non-Current Assets</t>
  </si>
  <si>
    <t>Total Current Assets</t>
  </si>
  <si>
    <t>Total Equity + Total Liability</t>
  </si>
  <si>
    <t xml:space="preserve">Tesco Plc </t>
  </si>
  <si>
    <t>Income Statement as of 28 February 2024</t>
  </si>
  <si>
    <t>Balance Sheet as at 28 February 2024</t>
  </si>
  <si>
    <t>Statement of Cash Flow as at 28 February 2024</t>
  </si>
  <si>
    <t>Financial Ratio Analysis</t>
  </si>
  <si>
    <t>Asset Turnover</t>
  </si>
  <si>
    <t>Tesco Plc</t>
  </si>
  <si>
    <t>Total 
£m</t>
  </si>
  <si>
    <t>Group income statement</t>
  </si>
  <si>
    <t>Before adjusting items</t>
  </si>
  <si>
    <t>Adjusting items (Note 5)</t>
  </si>
  <si>
    <t>Total</t>
  </si>
  <si>
    <t>2, 3</t>
  </si>
  <si>
    <t>Share of post-tax profit/(loss) of joint ventures and associates</t>
  </si>
  <si>
    <t>Discontinued operations</t>
  </si>
  <si>
    <t xml:space="preserve">Earnings per share from continuing and discontinued operations </t>
  </si>
  <si>
    <t>23.79p</t>
  </si>
  <si>
    <t>23.51p</t>
  </si>
  <si>
    <t xml:space="preserve">Earnings per share from continuing operations </t>
  </si>
  <si>
    <t>23.41p</t>
  </si>
  <si>
    <t>23.13p</t>
  </si>
  <si>
    <t>FY25</t>
  </si>
  <si>
    <t>FY 2025</t>
  </si>
  <si>
    <t>Group balance sheet</t>
  </si>
  <si>
    <t>Post-employment benefit surplus  </t>
  </si>
  <si>
    <t>Deposits from central bank</t>
  </si>
  <si>
    <t>Net current liabilities</t>
  </si>
  <si>
    <t>Net assets</t>
  </si>
  <si>
    <t>FY 24</t>
  </si>
  <si>
    <t>FY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</si>
</sst>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#,##0;\(#,##0\)"/>
    <numFmt numFmtId="165" formatCode="0.000"/>
    <numFmt numFmtId="166" formatCode="[$-F800]dddd\,\ mmmm\ dd\,\ yyyy"/>
    <numFmt numFmtId="167" formatCode="#,##0;\(#,##0\);\-"/>
    <numFmt numFmtId="168" formatCode="#,##0_);\(#,##0\);\-"/>
    <numFmt numFmtId="169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color rgb="FF000000"/>
      <name val="Segoe UI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E2E5F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/>
      <bottom style="medium">
        <color rgb="FF00539F"/>
      </bottom>
      <diagonal/>
    </border>
    <border>
      <left/>
      <right/>
      <top style="medium">
        <color rgb="FF00539F"/>
      </top>
      <bottom/>
      <diagonal/>
    </border>
    <border>
      <left/>
      <right/>
      <top/>
      <bottom style="medium">
        <color rgb="FF003FA2"/>
      </bottom>
      <diagonal/>
    </border>
    <border>
      <left/>
      <right/>
      <top style="thin">
        <color rgb="FF003DA5"/>
      </top>
      <bottom style="medium">
        <color rgb="FF003DA5"/>
      </bottom>
      <diagonal/>
    </border>
    <border>
      <left/>
      <right/>
      <top style="thin">
        <color rgb="FF003DA5"/>
      </top>
      <bottom style="medium">
        <color rgb="FF003FA2"/>
      </bottom>
      <diagonal/>
    </border>
    <border>
      <left/>
      <right/>
      <top style="thin">
        <color rgb="FF003DA5"/>
      </top>
      <bottom style="medium">
        <color rgb="FF004482"/>
      </bottom>
      <diagonal/>
    </border>
    <border>
      <left/>
      <right/>
      <top/>
      <bottom style="medium">
        <color rgb="FF00448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3" fillId="0" borderId="2" xfId="0" applyFont="1" applyBorder="1"/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 indent="27"/>
    </xf>
    <xf numFmtId="0" fontId="3" fillId="0" borderId="1" xfId="0" applyFont="1" applyBorder="1" applyAlignment="1">
      <alignment horizontal="left" indent="25"/>
    </xf>
    <xf numFmtId="0" fontId="5" fillId="2" borderId="0" xfId="0" applyFont="1" applyFill="1"/>
    <xf numFmtId="0" fontId="0" fillId="0" borderId="6" xfId="0" applyBorder="1"/>
    <xf numFmtId="0" fontId="3" fillId="0" borderId="6" xfId="0" applyFont="1" applyBorder="1"/>
    <xf numFmtId="0" fontId="3" fillId="0" borderId="5" xfId="0" applyFont="1" applyBorder="1"/>
    <xf numFmtId="0" fontId="6" fillId="0" borderId="0" xfId="0" applyFont="1"/>
    <xf numFmtId="0" fontId="0" fillId="0" borderId="4" xfId="0" applyBorder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0" applyNumberForma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5" fillId="2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 wrapText="1"/>
    </xf>
    <xf numFmtId="10" fontId="0" fillId="0" borderId="2" xfId="2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horizontal="right" vertical="center" wrapText="1"/>
    </xf>
    <xf numFmtId="0" fontId="13" fillId="3" borderId="8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2" fillId="0" borderId="8" xfId="0" applyFont="1" applyBorder="1" applyAlignment="1">
      <alignment horizontal="right" vertical="center" wrapText="1"/>
    </xf>
    <xf numFmtId="0" fontId="12" fillId="0" borderId="8" xfId="0" applyFont="1" applyBorder="1" applyAlignment="1">
      <alignment horizontal="right" vertical="center"/>
    </xf>
    <xf numFmtId="0" fontId="13" fillId="0" borderId="9" xfId="0" applyFont="1" applyBorder="1" applyAlignment="1">
      <alignment vertical="center"/>
    </xf>
    <xf numFmtId="0" fontId="13" fillId="3" borderId="9" xfId="0" applyFont="1" applyFill="1" applyBorder="1" applyAlignment="1">
      <alignment horizontal="right"/>
    </xf>
    <xf numFmtId="0" fontId="13" fillId="0" borderId="9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5" fillId="3" borderId="0" xfId="0" applyFont="1" applyFill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 wrapText="1"/>
    </xf>
    <xf numFmtId="167" fontId="13" fillId="3" borderId="0" xfId="0" applyNumberFormat="1" applyFont="1" applyFill="1" applyAlignment="1">
      <alignment horizontal="right" vertical="center"/>
    </xf>
    <xf numFmtId="167" fontId="15" fillId="0" borderId="0" xfId="0" applyNumberFormat="1" applyFont="1" applyAlignment="1">
      <alignment horizontal="right" vertical="center"/>
    </xf>
    <xf numFmtId="167" fontId="13" fillId="0" borderId="0" xfId="0" applyNumberFormat="1" applyFont="1" applyAlignment="1">
      <alignment horizontal="right" vertical="center"/>
    </xf>
    <xf numFmtId="0" fontId="15" fillId="0" borderId="9" xfId="0" applyFont="1" applyBorder="1" applyAlignment="1">
      <alignment vertical="center" wrapText="1"/>
    </xf>
    <xf numFmtId="0" fontId="15" fillId="0" borderId="9" xfId="0" applyFont="1" applyBorder="1" applyAlignment="1">
      <alignment horizontal="right" vertical="center"/>
    </xf>
    <xf numFmtId="167" fontId="13" fillId="3" borderId="7" xfId="0" applyNumberFormat="1" applyFont="1" applyFill="1" applyBorder="1" applyAlignment="1">
      <alignment horizontal="right" vertical="center"/>
    </xf>
    <xf numFmtId="167" fontId="13" fillId="0" borderId="7" xfId="0" applyNumberFormat="1" applyFont="1" applyBorder="1" applyAlignment="1">
      <alignment horizontal="right" vertical="center"/>
    </xf>
    <xf numFmtId="0" fontId="14" fillId="0" borderId="0" xfId="0" applyFont="1" applyAlignment="1">
      <alignment vertical="center" wrapText="1"/>
    </xf>
    <xf numFmtId="167" fontId="14" fillId="3" borderId="0" xfId="0" applyNumberFormat="1" applyFont="1" applyFill="1" applyAlignment="1">
      <alignment horizontal="right" vertical="center"/>
    </xf>
    <xf numFmtId="167" fontId="14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 wrapText="1"/>
    </xf>
    <xf numFmtId="0" fontId="15" fillId="0" borderId="9" xfId="0" applyFont="1" applyBorder="1" applyAlignment="1">
      <alignment horizontal="left" vertical="center"/>
    </xf>
    <xf numFmtId="167" fontId="15" fillId="0" borderId="9" xfId="0" applyNumberFormat="1" applyFont="1" applyBorder="1" applyAlignment="1">
      <alignment horizontal="right" vertical="center"/>
    </xf>
    <xf numFmtId="167" fontId="13" fillId="0" borderId="9" xfId="0" applyNumberFormat="1" applyFont="1" applyBorder="1" applyAlignment="1">
      <alignment horizontal="right" vertical="center"/>
    </xf>
    <xf numFmtId="167" fontId="15" fillId="3" borderId="0" xfId="0" applyNumberFormat="1" applyFont="1" applyFill="1" applyAlignment="1">
      <alignment horizontal="right" vertical="center"/>
    </xf>
    <xf numFmtId="0" fontId="14" fillId="0" borderId="10" xfId="0" applyFont="1" applyBorder="1" applyAlignment="1">
      <alignment vertical="center"/>
    </xf>
    <xf numFmtId="0" fontId="15" fillId="0" borderId="11" xfId="0" applyFont="1" applyBorder="1" applyAlignment="1">
      <alignment horizontal="right" vertical="center"/>
    </xf>
    <xf numFmtId="167" fontId="14" fillId="3" borderId="12" xfId="0" applyNumberFormat="1" applyFont="1" applyFill="1" applyBorder="1" applyAlignment="1">
      <alignment horizontal="right" vertical="center"/>
    </xf>
    <xf numFmtId="167" fontId="16" fillId="0" borderId="11" xfId="0" applyNumberFormat="1" applyFont="1" applyBorder="1" applyAlignment="1">
      <alignment horizontal="right" vertical="center"/>
    </xf>
    <xf numFmtId="167" fontId="14" fillId="0" borderId="11" xfId="0" applyNumberFormat="1" applyFont="1" applyBorder="1" applyAlignment="1">
      <alignment horizontal="right" vertical="center"/>
    </xf>
    <xf numFmtId="167" fontId="16" fillId="0" borderId="0" xfId="0" applyNumberFormat="1" applyFont="1" applyAlignment="1">
      <alignment horizontal="right" vertical="center"/>
    </xf>
    <xf numFmtId="167" fontId="13" fillId="3" borderId="0" xfId="0" applyNumberFormat="1" applyFont="1" applyFill="1" applyAlignment="1">
      <alignment horizontal="left" vertical="center"/>
    </xf>
    <xf numFmtId="167" fontId="14" fillId="3" borderId="13" xfId="0" applyNumberFormat="1" applyFont="1" applyFill="1" applyBorder="1" applyAlignment="1">
      <alignment horizontal="right" vertical="center"/>
    </xf>
    <xf numFmtId="167" fontId="14" fillId="0" borderId="9" xfId="0" applyNumberFormat="1" applyFont="1" applyBorder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0" fontId="13" fillId="3" borderId="13" xfId="0" applyFont="1" applyFill="1" applyBorder="1" applyAlignment="1">
      <alignment horizontal="right" vertical="center"/>
    </xf>
    <xf numFmtId="0" fontId="13" fillId="0" borderId="13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5" fillId="0" borderId="13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168" fontId="0" fillId="0" borderId="0" xfId="0" applyNumberFormat="1" applyAlignment="1">
      <alignment horizontal="center"/>
    </xf>
    <xf numFmtId="167" fontId="0" fillId="0" borderId="0" xfId="0" applyNumberFormat="1"/>
    <xf numFmtId="169" fontId="0" fillId="0" borderId="0" xfId="1" applyNumberFormat="1" applyFont="1" applyAlignment="1">
      <alignment horizontal="center" wrapText="1"/>
    </xf>
    <xf numFmtId="169" fontId="0" fillId="0" borderId="0" xfId="1" applyNumberFormat="1" applyFont="1" applyAlignment="1">
      <alignment horizontal="center"/>
    </xf>
    <xf numFmtId="169" fontId="3" fillId="0" borderId="1" xfId="1" applyNumberFormat="1" applyFont="1" applyBorder="1" applyAlignment="1">
      <alignment horizontal="center"/>
    </xf>
    <xf numFmtId="0" fontId="13" fillId="3" borderId="0" xfId="0" quotePrefix="1" applyFont="1" applyFill="1" applyAlignment="1">
      <alignment horizontal="right" vertical="center" wrapText="1"/>
    </xf>
    <xf numFmtId="0" fontId="13" fillId="3" borderId="9" xfId="0" applyFont="1" applyFill="1" applyBorder="1" applyAlignment="1">
      <alignment horizontal="right" vertical="center" wrapText="1"/>
    </xf>
    <xf numFmtId="0" fontId="15" fillId="3" borderId="0" xfId="0" applyFont="1" applyFill="1" applyAlignment="1">
      <alignment horizontal="right" vertical="center" wrapText="1"/>
    </xf>
    <xf numFmtId="167" fontId="13" fillId="3" borderId="0" xfId="0" applyNumberFormat="1" applyFont="1" applyFill="1" applyAlignment="1">
      <alignment horizontal="right" vertical="center" wrapText="1"/>
    </xf>
    <xf numFmtId="167" fontId="13" fillId="3" borderId="9" xfId="0" applyNumberFormat="1" applyFont="1" applyFill="1" applyBorder="1" applyAlignment="1">
      <alignment horizontal="right" vertical="center" wrapText="1"/>
    </xf>
    <xf numFmtId="167" fontId="14" fillId="3" borderId="9" xfId="0" applyNumberFormat="1" applyFont="1" applyFill="1" applyBorder="1" applyAlignment="1">
      <alignment horizontal="right" vertical="center" wrapText="1"/>
    </xf>
    <xf numFmtId="167" fontId="14" fillId="3" borderId="0" xfId="0" applyNumberFormat="1" applyFont="1" applyFill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169" fontId="0" fillId="0" borderId="0" xfId="1" applyNumberFormat="1" applyFont="1"/>
    <xf numFmtId="164" fontId="3" fillId="0" borderId="4" xfId="1" applyNumberFormat="1" applyFont="1" applyBorder="1" applyAlignment="1">
      <alignment horizontal="center"/>
    </xf>
    <xf numFmtId="169" fontId="3" fillId="0" borderId="4" xfId="1" applyNumberFormat="1" applyFont="1" applyBorder="1"/>
    <xf numFmtId="169" fontId="3" fillId="0" borderId="0" xfId="1" applyNumberFormat="1" applyFont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13" fillId="3" borderId="7" xfId="0" applyNumberFormat="1" applyFont="1" applyFill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9" fontId="0" fillId="0" borderId="4" xfId="1" applyNumberFormat="1" applyFont="1" applyBorder="1"/>
    <xf numFmtId="167" fontId="0" fillId="0" borderId="0" xfId="1" applyNumberFormat="1" applyFont="1"/>
    <xf numFmtId="167" fontId="3" fillId="0" borderId="4" xfId="1" applyNumberFormat="1" applyFont="1" applyBorder="1"/>
    <xf numFmtId="0" fontId="3" fillId="0" borderId="4" xfId="0" applyFont="1" applyBorder="1"/>
  </cellXfs>
  <cellStyles count="3">
    <cellStyle name="Comma" xfId="1" builtinId="3"/>
    <cellStyle name="Normal" xfId="0" builtinId="0"/>
    <cellStyle name="Percent" xfId="2" builtinId="5"/>
  </cellStyles>
  <dxfs count="2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</dxf>
    <dxf>
      <border>
        <bottom style="medium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9" formatCode="_-* #,##0_-;\-* #,##0_-;_-* &quot;-&quot;??_-;_-@_-"/>
    </dxf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numFmt numFmtId="169" formatCode="_-* #,##0_-;\-* #,##0_-;_-* &quot;-&quot;??_-;_-@_-"/>
      <alignment horizontal="center" vertical="bottom" textRotation="0" indent="0" justifyLastLine="0" shrinkToFit="0" readingOrder="0"/>
    </dxf>
    <dxf>
      <numFmt numFmtId="0" formatCode="General"/>
    </dxf>
    <dxf>
      <border>
        <bottom style="medium">
          <color indexed="64"/>
        </bottom>
      </border>
    </dxf>
  </dxfs>
  <tableStyles count="1" defaultTableStyle="TableStyleMedium2" defaultPivotStyle="PivotStyleLight16">
    <tableStyle name="Invisible" pivot="0" table="0" count="0" xr9:uid="{D502BC40-BAF6-4771-86F2-2873B35C4A10}"/>
  </tableStyles>
  <colors>
    <mruColors>
      <color rgb="FF2EA1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Analysis'!$D$7:$G$7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Analysis'!$D$9:$G$9</c:f>
              <c:numCache>
                <c:formatCode>0.00%</c:formatCode>
                <c:ptCount val="4"/>
                <c:pt idx="0">
                  <c:v>7.2243835459694497E-2</c:v>
                </c:pt>
                <c:pt idx="1">
                  <c:v>7.1113262058750196E-2</c:v>
                </c:pt>
                <c:pt idx="2">
                  <c:v>5.1452803037261567E-2</c:v>
                </c:pt>
                <c:pt idx="3">
                  <c:v>7.5524908711528435E-2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3-40D9-B2A6-4C2C516D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>
                <a:alpha val="99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Analysis'!$D$27:$G$27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Analysis'!$D$35:$G$35</c:f>
              <c:numCache>
                <c:formatCode>0.00</c:formatCode>
                <c:ptCount val="4"/>
                <c:pt idx="0">
                  <c:v>-18.903809597382665</c:v>
                </c:pt>
                <c:pt idx="1">
                  <c:v>-20.20408144410397</c:v>
                </c:pt>
                <c:pt idx="2">
                  <c:v>-19.870646198303827</c:v>
                </c:pt>
                <c:pt idx="3">
                  <c:v>-18.518359200315281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4-4EA8-81BE-01D00F5C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#,##0.00_ ;\-#,##0.00\ 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tickLblSkip val="1"/>
        <c:noMultiLvlLbl val="0"/>
      </c:catAx>
      <c:valAx>
        <c:axId val="132909315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Analysis'!$D$19:$G$19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Analysis'!$D$21:$G$21</c:f>
              <c:numCache>
                <c:formatCode>0.00</c:formatCode>
                <c:ptCount val="4"/>
                <c:pt idx="0">
                  <c:v>0.64081041968162089</c:v>
                </c:pt>
                <c:pt idx="1">
                  <c:v>0.81115670183665489</c:v>
                </c:pt>
                <c:pt idx="2">
                  <c:v>0.70806360022714365</c:v>
                </c:pt>
                <c:pt idx="3">
                  <c:v>0.75079872204472842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9-4854-A6B7-22FDF0CC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Analysis'!$D$19:$G$19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Analysis'!$D$22:$G$22</c:f>
              <c:numCache>
                <c:formatCode>0.00</c:formatCode>
                <c:ptCount val="4"/>
                <c:pt idx="0">
                  <c:v>0.44052098408104196</c:v>
                </c:pt>
                <c:pt idx="1">
                  <c:v>0.68244431418522855</c:v>
                </c:pt>
                <c:pt idx="2">
                  <c:v>0.56553094832481543</c:v>
                </c:pt>
                <c:pt idx="3">
                  <c:v>0.60427237987846893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9-4FF5-9B26-774E3FD7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Analysis'!$D$19:$G$19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Analysis'!$D$23:$G$23</c:f>
              <c:numCache>
                <c:formatCode>0.000</c:formatCode>
                <c:ptCount val="4"/>
                <c:pt idx="0">
                  <c:v>0.20028943560057888</c:v>
                </c:pt>
                <c:pt idx="1">
                  <c:v>0.12871238765142634</c:v>
                </c:pt>
                <c:pt idx="2">
                  <c:v>0.14253265190232822</c:v>
                </c:pt>
                <c:pt idx="3">
                  <c:v>0.14652634216625948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B-4E42-AE25-10DECD08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Analysis'!$D$38:$G$38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Analysis'!$D$41:$G$41</c:f>
              <c:numCache>
                <c:formatCode>0.00</c:formatCode>
                <c:ptCount val="4"/>
                <c:pt idx="0">
                  <c:v>2.3347624764191393</c:v>
                </c:pt>
                <c:pt idx="1">
                  <c:v>3.0324903557651095</c:v>
                </c:pt>
                <c:pt idx="2">
                  <c:v>2.7519836400817996</c:v>
                </c:pt>
                <c:pt idx="3">
                  <c:v>2.1433597748208801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B-4A69-A79F-CB4D3085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Analysis'!$D$38:$G$38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Analysis'!$D$42:$G$42</c:f>
              <c:numCache>
                <c:formatCode>0.00%</c:formatCode>
                <c:ptCount val="4"/>
                <c:pt idx="0">
                  <c:v>0.70012856775520704</c:v>
                </c:pt>
                <c:pt idx="1">
                  <c:v>0.75201428601798503</c:v>
                </c:pt>
                <c:pt idx="2">
                  <c:v>0.73347431760704629</c:v>
                </c:pt>
                <c:pt idx="3">
                  <c:v>0.68186905997517144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C-402D-8A57-F873E11D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Analysis'!$D$38:$G$38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Analysis'!$D$43:$G$43</c:f>
              <c:numCache>
                <c:formatCode>0.00</c:formatCode>
                <c:ptCount val="4"/>
                <c:pt idx="0">
                  <c:v>3.6340482573726542</c:v>
                </c:pt>
                <c:pt idx="1">
                  <c:v>3.5043478260869567</c:v>
                </c:pt>
                <c:pt idx="2">
                  <c:v>2.263242375601926</c:v>
                </c:pt>
                <c:pt idx="3">
                  <c:v>4.6460980036297643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C-43EF-83B2-2D76CD2F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Analysis'!$D$38:$G$38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Analysis'!$D$45:$G$45</c:f>
              <c:numCache>
                <c:formatCode>0%</c:formatCode>
                <c:ptCount val="4"/>
                <c:pt idx="0">
                  <c:v>0.53482249700837659</c:v>
                </c:pt>
                <c:pt idx="1">
                  <c:v>0.5609214438965634</c:v>
                </c:pt>
                <c:pt idx="2">
                  <c:v>0.56737914926746413</c:v>
                </c:pt>
                <c:pt idx="3">
                  <c:v>0.52878760475070841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1BB-AE33-957DEA87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Analysis'!$D$38:$G$38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Analysis'!$D$44:$G$44</c:f>
              <c:numCache>
                <c:formatCode>0.00%</c:formatCode>
                <c:ptCount val="4"/>
                <c:pt idx="0">
                  <c:v>0.29987143224479301</c:v>
                </c:pt>
                <c:pt idx="1">
                  <c:v>0.24798571398201491</c:v>
                </c:pt>
                <c:pt idx="2">
                  <c:v>0.26652568239295371</c:v>
                </c:pt>
                <c:pt idx="3">
                  <c:v>0.31813094002482856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3-4A61-8CAB-2E95395B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Analysis'!$D$7:$G$7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Analysis'!$D$10:$G$10</c:f>
              <c:numCache>
                <c:formatCode>0.00%</c:formatCode>
                <c:ptCount val="4"/>
                <c:pt idx="0">
                  <c:v>3.8775101550431949E-2</c:v>
                </c:pt>
                <c:pt idx="1">
                  <c:v>4.1371522430961913E-2</c:v>
                </c:pt>
                <c:pt idx="2">
                  <c:v>2.1585377055203452E-2</c:v>
                </c:pt>
                <c:pt idx="3">
                  <c:v>4.1731872717788214E-2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D-4A6E-A80A-50B5DCE7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Analysis'!$D$7:$G$7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Analysis'!$D$11:$G$11</c:f>
              <c:numCache>
                <c:formatCode>0.00%</c:formatCode>
                <c:ptCount val="4"/>
                <c:pt idx="0">
                  <c:v>2.3313690714571771E-2</c:v>
                </c:pt>
                <c:pt idx="1">
                  <c:v>1.7481338084972209E-2</c:v>
                </c:pt>
                <c:pt idx="2">
                  <c:v>1.1267260647255136E-2</c:v>
                </c:pt>
                <c:pt idx="3">
                  <c:v>2.4175143453312467E-2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2-4A6C-A520-B8A4D253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Analysis'!$D$7:$G$7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Analysis'!$D$12:$G$12</c:f>
              <c:numCache>
                <c:formatCode>0.00</c:formatCode>
                <c:ptCount val="4"/>
                <c:pt idx="0">
                  <c:v>1.7977886346104397</c:v>
                </c:pt>
                <c:pt idx="1">
                  <c:v>1.4495843874232019</c:v>
                </c:pt>
                <c:pt idx="2">
                  <c:v>1.4241301124967298</c:v>
                </c:pt>
                <c:pt idx="3">
                  <c:v>1.2484278649490201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F-420F-A8C7-94B8A24A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Analysis'!$D$7:$G$7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Analysis'!$D$13:$G$13</c:f>
              <c:numCache>
                <c:formatCode>0.00%</c:formatCode>
                <c:ptCount val="4"/>
                <c:pt idx="0">
                  <c:v>0.13977019379180244</c:v>
                </c:pt>
                <c:pt idx="1">
                  <c:v>0.10218602657522503</c:v>
                </c:pt>
                <c:pt idx="2">
                  <c:v>6.0204498977505114E-2</c:v>
                </c:pt>
                <c:pt idx="3">
                  <c:v>9.4869498464687826E-2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6-405F-8E88-B52D9B21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Analysis'!$D$7:$G$7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Analysis'!$D$14:$G$14</c:f>
              <c:numCache>
                <c:formatCode>0.00%</c:formatCode>
                <c:ptCount val="4"/>
                <c:pt idx="0">
                  <c:v>6.9709436873232195E-2</c:v>
                </c:pt>
                <c:pt idx="1">
                  <c:v>5.9971512999851186E-2</c:v>
                </c:pt>
                <c:pt idx="2">
                  <c:v>3.0740385453911223E-2</c:v>
                </c:pt>
                <c:pt idx="3">
                  <c:v>5.2099232757392602E-2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6-4015-BF6B-318D61B4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Analysis'!$D$27:$G$27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Analysis'!$D$29:$G$29</c:f>
              <c:numCache>
                <c:formatCode>0.00</c:formatCode>
                <c:ptCount val="4"/>
                <c:pt idx="0">
                  <c:v>23.195447976878611</c:v>
                </c:pt>
                <c:pt idx="1">
                  <c:v>23.846679316888046</c:v>
                </c:pt>
                <c:pt idx="2">
                  <c:v>24.508366533864542</c:v>
                </c:pt>
                <c:pt idx="3">
                  <c:v>24.262505344164172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0A4-BE33-56D8EE3E8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Analysis'!$D$27:$G$27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Analysis'!$D$31:$G$31</c:f>
              <c:numCache>
                <c:formatCode>0.00</c:formatCode>
                <c:ptCount val="4"/>
                <c:pt idx="0">
                  <c:v>107.23312883435582</c:v>
                </c:pt>
                <c:pt idx="1">
                  <c:v>118.38020833333333</c:v>
                </c:pt>
                <c:pt idx="2">
                  <c:v>123.01694915254237</c:v>
                </c:pt>
                <c:pt idx="3">
                  <c:v>134.23194748358861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A-4BD8-BDA7-A8E42CAE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6322744139742"/>
          <c:y val="0.10080179639335934"/>
          <c:w val="0.73037125531722336"/>
          <c:h val="0.798396407213281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'Ratio Analysis'!$D$27:$G$27</c:f>
              <c:strCache>
                <c:ptCount val="4"/>
                <c:pt idx="0">
                  <c:v>FY 2025</c:v>
                </c:pt>
                <c:pt idx="1">
                  <c:v>FY 2024</c:v>
                </c:pt>
                <c:pt idx="2">
                  <c:v>FY 2023</c:v>
                </c:pt>
                <c:pt idx="3">
                  <c:v>FY 2022</c:v>
                </c:pt>
              </c:strCache>
            </c:strRef>
          </c:cat>
          <c:val>
            <c:numRef>
              <c:f>'Ratio Analysis'!$D$33:$G$33</c:f>
              <c:numCache>
                <c:formatCode>0.00</c:formatCode>
                <c:ptCount val="4"/>
                <c:pt idx="0">
                  <c:v>9.5942916915720264</c:v>
                </c:pt>
                <c:pt idx="1">
                  <c:v>9.4575556893437689</c:v>
                </c:pt>
                <c:pt idx="2">
                  <c:v>9.6738480893222203</c:v>
                </c:pt>
                <c:pt idx="3">
                  <c:v>10.060273001240915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5-4960-955D-8F49F3EC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29087872"/>
        <c:axId val="1329093152"/>
      </c:barChart>
      <c:catAx>
        <c:axId val="13290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093152"/>
        <c:crosses val="autoZero"/>
        <c:auto val="1"/>
        <c:lblAlgn val="ctr"/>
        <c:lblOffset val="100"/>
        <c:noMultiLvlLbl val="0"/>
      </c:catAx>
      <c:valAx>
        <c:axId val="132909315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290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6</xdr:col>
      <xdr:colOff>323850</xdr:colOff>
      <xdr:row>11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27E62-D4EB-47AF-86FF-B08CD9494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4</xdr:row>
      <xdr:rowOff>38099</xdr:rowOff>
    </xdr:from>
    <xdr:to>
      <xdr:col>11</xdr:col>
      <xdr:colOff>419100</xdr:colOff>
      <xdr:row>11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E5AAE-613E-4CF8-9ACB-67BBD2837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</xdr:colOff>
      <xdr:row>3</xdr:row>
      <xdr:rowOff>85724</xdr:rowOff>
    </xdr:from>
    <xdr:to>
      <xdr:col>5</xdr:col>
      <xdr:colOff>495300</xdr:colOff>
      <xdr:row>4</xdr:row>
      <xdr:rowOff>114299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0BC032-CCB5-3B78-5311-C381C1014EB0}"/>
            </a:ext>
          </a:extLst>
        </xdr:cNvPr>
        <xdr:cNvSpPr txBox="1"/>
      </xdr:nvSpPr>
      <xdr:spPr>
        <a:xfrm>
          <a:off x="1952625" y="657224"/>
          <a:ext cx="159067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Gross Profit Margin</a:t>
          </a:r>
          <a:r>
            <a:rPr lang="en-GB" b="1"/>
            <a:t> </a:t>
          </a:r>
          <a:endParaRPr lang="en-GB" sz="1100" b="1"/>
        </a:p>
      </xdr:txBody>
    </xdr:sp>
    <xdr:clientData/>
  </xdr:twoCellAnchor>
  <xdr:twoCellAnchor>
    <xdr:from>
      <xdr:col>8</xdr:col>
      <xdr:colOff>38100</xdr:colOff>
      <xdr:row>3</xdr:row>
      <xdr:rowOff>104775</xdr:rowOff>
    </xdr:from>
    <xdr:to>
      <xdr:col>10</xdr:col>
      <xdr:colOff>409575</xdr:colOff>
      <xdr:row>4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4A86331-B9D4-4291-8AD4-F1FFD1F5378A}"/>
            </a:ext>
          </a:extLst>
        </xdr:cNvPr>
        <xdr:cNvSpPr txBox="1"/>
      </xdr:nvSpPr>
      <xdr:spPr>
        <a:xfrm>
          <a:off x="4914900" y="676275"/>
          <a:ext cx="159067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Operating Profit Margin</a:t>
          </a:r>
          <a:r>
            <a:rPr lang="en-GB" b="1"/>
            <a:t> </a:t>
          </a:r>
          <a:endParaRPr lang="en-GB" sz="1100" b="1"/>
        </a:p>
      </xdr:txBody>
    </xdr:sp>
    <xdr:clientData/>
  </xdr:twoCellAnchor>
  <xdr:twoCellAnchor>
    <xdr:from>
      <xdr:col>11</xdr:col>
      <xdr:colOff>400050</xdr:colOff>
      <xdr:row>4</xdr:row>
      <xdr:rowOff>57150</xdr:rowOff>
    </xdr:from>
    <xdr:to>
      <xdr:col>16</xdr:col>
      <xdr:colOff>114300</xdr:colOff>
      <xdr:row>11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F4916D-DC12-4848-9EE2-B700BF417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3</xdr:row>
      <xdr:rowOff>95250</xdr:rowOff>
    </xdr:from>
    <xdr:to>
      <xdr:col>15</xdr:col>
      <xdr:colOff>28575</xdr:colOff>
      <xdr:row>4</xdr:row>
      <xdr:rowOff>123825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0293B0-52EE-48B5-83C8-4FCF10709242}"/>
            </a:ext>
          </a:extLst>
        </xdr:cNvPr>
        <xdr:cNvSpPr txBox="1"/>
      </xdr:nvSpPr>
      <xdr:spPr>
        <a:xfrm>
          <a:off x="7581900" y="666750"/>
          <a:ext cx="159067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Profit Margin</a:t>
          </a:r>
          <a:r>
            <a:rPr lang="en-GB" b="1"/>
            <a:t> </a:t>
          </a:r>
          <a:endParaRPr lang="en-GB" sz="1100" b="1"/>
        </a:p>
      </xdr:txBody>
    </xdr:sp>
    <xdr:clientData/>
  </xdr:twoCellAnchor>
  <xdr:twoCellAnchor>
    <xdr:from>
      <xdr:col>11</xdr:col>
      <xdr:colOff>371475</xdr:colOff>
      <xdr:row>13</xdr:row>
      <xdr:rowOff>19050</xdr:rowOff>
    </xdr:from>
    <xdr:to>
      <xdr:col>16</xdr:col>
      <xdr:colOff>85725</xdr:colOff>
      <xdr:row>20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E0131B-6AF6-4E24-83BD-7D800C2B2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409575</xdr:colOff>
      <xdr:row>12</xdr:row>
      <xdr:rowOff>133350</xdr:rowOff>
    </xdr:from>
    <xdr:to>
      <xdr:col>15</xdr:col>
      <xdr:colOff>171450</xdr:colOff>
      <xdr:row>13</xdr:row>
      <xdr:rowOff>161925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E66EE90-7BDE-427C-B839-2527594DCDF7}"/>
            </a:ext>
          </a:extLst>
        </xdr:cNvPr>
        <xdr:cNvSpPr txBox="1"/>
      </xdr:nvSpPr>
      <xdr:spPr>
        <a:xfrm>
          <a:off x="7115175" y="2419350"/>
          <a:ext cx="159067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Turnover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</a:t>
          </a:r>
          <a:endParaRPr lang="en-GB" sz="1100" b="1"/>
        </a:p>
      </xdr:txBody>
    </xdr:sp>
    <xdr:clientData/>
  </xdr:twoCellAnchor>
  <xdr:twoCellAnchor>
    <xdr:from>
      <xdr:col>1</xdr:col>
      <xdr:colOff>590550</xdr:colOff>
      <xdr:row>13</xdr:row>
      <xdr:rowOff>85725</xdr:rowOff>
    </xdr:from>
    <xdr:to>
      <xdr:col>6</xdr:col>
      <xdr:colOff>304800</xdr:colOff>
      <xdr:row>20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144012-44C2-4E21-B340-0C153E1B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28575</xdr:colOff>
      <xdr:row>12</xdr:row>
      <xdr:rowOff>152400</xdr:rowOff>
    </xdr:from>
    <xdr:to>
      <xdr:col>5</xdr:col>
      <xdr:colOff>400050</xdr:colOff>
      <xdr:row>13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7089F59-6366-4DF0-85DE-0DAD9ECC9782}"/>
            </a:ext>
          </a:extLst>
        </xdr:cNvPr>
        <xdr:cNvSpPr txBox="1"/>
      </xdr:nvSpPr>
      <xdr:spPr>
        <a:xfrm>
          <a:off x="1247775" y="2438400"/>
          <a:ext cx="159067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Equity (ROE)</a:t>
          </a:r>
          <a:endParaRPr lang="en-GB" sz="1100" b="1"/>
        </a:p>
      </xdr:txBody>
    </xdr:sp>
    <xdr:clientData/>
  </xdr:twoCellAnchor>
  <xdr:twoCellAnchor>
    <xdr:from>
      <xdr:col>7</xdr:col>
      <xdr:colOff>95250</xdr:colOff>
      <xdr:row>13</xdr:row>
      <xdr:rowOff>123825</xdr:rowOff>
    </xdr:from>
    <xdr:to>
      <xdr:col>11</xdr:col>
      <xdr:colOff>419100</xdr:colOff>
      <xdr:row>21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13A335-4908-4FED-941C-4F182F59B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95250</xdr:colOff>
      <xdr:row>12</xdr:row>
      <xdr:rowOff>161925</xdr:rowOff>
    </xdr:from>
    <xdr:to>
      <xdr:col>11</xdr:col>
      <xdr:colOff>95250</xdr:colOff>
      <xdr:row>13</xdr:row>
      <xdr:rowOff>171450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59F86A7-C921-4BB6-BAB3-9DBF001C48DE}"/>
            </a:ext>
          </a:extLst>
        </xdr:cNvPr>
        <xdr:cNvSpPr txBox="1"/>
      </xdr:nvSpPr>
      <xdr:spPr>
        <a:xfrm>
          <a:off x="4362450" y="2447925"/>
          <a:ext cx="18288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on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Capital Employed</a:t>
          </a:r>
          <a:endParaRPr lang="en-GB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</xdr:row>
          <xdr:rowOff>161925</xdr:rowOff>
        </xdr:from>
        <xdr:to>
          <xdr:col>16</xdr:col>
          <xdr:colOff>600075</xdr:colOff>
          <xdr:row>23</xdr:row>
          <xdr:rowOff>38100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Profitability Ratios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0</xdr:colOff>
      <xdr:row>29</xdr:row>
      <xdr:rowOff>114300</xdr:rowOff>
    </xdr:from>
    <xdr:to>
      <xdr:col>6</xdr:col>
      <xdr:colOff>323850</xdr:colOff>
      <xdr:row>36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CB54B0-F1A4-4271-A7A6-74DBFDF13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561975</xdr:colOff>
      <xdr:row>28</xdr:row>
      <xdr:rowOff>142875</xdr:rowOff>
    </xdr:from>
    <xdr:to>
      <xdr:col>5</xdr:col>
      <xdr:colOff>419100</xdr:colOff>
      <xdr:row>29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A6DB84C-BB94-4306-BF72-80CEE575FF2F}"/>
            </a:ext>
          </a:extLst>
        </xdr:cNvPr>
        <xdr:cNvSpPr txBox="1"/>
      </xdr:nvSpPr>
      <xdr:spPr>
        <a:xfrm>
          <a:off x="1781175" y="5476875"/>
          <a:ext cx="16859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Inventory Turnover X</a:t>
          </a:r>
        </a:p>
      </xdr:txBody>
    </xdr:sp>
    <xdr:clientData/>
  </xdr:twoCellAnchor>
  <xdr:twoCellAnchor>
    <xdr:from>
      <xdr:col>7</xdr:col>
      <xdr:colOff>66675</xdr:colOff>
      <xdr:row>29</xdr:row>
      <xdr:rowOff>85725</xdr:rowOff>
    </xdr:from>
    <xdr:to>
      <xdr:col>11</xdr:col>
      <xdr:colOff>295275</xdr:colOff>
      <xdr:row>36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0692F6-454F-4923-A883-6E63FAB04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114300</xdr:colOff>
      <xdr:row>28</xdr:row>
      <xdr:rowOff>104775</xdr:rowOff>
    </xdr:from>
    <xdr:to>
      <xdr:col>10</xdr:col>
      <xdr:colOff>581025</xdr:colOff>
      <xdr:row>29</xdr:row>
      <xdr:rowOff>142875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627BE1A-63E5-419F-BEB8-01C858808BE5}"/>
            </a:ext>
          </a:extLst>
        </xdr:cNvPr>
        <xdr:cNvSpPr txBox="1"/>
      </xdr:nvSpPr>
      <xdr:spPr>
        <a:xfrm>
          <a:off x="4991100" y="5438775"/>
          <a:ext cx="16859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Receivable Turnover X</a:t>
          </a:r>
        </a:p>
      </xdr:txBody>
    </xdr:sp>
    <xdr:clientData/>
  </xdr:twoCellAnchor>
  <xdr:twoCellAnchor>
    <xdr:from>
      <xdr:col>11</xdr:col>
      <xdr:colOff>561975</xdr:colOff>
      <xdr:row>29</xdr:row>
      <xdr:rowOff>57150</xdr:rowOff>
    </xdr:from>
    <xdr:to>
      <xdr:col>16</xdr:col>
      <xdr:colOff>276225</xdr:colOff>
      <xdr:row>36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444495-D2E1-48AD-8FB0-393DFE578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581025</xdr:colOff>
      <xdr:row>28</xdr:row>
      <xdr:rowOff>47625</xdr:rowOff>
    </xdr:from>
    <xdr:to>
      <xdr:col>15</xdr:col>
      <xdr:colOff>438150</xdr:colOff>
      <xdr:row>29</xdr:row>
      <xdr:rowOff>85725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DFCEA14-E872-4361-802A-7A401A11A6AD}"/>
            </a:ext>
          </a:extLst>
        </xdr:cNvPr>
        <xdr:cNvSpPr txBox="1"/>
      </xdr:nvSpPr>
      <xdr:spPr>
        <a:xfrm>
          <a:off x="7896225" y="5381625"/>
          <a:ext cx="168592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Payable Turnover X</a:t>
          </a:r>
        </a:p>
      </xdr:txBody>
    </xdr:sp>
    <xdr:clientData/>
  </xdr:twoCellAnchor>
  <xdr:twoCellAnchor>
    <xdr:from>
      <xdr:col>2</xdr:col>
      <xdr:colOff>0</xdr:colOff>
      <xdr:row>40</xdr:row>
      <xdr:rowOff>0</xdr:rowOff>
    </xdr:from>
    <xdr:to>
      <xdr:col>6</xdr:col>
      <xdr:colOff>323850</xdr:colOff>
      <xdr:row>47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09601D8-C49E-4589-B660-B1A04F185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581025</xdr:colOff>
      <xdr:row>38</xdr:row>
      <xdr:rowOff>180975</xdr:rowOff>
    </xdr:from>
    <xdr:to>
      <xdr:col>6</xdr:col>
      <xdr:colOff>95250</xdr:colOff>
      <xdr:row>40</xdr:row>
      <xdr:rowOff>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6673B5F-C513-4B72-AABB-EB6E650AFF4A}"/>
            </a:ext>
          </a:extLst>
        </xdr:cNvPr>
        <xdr:cNvSpPr txBox="1"/>
      </xdr:nvSpPr>
      <xdr:spPr>
        <a:xfrm>
          <a:off x="1800225" y="7419975"/>
          <a:ext cx="19526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Cash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Coversion Cycle (Days)</a:t>
          </a:r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104775</xdr:rowOff>
        </xdr:from>
        <xdr:to>
          <xdr:col>16</xdr:col>
          <xdr:colOff>590550</xdr:colOff>
          <xdr:row>48</xdr:row>
          <xdr:rowOff>38100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Efficiency Ratios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533400</xdr:colOff>
      <xdr:row>52</xdr:row>
      <xdr:rowOff>180975</xdr:rowOff>
    </xdr:from>
    <xdr:to>
      <xdr:col>6</xdr:col>
      <xdr:colOff>152400</xdr:colOff>
      <xdr:row>60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50E9F4-CA9F-4D32-91E1-E5997391C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523876</xdr:colOff>
      <xdr:row>52</xdr:row>
      <xdr:rowOff>0</xdr:rowOff>
    </xdr:from>
    <xdr:to>
      <xdr:col>4</xdr:col>
      <xdr:colOff>409576</xdr:colOff>
      <xdr:row>53</xdr:row>
      <xdr:rowOff>9525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02AD748-22AA-453C-A676-14014CD8B766}"/>
            </a:ext>
          </a:extLst>
        </xdr:cNvPr>
        <xdr:cNvSpPr txBox="1"/>
      </xdr:nvSpPr>
      <xdr:spPr>
        <a:xfrm>
          <a:off x="1743076" y="9906000"/>
          <a:ext cx="11049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Ratio</a:t>
          </a:r>
        </a:p>
      </xdr:txBody>
    </xdr:sp>
    <xdr:clientData/>
  </xdr:twoCellAnchor>
  <xdr:twoCellAnchor>
    <xdr:from>
      <xdr:col>7</xdr:col>
      <xdr:colOff>180975</xdr:colOff>
      <xdr:row>52</xdr:row>
      <xdr:rowOff>142875</xdr:rowOff>
    </xdr:from>
    <xdr:to>
      <xdr:col>11</xdr:col>
      <xdr:colOff>409575</xdr:colOff>
      <xdr:row>60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CEF5CC2-FEB5-4ED4-AEF3-E656F61F8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152400</xdr:colOff>
      <xdr:row>51</xdr:row>
      <xdr:rowOff>171450</xdr:rowOff>
    </xdr:from>
    <xdr:to>
      <xdr:col>10</xdr:col>
      <xdr:colOff>38100</xdr:colOff>
      <xdr:row>52</xdr:row>
      <xdr:rowOff>180975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11EF9B4-ECD1-4644-B928-3AD5844A59ED}"/>
            </a:ext>
          </a:extLst>
        </xdr:cNvPr>
        <xdr:cNvSpPr txBox="1"/>
      </xdr:nvSpPr>
      <xdr:spPr>
        <a:xfrm>
          <a:off x="5029200" y="9886950"/>
          <a:ext cx="11049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Quick Ratio</a:t>
          </a:r>
        </a:p>
      </xdr:txBody>
    </xdr:sp>
    <xdr:clientData/>
  </xdr:twoCellAnchor>
  <xdr:twoCellAnchor>
    <xdr:from>
      <xdr:col>12</xdr:col>
      <xdr:colOff>57150</xdr:colOff>
      <xdr:row>52</xdr:row>
      <xdr:rowOff>85725</xdr:rowOff>
    </xdr:from>
    <xdr:to>
      <xdr:col>16</xdr:col>
      <xdr:colOff>285750</xdr:colOff>
      <xdr:row>59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A897324-CB08-4070-A883-89DB3E005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66675</xdr:colOff>
      <xdr:row>51</xdr:row>
      <xdr:rowOff>47625</xdr:rowOff>
    </xdr:from>
    <xdr:to>
      <xdr:col>14</xdr:col>
      <xdr:colOff>561975</xdr:colOff>
      <xdr:row>52</xdr:row>
      <xdr:rowOff>57150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1C9395F-87C8-45C7-8561-E402C181EDDA}"/>
            </a:ext>
          </a:extLst>
        </xdr:cNvPr>
        <xdr:cNvSpPr txBox="1"/>
      </xdr:nvSpPr>
      <xdr:spPr>
        <a:xfrm>
          <a:off x="7991475" y="9763125"/>
          <a:ext cx="11049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Cash</a:t>
          </a:r>
          <a:r>
            <a:rPr lang="en-GB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Ratio</a:t>
          </a:r>
          <a:endParaRPr lang="en-GB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50</xdr:row>
          <xdr:rowOff>190500</xdr:rowOff>
        </xdr:from>
        <xdr:to>
          <xdr:col>16</xdr:col>
          <xdr:colOff>581025</xdr:colOff>
          <xdr:row>63</xdr:row>
          <xdr:rowOff>28575</xdr:rowOff>
        </xdr:to>
        <xdr:sp macro="" textlink="">
          <xdr:nvSpPr>
            <xdr:cNvPr id="7171" name="Group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Liquidity Ratios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495300</xdr:colOff>
      <xdr:row>67</xdr:row>
      <xdr:rowOff>104775</xdr:rowOff>
    </xdr:from>
    <xdr:to>
      <xdr:col>6</xdr:col>
      <xdr:colOff>114300</xdr:colOff>
      <xdr:row>74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6E1CC42-CC5D-4472-ACD0-490E5E845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476250</xdr:colOff>
      <xdr:row>66</xdr:row>
      <xdr:rowOff>152400</xdr:rowOff>
    </xdr:from>
    <xdr:to>
      <xdr:col>5</xdr:col>
      <xdr:colOff>171450</xdr:colOff>
      <xdr:row>67</xdr:row>
      <xdr:rowOff>161925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B4D0067-C958-4AE2-B4FE-C3F185F6A393}"/>
            </a:ext>
          </a:extLst>
        </xdr:cNvPr>
        <xdr:cNvSpPr txBox="1"/>
      </xdr:nvSpPr>
      <xdr:spPr>
        <a:xfrm>
          <a:off x="1695450" y="12725400"/>
          <a:ext cx="15240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Debt to Equity Ratio</a:t>
          </a:r>
        </a:p>
      </xdr:txBody>
    </xdr:sp>
    <xdr:clientData/>
  </xdr:twoCellAnchor>
  <xdr:twoCellAnchor>
    <xdr:from>
      <xdr:col>7</xdr:col>
      <xdr:colOff>152400</xdr:colOff>
      <xdr:row>67</xdr:row>
      <xdr:rowOff>66675</xdr:rowOff>
    </xdr:from>
    <xdr:to>
      <xdr:col>11</xdr:col>
      <xdr:colOff>381000</xdr:colOff>
      <xdr:row>74</xdr:row>
      <xdr:rowOff>133350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A80BFBB-7782-4BFD-BB4E-A39AE3BCC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200025</xdr:colOff>
      <xdr:row>66</xdr:row>
      <xdr:rowOff>76200</xdr:rowOff>
    </xdr:from>
    <xdr:to>
      <xdr:col>10</xdr:col>
      <xdr:colOff>504825</xdr:colOff>
      <xdr:row>67</xdr:row>
      <xdr:rowOff>85725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2D5A8F8-546B-4D7F-B8F1-19450A5F0D6E}"/>
            </a:ext>
          </a:extLst>
        </xdr:cNvPr>
        <xdr:cNvSpPr txBox="1"/>
      </xdr:nvSpPr>
      <xdr:spPr>
        <a:xfrm>
          <a:off x="5076825" y="12649200"/>
          <a:ext cx="1524000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Debt Ratio</a:t>
          </a:r>
        </a:p>
      </xdr:txBody>
    </xdr:sp>
    <xdr:clientData/>
  </xdr:twoCellAnchor>
  <xdr:twoCellAnchor>
    <xdr:from>
      <xdr:col>12</xdr:col>
      <xdr:colOff>180975</xdr:colOff>
      <xdr:row>67</xdr:row>
      <xdr:rowOff>28575</xdr:rowOff>
    </xdr:from>
    <xdr:to>
      <xdr:col>16</xdr:col>
      <xdr:colOff>409575</xdr:colOff>
      <xdr:row>74</xdr:row>
      <xdr:rowOff>95250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F7963D8-72E2-46E1-AC40-006008933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19049</xdr:colOff>
      <xdr:row>66</xdr:row>
      <xdr:rowOff>38100</xdr:rowOff>
    </xdr:from>
    <xdr:to>
      <xdr:col>15</xdr:col>
      <xdr:colOff>542924</xdr:colOff>
      <xdr:row>67</xdr:row>
      <xdr:rowOff>95250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01EF151-983B-49D7-82CE-D5AF5A1BC18F}"/>
            </a:ext>
          </a:extLst>
        </xdr:cNvPr>
        <xdr:cNvSpPr txBox="1"/>
      </xdr:nvSpPr>
      <xdr:spPr>
        <a:xfrm>
          <a:off x="7943849" y="12611100"/>
          <a:ext cx="1743075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Interest Coverage Ratio</a:t>
          </a:r>
        </a:p>
      </xdr:txBody>
    </xdr:sp>
    <xdr:clientData/>
  </xdr:twoCellAnchor>
  <xdr:twoCellAnchor>
    <xdr:from>
      <xdr:col>1</xdr:col>
      <xdr:colOff>457200</xdr:colOff>
      <xdr:row>77</xdr:row>
      <xdr:rowOff>161925</xdr:rowOff>
    </xdr:from>
    <xdr:to>
      <xdr:col>6</xdr:col>
      <xdr:colOff>76200</xdr:colOff>
      <xdr:row>85</xdr:row>
      <xdr:rowOff>38100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1494D11-DB73-4183-9B91-48EDCB11E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447675</xdr:colOff>
      <xdr:row>76</xdr:row>
      <xdr:rowOff>171450</xdr:rowOff>
    </xdr:from>
    <xdr:to>
      <xdr:col>5</xdr:col>
      <xdr:colOff>142875</xdr:colOff>
      <xdr:row>78</xdr:row>
      <xdr:rowOff>38100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D867BE8-A12B-4959-AA84-0B98E54BCCBC}"/>
            </a:ext>
          </a:extLst>
        </xdr:cNvPr>
        <xdr:cNvSpPr txBox="1"/>
      </xdr:nvSpPr>
      <xdr:spPr>
        <a:xfrm>
          <a:off x="1666875" y="14649450"/>
          <a:ext cx="152400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Capital Gearing Ratio</a:t>
          </a:r>
        </a:p>
      </xdr:txBody>
    </xdr:sp>
    <xdr:clientData/>
  </xdr:twoCellAnchor>
  <xdr:twoCellAnchor>
    <xdr:from>
      <xdr:col>7</xdr:col>
      <xdr:colOff>200025</xdr:colOff>
      <xdr:row>77</xdr:row>
      <xdr:rowOff>180975</xdr:rowOff>
    </xdr:from>
    <xdr:to>
      <xdr:col>11</xdr:col>
      <xdr:colOff>428625</xdr:colOff>
      <xdr:row>85</xdr:row>
      <xdr:rowOff>57150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6BF10DC-CDD5-432A-9A21-240CADA4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323850</xdr:colOff>
      <xdr:row>77</xdr:row>
      <xdr:rowOff>0</xdr:rowOff>
    </xdr:from>
    <xdr:to>
      <xdr:col>11</xdr:col>
      <xdr:colOff>19050</xdr:colOff>
      <xdr:row>78</xdr:row>
      <xdr:rowOff>57150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7A3A0D0-91B2-41E8-BEE7-F0ED0ACBD729}"/>
            </a:ext>
          </a:extLst>
        </xdr:cNvPr>
        <xdr:cNvSpPr txBox="1"/>
      </xdr:nvSpPr>
      <xdr:spPr>
        <a:xfrm>
          <a:off x="5200650" y="14668500"/>
          <a:ext cx="152400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Equity Ratio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65</xdr:row>
          <xdr:rowOff>95250</xdr:rowOff>
        </xdr:from>
        <xdr:to>
          <xdr:col>16</xdr:col>
          <xdr:colOff>590550</xdr:colOff>
          <xdr:row>87</xdr:row>
          <xdr:rowOff>47625</xdr:rowOff>
        </xdr:to>
        <xdr:sp macro="" textlink="">
          <xdr:nvSpPr>
            <xdr:cNvPr id="7172" name="Group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Leverage/Solvency Ratios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sco-my.sharepoint.com/personal/ferhad_sookhlal_tesco_com/Documents/Desktop/Master%20Data%20File%20-%20FY25_LIVE.xlsx" TargetMode="External"/><Relationship Id="rId1" Type="http://schemas.openxmlformats.org/officeDocument/2006/relationships/externalLinkPath" Target="https://tesco-my.sharepoint.com/personal/ferhad_sookhlal_tesco_com/Documents/Desktop/Master%20Data%20File%20-%20FY25_L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yles"/>
      <sheetName val="Naming convention"/>
      <sheetName val="POV"/>
      <sheetName val="Contents"/>
      <sheetName val="Triangulation -&gt;"/>
      <sheetName val="Check summary"/>
      <sheetName val="2025 (Auto)"/>
      <sheetName val="2022 AR (Manual)"/>
      <sheetName val="Group P&amp;L"/>
      <sheetName val="Group SOCI"/>
      <sheetName val="Group Balance Sheet"/>
      <sheetName val="Group SOCIE"/>
      <sheetName val="Group Cashflow"/>
      <sheetName val="Note 2c CF Segmental"/>
      <sheetName val="Note 2a P&amp;L Segmental"/>
      <sheetName val="Note 2b&amp;2d BS Segmental"/>
      <sheetName val="Revenue"/>
      <sheetName val="Operating Expenses"/>
      <sheetName val="Adjusting items"/>
      <sheetName val="Finance income and costs"/>
      <sheetName val="Taxation"/>
      <sheetName val="Discont &amp; AHFS"/>
      <sheetName val="Dividends"/>
      <sheetName val="EPS"/>
      <sheetName val="GW &amp; IA"/>
      <sheetName val="PPE"/>
      <sheetName val="Investment Property"/>
      <sheetName val="Group Entities"/>
      <sheetName val="Leases"/>
      <sheetName val="Impairments"/>
      <sheetName val="Other Investments"/>
      <sheetName val="Inventories"/>
      <sheetName val="Receivables"/>
      <sheetName val="Cash&amp;CE"/>
      <sheetName val="Payables"/>
      <sheetName val="Commercial Income"/>
      <sheetName val="Borrowings"/>
      <sheetName val="Provisions"/>
      <sheetName val="Insurance"/>
      <sheetName val="Bank deposits"/>
      <sheetName val="Financial Ins"/>
      <sheetName val="Fin Risk"/>
      <sheetName val="SBP"/>
      <sheetName val="P-EB"/>
      <sheetName val="SC &amp; Other reserves"/>
      <sheetName val="RPT"/>
      <sheetName val="Net debt"/>
      <sheetName val="IFRS 17 restatements"/>
      <sheetName val="Acquisitions"/>
      <sheetName val="Commit &amp; Contingent"/>
      <sheetName val="Parent BS"/>
      <sheetName val="Parent SOCIE"/>
      <sheetName val="Notes to Parent Co Note 5"/>
      <sheetName val="Notes to Parent Co Note 6"/>
      <sheetName val="Notes to Parent Co Note 7"/>
      <sheetName val="Notes to Parent Co Note 8"/>
      <sheetName val="Notes to Parent Co Note 9"/>
      <sheetName val="Notes to Parent Co Note 10"/>
      <sheetName val="Notes to Parent Co Note 11"/>
      <sheetName val="Notes to Parent Co Note 12"/>
      <sheetName val="Notes to Parent Co Note 13"/>
      <sheetName val="Notes to Parent Co Note 14"/>
      <sheetName val="APMs IS"/>
      <sheetName val="APMs other BS"/>
      <sheetName val="APMs ROCE"/>
      <sheetName val="APMs ROCE (OLD)"/>
      <sheetName val="APMs Net Debt"/>
      <sheetName val="APMs CF"/>
      <sheetName val="Supp Info Appendices"/>
      <sheetName val="5 year record"/>
      <sheetName val="PR -&gt;"/>
      <sheetName val="PR Group P&amp;L"/>
      <sheetName val="PR Group SOCI"/>
      <sheetName val="PR Group Balance Sheet"/>
      <sheetName val="PR Group SOCIE"/>
      <sheetName val="PR Group Cashflow"/>
      <sheetName val="PR Note 2a P&amp;L Segmental"/>
      <sheetName val="PR Note 2b BS Segmental"/>
      <sheetName val="PR Note 2c CF Segmental"/>
      <sheetName val="PR Adjusting items"/>
      <sheetName val="PR Finance income&amp;costs"/>
      <sheetName val="PR Tax"/>
      <sheetName val="PR Disc Ops"/>
      <sheetName val="PR Dividends"/>
      <sheetName val="PR EPS"/>
      <sheetName val="PR PPE"/>
      <sheetName val="PR Leases"/>
      <sheetName val="PR Impairment"/>
      <sheetName val="PR Cash"/>
      <sheetName val="PR Insurance"/>
      <sheetName val="PR Comm income"/>
      <sheetName val="PR Borrowings"/>
      <sheetName val="PR Fin Ins"/>
      <sheetName val="PR Provisions"/>
      <sheetName val="PR P-EB"/>
      <sheetName val="PR Share cap"/>
      <sheetName val="PR Net debt"/>
      <sheetName val="PR RPT"/>
      <sheetName val="PR Business Combo"/>
      <sheetName val="Front Half -&gt;"/>
      <sheetName val="Headline&amp;Stat Measures"/>
      <sheetName val="Group Review of Performance"/>
      <sheetName val="Segmental Review of Performance"/>
      <sheetName val="Other Financials"/>
      <sheetName val="Stat Profit Rec"/>
      <sheetName val="Other Supp info - Adj items"/>
      <sheetName val="Other Supp Info EPS"/>
      <sheetName val="Other Supp Info Indebtedness"/>
      <sheetName val="Other Supp Info JV"/>
      <sheetName val="Front Half Tie Through Summary"/>
      <sheetName val="Big 6 KPIs"/>
    </sheetNames>
    <sheetDataSet>
      <sheetData sheetId="0" refreshError="1"/>
      <sheetData sheetId="1" refreshError="1"/>
      <sheetData sheetId="2" refreshError="1">
        <row r="1">
          <cell r="B1" t="str">
            <v>YE</v>
          </cell>
        </row>
        <row r="5">
          <cell r="B5" t="str">
            <v>22 February 2025</v>
          </cell>
        </row>
        <row r="8">
          <cell r="B8" t="str">
            <v>24 August 2024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45A9A7E-19AE-4166-B19D-6E8C5F15D047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5" name="Notes" tableColumnId="5"/>
      <queryTableField id="9" dataBound="0" tableColumnId="1"/>
      <queryTableField id="2" name="FY 2024" tableColumnId="2"/>
      <queryTableField id="3" name="FY 2023" tableColumnId="3"/>
      <queryTableField id="8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630BE7E-109A-4331-8345-108FC8FA06AC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6" dataBound="0" tableColumnId="5"/>
      <queryTableField id="2" name="FY 2024" tableColumnId="2"/>
      <queryTableField id="3" name="FY 23" tableColumnId="3"/>
      <queryTableField id="4" name="FY 22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2C3AB434-E089-46AE-9FEB-F738193C1C4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FY 2024" tableColumnId="2"/>
      <queryTableField id="3" name="FY 2023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AFE53D0-7994-43F8-8A0B-02CEA55854CF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5" name="Notes" tableColumnId="5"/>
      <queryTableField id="9" dataBound="0" tableColumnId="1"/>
      <queryTableField id="2" name="FY 2024" tableColumnId="2"/>
      <queryTableField id="3" name="FY 2023" tableColumnId="3"/>
      <queryTableField id="8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8D4E3C4-4796-4A61-9669-8DB1DEE165D5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6" dataBound="0" tableColumnId="5"/>
      <queryTableField id="2" name="FY 2024" tableColumnId="2"/>
      <queryTableField id="3" name="FY 23" tableColumnId="3"/>
      <queryTableField id="4" name="FY 22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F71530-2354-4CDF-9229-C1168F3BEE7E}" name="Income_Statement2324" displayName="Income_Statement2324" ref="B5:F25" tableType="queryTable" totalsRowShown="0" headerRowBorderDxfId="24">
  <autoFilter ref="B5:F25" xr:uid="{16F71530-2354-4CDF-9229-C1168F3BEE7E}"/>
  <tableColumns count="5">
    <tableColumn id="5" xr3:uid="{9FE50289-43C1-446A-B177-BA7074CAD63D}" uniqueName="5" name="Notes" queryTableFieldId="5" dataDxfId="23"/>
    <tableColumn id="1" xr3:uid="{F263A2EF-104B-4C36-80B5-4E670379B638}" uniqueName="1" name="FY25" queryTableFieldId="9" dataDxfId="22" dataCellStyle="Comma">
      <calculatedColumnFormula>VLOOKUP(Income_Statement2324[[#This Row],[Notes]],'P&amp;L 2025'!$A$4:$E$43,5,FALSE)</calculatedColumnFormula>
    </tableColumn>
    <tableColumn id="2" xr3:uid="{CA24BDE4-0515-4E60-966D-70F9665BBDE2}" uniqueName="2" name="FY 2024" queryTableFieldId="2" dataDxfId="21"/>
    <tableColumn id="3" xr3:uid="{A97788C9-43D3-4913-8C29-1D785B5731DA}" uniqueName="3" name="FY 2023" queryTableFieldId="3" dataDxfId="20"/>
    <tableColumn id="6" xr3:uid="{BC27E222-FD57-4045-9198-91A94B7DC487}" uniqueName="6" name="FY 2022" queryTableFieldId="8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B4B6EA-5683-4861-9A10-A7FC39D2B73F}" name="Balance_Sheet2324" displayName="Balance_Sheet2324" ref="B5:F67" tableType="queryTable" totalsRowShown="0">
  <autoFilter ref="B5:F67" xr:uid="{37B4B6EA-5683-4861-9A10-A7FC39D2B73F}"/>
  <tableColumns count="5">
    <tableColumn id="1" xr3:uid="{26F47805-F45E-4B89-9B28-23563E1783A3}" uniqueName="1" name="Notes" queryTableFieldId="1" dataDxfId="18"/>
    <tableColumn id="5" xr3:uid="{D1F8A8DF-98B9-4DDA-9620-54C6E5E48454}" uniqueName="5" name="FY 25" queryTableFieldId="6" dataDxfId="17" dataCellStyle="Comma">
      <calculatedColumnFormula>INDEX('BS 25'!$B$3:$B$58,MATCH(Balance_Sheet2324[[#This Row],[Notes]],'BS 25'!$A$3:$A$58,0))</calculatedColumnFormula>
    </tableColumn>
    <tableColumn id="2" xr3:uid="{0B685562-5FC5-48A5-8A72-3D89ECEC2BE3}" uniqueName="2" name="FY 24" queryTableFieldId="2" dataDxfId="16"/>
    <tableColumn id="3" xr3:uid="{D028405D-F298-4FEE-930D-5984F1687700}" uniqueName="3" name="FY 23" queryTableFieldId="3" dataDxfId="15"/>
    <tableColumn id="4" xr3:uid="{4C8C9125-E207-4BA6-8C91-DA1DD3D3DA57}" uniqueName="4" name="FY 22" queryTableFieldId="4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9CC8AB-15EE-470C-B025-BD638FBBDBD7}" name="_CF2324" displayName="_CF2324" ref="B5:E70" tableType="queryTable" totalsRowShown="0">
  <autoFilter ref="B5:E70" xr:uid="{BE9CC8AB-15EE-470C-B025-BD638FBBDBD7}"/>
  <tableColumns count="4">
    <tableColumn id="1" xr3:uid="{616AA730-4B1D-408E-8809-F8EE6D9365CB}" uniqueName="1" name="Notes" queryTableFieldId="1" dataDxfId="13"/>
    <tableColumn id="2" xr3:uid="{B9485F6E-C54A-42D7-A5D4-B7860C6FA164}" uniqueName="2" name="FY 2024" queryTableFieldId="2" dataDxfId="12"/>
    <tableColumn id="3" xr3:uid="{8DFB883D-6F3A-4264-9FDD-ED59992C033D}" uniqueName="3" name="FY 2023" queryTableFieldId="3" dataDxfId="11"/>
    <tableColumn id="4" xr3:uid="{3BEAD4FF-4E09-4EF5-BE6E-3EE480B8F933}" uniqueName="4" name="FY 20232" queryTableFieldId="4" dataDxfId="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995841-42F6-498D-AE42-F08E69D1782E}" name="Income_Statement232410" displayName="Income_Statement232410" ref="B5:F25" tableType="queryTable" totalsRowShown="0" headerRowBorderDxfId="9">
  <autoFilter ref="B5:F25" xr:uid="{16F71530-2354-4CDF-9229-C1168F3BEE7E}"/>
  <tableColumns count="5">
    <tableColumn id="5" xr3:uid="{EDCC9134-D5DE-45B5-8F38-45F8FF418D8F}" uniqueName="5" name="Notes" queryTableFieldId="5" dataDxfId="8"/>
    <tableColumn id="1" xr3:uid="{F0600C6E-5583-430A-89C9-A92EEEA3AF61}" uniqueName="1" name="FY 2025" queryTableFieldId="9"/>
    <tableColumn id="2" xr3:uid="{D056E848-9D6D-4375-8C14-662FA93E46D4}" uniqueName="2" name="FY 2024" queryTableFieldId="2" dataDxfId="7"/>
    <tableColumn id="3" xr3:uid="{C1E4178B-0204-48A1-A39B-0DBDE74D7DD7}" uniqueName="3" name="FY 2023" queryTableFieldId="3" dataDxfId="6"/>
    <tableColumn id="6" xr3:uid="{20EF0D09-27E1-4D2C-85A5-161FE6DFE164}" uniqueName="6" name="FY 2022" queryTableFieldId="8" dataDxfId="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B0D7D2-A12C-4C73-8411-E5D87985B12B}" name="Balance_Sheet23245" displayName="Balance_Sheet23245" ref="B5:F67" tableType="queryTable" totalsRowShown="0">
  <autoFilter ref="B5:F67" xr:uid="{37B4B6EA-5683-4861-9A10-A7FC39D2B73F}"/>
  <tableColumns count="5">
    <tableColumn id="1" xr3:uid="{3DF513D5-E1F8-492C-8D4D-D28ED1ADBB2B}" uniqueName="1" name="Notes" queryTableFieldId="1" dataDxfId="4"/>
    <tableColumn id="5" xr3:uid="{6A2C5BAF-38C0-4BEF-8118-625CA0F22CF3}" uniqueName="5" name="FY 2025" queryTableFieldId="6" dataDxfId="3"/>
    <tableColumn id="2" xr3:uid="{61504AF9-4688-47EE-BC0B-FA6713A4E8F7}" uniqueName="2" name="FY 2024" queryTableFieldId="2" dataDxfId="2"/>
    <tableColumn id="3" xr3:uid="{E4ABA4FB-1A1A-4B22-BD43-59F7A5D717BF}" uniqueName="3" name="FY 23" queryTableFieldId="3" dataDxfId="1"/>
    <tableColumn id="4" xr3:uid="{86240EB0-CFD6-450A-90B6-05D6D882A93A}" uniqueName="4" name="FY 22" queryTableFieldId="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4C66-7D38-471E-9AFD-9BCD7C884ED6}">
  <dimension ref="B1:F32"/>
  <sheetViews>
    <sheetView showGridLines="0" workbookViewId="0">
      <selection activeCell="C11" sqref="C11"/>
    </sheetView>
  </sheetViews>
  <sheetFormatPr defaultRowHeight="15" x14ac:dyDescent="0.25"/>
  <cols>
    <col min="1" max="1" width="4.42578125" customWidth="1"/>
    <col min="2" max="2" width="59.140625" bestFit="1" customWidth="1"/>
    <col min="3" max="3" width="12.7109375" customWidth="1"/>
    <col min="4" max="4" width="12.85546875" customWidth="1"/>
    <col min="5" max="5" width="12.140625" customWidth="1"/>
    <col min="6" max="7" width="9.42578125" customWidth="1"/>
    <col min="8" max="8" width="39" customWidth="1"/>
  </cols>
  <sheetData>
    <row r="1" spans="2:6" x14ac:dyDescent="0.25">
      <c r="B1" s="114" t="s">
        <v>475</v>
      </c>
      <c r="C1" s="114"/>
      <c r="D1" s="114"/>
      <c r="E1" s="114"/>
      <c r="F1" s="114"/>
    </row>
    <row r="2" spans="2:6" ht="15" customHeight="1" x14ac:dyDescent="0.25">
      <c r="B2" s="114"/>
      <c r="C2" s="114"/>
      <c r="D2" s="114"/>
      <c r="E2" s="114"/>
      <c r="F2" s="114"/>
    </row>
    <row r="3" spans="2:6" ht="18.75" x14ac:dyDescent="0.3">
      <c r="B3" s="115" t="s">
        <v>476</v>
      </c>
      <c r="C3" s="115"/>
      <c r="D3" s="115"/>
      <c r="E3" s="115"/>
      <c r="F3" s="115"/>
    </row>
    <row r="5" spans="2:6" ht="15.75" thickBot="1" x14ac:dyDescent="0.3">
      <c r="B5" s="14" t="s">
        <v>2</v>
      </c>
      <c r="C5" s="22" t="s">
        <v>496</v>
      </c>
      <c r="D5" s="22" t="s">
        <v>0</v>
      </c>
      <c r="E5" s="22" t="s">
        <v>1</v>
      </c>
      <c r="F5" s="22" t="s">
        <v>447</v>
      </c>
    </row>
    <row r="6" spans="2:6" ht="30" x14ac:dyDescent="0.25">
      <c r="B6" t="s">
        <v>4</v>
      </c>
      <c r="C6" s="97" t="s">
        <v>482</v>
      </c>
      <c r="D6" s="31" t="s">
        <v>482</v>
      </c>
      <c r="E6" s="31" t="s">
        <v>482</v>
      </c>
      <c r="F6" s="19"/>
    </row>
    <row r="7" spans="2:6" x14ac:dyDescent="0.25">
      <c r="B7" t="s">
        <v>3</v>
      </c>
      <c r="C7" s="98"/>
      <c r="D7" s="19" t="s">
        <v>4</v>
      </c>
      <c r="E7" s="19" t="s">
        <v>4</v>
      </c>
      <c r="F7" s="19"/>
    </row>
    <row r="8" spans="2:6" x14ac:dyDescent="0.25">
      <c r="B8" t="s">
        <v>5</v>
      </c>
      <c r="C8" s="98">
        <f>VLOOKUP(Income_Statement2324[[#This Row],[Notes]],'P&amp;L 2025'!$A$4:$E$43,5,FALSE)</f>
        <v>69191</v>
      </c>
      <c r="D8" s="19" t="s">
        <v>6</v>
      </c>
      <c r="E8" s="19" t="s">
        <v>7</v>
      </c>
      <c r="F8" s="3" t="s">
        <v>389</v>
      </c>
    </row>
    <row r="9" spans="2:6" x14ac:dyDescent="0.25">
      <c r="B9" t="s">
        <v>8</v>
      </c>
      <c r="C9" s="98">
        <f>VLOOKUP(Income_Statement2324[[#This Row],[Notes]],'P&amp;L 2025'!$A$4:$E$43,5,FALSE)</f>
        <v>725</v>
      </c>
      <c r="D9" s="19" t="s">
        <v>9</v>
      </c>
      <c r="E9" s="19" t="s">
        <v>10</v>
      </c>
      <c r="F9" s="19"/>
    </row>
    <row r="10" spans="2:6" ht="15.75" thickBot="1" x14ac:dyDescent="0.3">
      <c r="B10" s="2" t="s">
        <v>11</v>
      </c>
      <c r="C10" s="99">
        <f>VLOOKUP(Income_Statement2324[[#This Row],[Notes]],'P&amp;L 2025'!$A$4:$E$43,5,FALSE)</f>
        <v>69916</v>
      </c>
      <c r="D10" s="47" t="s">
        <v>12</v>
      </c>
      <c r="E10" s="47" t="s">
        <v>13</v>
      </c>
      <c r="F10" s="39" t="s">
        <v>389</v>
      </c>
    </row>
    <row r="11" spans="2:6" x14ac:dyDescent="0.25">
      <c r="B11" t="s">
        <v>14</v>
      </c>
      <c r="C11" s="98">
        <f>VLOOKUP(Income_Statement2324[[#This Row],[Notes]],'P&amp;L 2025'!$A$4:$E$43,5,FALSE)</f>
        <v>-64205</v>
      </c>
      <c r="D11" s="19" t="s">
        <v>15</v>
      </c>
      <c r="E11" s="19" t="s">
        <v>16</v>
      </c>
      <c r="F11" s="19" t="s">
        <v>390</v>
      </c>
    </row>
    <row r="12" spans="2:6" x14ac:dyDescent="0.25">
      <c r="B12" t="s">
        <v>17</v>
      </c>
      <c r="C12" s="98">
        <f>VLOOKUP(Income_Statement2324[[#This Row],[Notes]],'P&amp;L 2025'!$A$4:$E$43,5,FALSE)</f>
        <v>-598</v>
      </c>
      <c r="D12" s="19" t="s">
        <v>18</v>
      </c>
      <c r="E12" s="19" t="s">
        <v>19</v>
      </c>
      <c r="F12" s="19"/>
    </row>
    <row r="13" spans="2:6" x14ac:dyDescent="0.25">
      <c r="B13" t="s">
        <v>20</v>
      </c>
      <c r="C13" s="98">
        <f>VLOOKUP(Income_Statement2324[[#This Row],[Notes]],'P&amp;L 2025'!$A$4:$E$43,5,FALSE)</f>
        <v>-62</v>
      </c>
      <c r="D13" s="19" t="s">
        <v>21</v>
      </c>
      <c r="E13" s="19" t="s">
        <v>22</v>
      </c>
      <c r="F13" s="19"/>
    </row>
    <row r="14" spans="2:6" x14ac:dyDescent="0.25">
      <c r="B14" t="s">
        <v>391</v>
      </c>
      <c r="C14" s="98"/>
      <c r="D14" s="19"/>
      <c r="E14" s="19"/>
      <c r="F14" s="19" t="s">
        <v>392</v>
      </c>
    </row>
    <row r="15" spans="2:6" ht="15.75" thickBot="1" x14ac:dyDescent="0.3">
      <c r="B15" s="2" t="s">
        <v>23</v>
      </c>
      <c r="C15" s="99">
        <f>VLOOKUP(Income_Statement2324[[#This Row],[Notes]],'P&amp;L 2025'!$A$4:$E$43,5,FALSE)</f>
        <v>5051</v>
      </c>
      <c r="D15" s="47" t="s">
        <v>24</v>
      </c>
      <c r="E15" s="47" t="s">
        <v>25</v>
      </c>
      <c r="F15" s="47" t="s">
        <v>393</v>
      </c>
    </row>
    <row r="16" spans="2:6" x14ac:dyDescent="0.25">
      <c r="B16" t="s">
        <v>26</v>
      </c>
      <c r="C16" s="98">
        <f>VLOOKUP(Income_Statement2324[[#This Row],[Notes]],'P&amp;L 2025'!$A$4:$E$43,5,FALSE)</f>
        <v>-2340</v>
      </c>
      <c r="D16" s="19" t="s">
        <v>27</v>
      </c>
      <c r="E16" s="19" t="s">
        <v>28</v>
      </c>
      <c r="F16" s="19" t="s">
        <v>394</v>
      </c>
    </row>
    <row r="17" spans="2:6" ht="15.75" thickBot="1" x14ac:dyDescent="0.3">
      <c r="B17" s="2" t="s">
        <v>29</v>
      </c>
      <c r="C17" s="99">
        <f>VLOOKUP(Income_Statement2324[[#This Row],[Notes]],'P&amp;L 2025'!$A$4:$E$43,5,FALSE)</f>
        <v>2711</v>
      </c>
      <c r="D17" s="47" t="s">
        <v>30</v>
      </c>
      <c r="E17" s="47" t="s">
        <v>31</v>
      </c>
      <c r="F17" s="47" t="s">
        <v>395</v>
      </c>
    </row>
    <row r="18" spans="2:6" x14ac:dyDescent="0.25">
      <c r="B18" t="s">
        <v>32</v>
      </c>
      <c r="C18" s="98"/>
      <c r="D18" s="19" t="s">
        <v>33</v>
      </c>
      <c r="E18" s="19" t="s">
        <v>34</v>
      </c>
      <c r="F18" s="19" t="s">
        <v>150</v>
      </c>
    </row>
    <row r="19" spans="2:6" x14ac:dyDescent="0.25">
      <c r="B19" t="s">
        <v>35</v>
      </c>
      <c r="C19" s="98">
        <f>VLOOKUP(Income_Statement2324[[#This Row],[Notes]],'P&amp;L 2025'!$A$4:$E$43,5,FALSE)</f>
        <v>254</v>
      </c>
      <c r="D19" s="19" t="s">
        <v>36</v>
      </c>
      <c r="E19" s="19" t="s">
        <v>37</v>
      </c>
      <c r="F19" s="19" t="s">
        <v>155</v>
      </c>
    </row>
    <row r="20" spans="2:6" x14ac:dyDescent="0.25">
      <c r="B20" t="s">
        <v>38</v>
      </c>
      <c r="C20" s="98">
        <f>VLOOKUP(Income_Statement2324[[#This Row],[Notes]],'P&amp;L 2025'!$A$4:$E$43,5,FALSE)</f>
        <v>-746</v>
      </c>
      <c r="D20" s="19" t="s">
        <v>39</v>
      </c>
      <c r="E20" s="19" t="s">
        <v>40</v>
      </c>
      <c r="F20" s="19" t="s">
        <v>396</v>
      </c>
    </row>
    <row r="21" spans="2:6" ht="15.75" thickBot="1" x14ac:dyDescent="0.3">
      <c r="B21" s="2" t="s">
        <v>41</v>
      </c>
      <c r="C21" s="99">
        <f>VLOOKUP(Income_Statement2324[[#This Row],[Notes]],'P&amp;L 2025'!$A$4:$E$43,5,FALSE)</f>
        <v>2215</v>
      </c>
      <c r="D21" s="47" t="s">
        <v>42</v>
      </c>
      <c r="E21" s="47" t="s">
        <v>43</v>
      </c>
      <c r="F21" s="47" t="s">
        <v>397</v>
      </c>
    </row>
    <row r="22" spans="2:6" x14ac:dyDescent="0.25">
      <c r="B22" t="s">
        <v>44</v>
      </c>
      <c r="C22" s="98">
        <f>VLOOKUP(Income_Statement2324[[#This Row],[Notes]],'P&amp;L 2025'!$A$4:$E$43,5,FALSE)</f>
        <v>-611</v>
      </c>
      <c r="D22" s="19" t="s">
        <v>45</v>
      </c>
      <c r="E22" s="19" t="s">
        <v>46</v>
      </c>
      <c r="F22" s="19" t="s">
        <v>398</v>
      </c>
    </row>
    <row r="23" spans="2:6" x14ac:dyDescent="0.25">
      <c r="B23" t="s">
        <v>47</v>
      </c>
      <c r="C23" s="98">
        <f>VLOOKUP(Income_Statement2324[[#This Row],[Notes]],'P&amp;L 2025'!$A$4:$E$43,5,FALSE)</f>
        <v>1604</v>
      </c>
      <c r="D23" s="19" t="s">
        <v>48</v>
      </c>
      <c r="E23" s="19" t="s">
        <v>49</v>
      </c>
      <c r="F23" s="19" t="s">
        <v>399</v>
      </c>
    </row>
    <row r="24" spans="2:6" x14ac:dyDescent="0.25">
      <c r="B24" t="s">
        <v>50</v>
      </c>
      <c r="C24" s="98">
        <f>VLOOKUP(Income_Statement2324[[#This Row],[Notes]],'P&amp;L 2025'!$A$4:$E$43,5,FALSE)</f>
        <v>26</v>
      </c>
      <c r="D24" s="19" t="s">
        <v>51</v>
      </c>
      <c r="E24" s="19" t="s">
        <v>52</v>
      </c>
      <c r="F24" s="19" t="s">
        <v>400</v>
      </c>
    </row>
    <row r="25" spans="2:6" ht="15.75" thickBot="1" x14ac:dyDescent="0.3">
      <c r="B25" s="2" t="s">
        <v>53</v>
      </c>
      <c r="C25" s="99">
        <f>VLOOKUP(Income_Statement2324[[#This Row],[Notes]],'P&amp;L 2025'!$A$4:$E$43,5,FALSE)</f>
        <v>1630</v>
      </c>
      <c r="D25" s="39" t="s">
        <v>54</v>
      </c>
      <c r="E25" s="39" t="s">
        <v>55</v>
      </c>
      <c r="F25" s="39" t="s">
        <v>401</v>
      </c>
    </row>
    <row r="29" spans="2:6" x14ac:dyDescent="0.25">
      <c r="B29" s="1"/>
      <c r="C29" s="1"/>
      <c r="D29" s="3"/>
      <c r="E29" s="3"/>
    </row>
    <row r="30" spans="2:6" x14ac:dyDescent="0.25">
      <c r="D30" s="4"/>
      <c r="E30" s="4"/>
    </row>
    <row r="31" spans="2:6" x14ac:dyDescent="0.25">
      <c r="D31" s="4"/>
      <c r="E31" s="4"/>
    </row>
    <row r="32" spans="2:6" x14ac:dyDescent="0.25">
      <c r="D32" s="4"/>
      <c r="E32" s="4"/>
    </row>
  </sheetData>
  <mergeCells count="2">
    <mergeCell ref="B1:F2"/>
    <mergeCell ref="B3:F3"/>
  </mergeCells>
  <phoneticPr fontId="4" type="noConversion"/>
  <pageMargins left="0.7" right="0.7" top="0.75" bottom="0.75" header="0.3" footer="0.3"/>
  <ignoredErrors>
    <ignoredError sqref="C6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C0A3-3EE5-48F0-BDD7-9B14496C7812}">
  <dimension ref="A1:I45"/>
  <sheetViews>
    <sheetView workbookViewId="0">
      <selection activeCell="E7" sqref="E7"/>
    </sheetView>
  </sheetViews>
  <sheetFormatPr defaultRowHeight="15" x14ac:dyDescent="0.25"/>
  <cols>
    <col min="1" max="1" width="36.42578125" customWidth="1"/>
    <col min="2" max="2" width="15.28515625" style="95" customWidth="1"/>
    <col min="3" max="3" width="8.28515625" style="96" customWidth="1"/>
    <col min="4" max="4" width="11.140625" style="96" customWidth="1"/>
    <col min="5" max="5" width="9.28515625" style="96" customWidth="1"/>
    <col min="6" max="6" width="0.85546875" style="96" customWidth="1"/>
    <col min="7" max="7" width="9.28515625" style="96" customWidth="1"/>
    <col min="8" max="8" width="11.28515625" style="96" customWidth="1"/>
    <col min="9" max="9" width="9.28515625" style="96" customWidth="1"/>
  </cols>
  <sheetData>
    <row r="1" spans="1:9" ht="18.75" x14ac:dyDescent="0.3">
      <c r="A1" s="48" t="s">
        <v>483</v>
      </c>
      <c r="B1" s="49"/>
      <c r="C1" s="49"/>
      <c r="D1" s="49"/>
      <c r="E1" s="49"/>
      <c r="F1" s="49"/>
      <c r="G1" s="49"/>
      <c r="H1" s="49"/>
      <c r="I1" s="49"/>
    </row>
    <row r="2" spans="1:9" ht="12" customHeight="1" x14ac:dyDescent="0.25">
      <c r="A2" s="50"/>
      <c r="B2" s="50"/>
      <c r="C2" s="116">
        <v>2025</v>
      </c>
      <c r="D2" s="116"/>
      <c r="E2" s="116"/>
      <c r="F2" s="51"/>
      <c r="G2" s="117"/>
      <c r="H2" s="117"/>
      <c r="I2" s="117"/>
    </row>
    <row r="3" spans="1:9" ht="15.75" thickBot="1" x14ac:dyDescent="0.3">
      <c r="A3" s="50"/>
      <c r="B3" s="50"/>
      <c r="C3" s="118" t="str">
        <f>IF([1]POV!$B$1="HY",[1]POV!$B$8,[1]POV!$B$5)</f>
        <v>22 February 2025</v>
      </c>
      <c r="D3" s="118"/>
      <c r="E3" s="118"/>
      <c r="F3" s="51"/>
      <c r="G3" s="119"/>
      <c r="H3" s="119"/>
      <c r="I3" s="119"/>
    </row>
    <row r="4" spans="1:9" ht="36" x14ac:dyDescent="0.25">
      <c r="A4" s="51"/>
      <c r="B4" s="49"/>
      <c r="C4" s="52" t="s">
        <v>484</v>
      </c>
      <c r="D4" s="53" t="s">
        <v>485</v>
      </c>
      <c r="E4" s="53" t="s">
        <v>486</v>
      </c>
      <c r="F4" s="51"/>
      <c r="G4" s="54"/>
      <c r="H4" s="55"/>
      <c r="I4" s="56"/>
    </row>
    <row r="5" spans="1:9" ht="15.75" thickBot="1" x14ac:dyDescent="0.3">
      <c r="A5" s="57"/>
      <c r="B5" s="57" t="s">
        <v>2</v>
      </c>
      <c r="C5" s="58" t="s">
        <v>62</v>
      </c>
      <c r="D5" s="58" t="s">
        <v>62</v>
      </c>
      <c r="E5" s="58" t="s">
        <v>62</v>
      </c>
      <c r="F5" s="59"/>
      <c r="G5" s="59"/>
      <c r="H5" s="59"/>
      <c r="I5" s="59"/>
    </row>
    <row r="6" spans="1:9" ht="13.5" customHeight="1" x14ac:dyDescent="0.25">
      <c r="A6" s="60" t="s">
        <v>3</v>
      </c>
      <c r="B6" s="61"/>
      <c r="C6" s="62"/>
      <c r="D6" s="62"/>
      <c r="E6" s="62"/>
      <c r="F6" s="63"/>
      <c r="G6" s="63"/>
      <c r="H6" s="63"/>
      <c r="I6" s="63"/>
    </row>
    <row r="7" spans="1:9" x14ac:dyDescent="0.25">
      <c r="A7" s="64" t="s">
        <v>5</v>
      </c>
      <c r="B7" s="61"/>
      <c r="C7" s="65">
        <v>69191</v>
      </c>
      <c r="D7" s="65">
        <v>0</v>
      </c>
      <c r="E7" s="65">
        <f>SUM(C7:D7)</f>
        <v>69191</v>
      </c>
      <c r="F7" s="66"/>
      <c r="G7" s="67"/>
      <c r="H7" s="67"/>
      <c r="I7" s="67"/>
    </row>
    <row r="8" spans="1:9" ht="15.75" thickBot="1" x14ac:dyDescent="0.3">
      <c r="A8" s="68" t="s">
        <v>8</v>
      </c>
      <c r="B8" s="69">
        <v>24</v>
      </c>
      <c r="C8" s="70">
        <v>725</v>
      </c>
      <c r="D8" s="70">
        <v>0</v>
      </c>
      <c r="E8" s="70">
        <f>SUM(C8:D8)</f>
        <v>725</v>
      </c>
      <c r="F8" s="71"/>
      <c r="G8" s="71"/>
      <c r="H8" s="71"/>
      <c r="I8" s="71"/>
    </row>
    <row r="9" spans="1:9" ht="13.5" customHeight="1" x14ac:dyDescent="0.25">
      <c r="A9" s="72" t="s">
        <v>11</v>
      </c>
      <c r="B9" s="63" t="s">
        <v>487</v>
      </c>
      <c r="C9" s="73">
        <f t="shared" ref="C9:E9" si="0">SUM(C7:C8)</f>
        <v>69916</v>
      </c>
      <c r="D9" s="73">
        <f t="shared" si="0"/>
        <v>0</v>
      </c>
      <c r="E9" s="73">
        <f t="shared" si="0"/>
        <v>69916</v>
      </c>
      <c r="F9" s="66"/>
      <c r="G9" s="74"/>
      <c r="H9" s="74"/>
      <c r="I9" s="74"/>
    </row>
    <row r="10" spans="1:9" ht="10.5" customHeight="1" x14ac:dyDescent="0.25">
      <c r="A10" s="72"/>
      <c r="B10" s="63"/>
      <c r="C10" s="73"/>
      <c r="D10" s="73"/>
      <c r="E10" s="73"/>
      <c r="F10" s="66"/>
      <c r="G10" s="74"/>
      <c r="H10" s="74"/>
      <c r="I10" s="74"/>
    </row>
    <row r="11" spans="1:9" x14ac:dyDescent="0.25">
      <c r="A11" s="75" t="s">
        <v>14</v>
      </c>
      <c r="B11" s="63"/>
      <c r="C11" s="65">
        <v>-63886</v>
      </c>
      <c r="D11" s="65">
        <v>-319</v>
      </c>
      <c r="E11" s="65">
        <f>SUM(C11:D11)</f>
        <v>-64205</v>
      </c>
      <c r="F11" s="66"/>
      <c r="G11" s="67"/>
      <c r="H11" s="67"/>
      <c r="I11" s="67"/>
    </row>
    <row r="12" spans="1:9" x14ac:dyDescent="0.25">
      <c r="A12" s="64" t="s">
        <v>17</v>
      </c>
      <c r="B12" s="63">
        <v>24</v>
      </c>
      <c r="C12" s="65">
        <v>-598</v>
      </c>
      <c r="D12" s="65">
        <v>0</v>
      </c>
      <c r="E12" s="65">
        <f>SUM(C12:D12)</f>
        <v>-598</v>
      </c>
      <c r="F12" s="66"/>
      <c r="G12" s="67"/>
      <c r="H12" s="67"/>
      <c r="I12" s="67"/>
    </row>
    <row r="13" spans="1:9" ht="15.75" thickBot="1" x14ac:dyDescent="0.3">
      <c r="A13" s="76" t="s">
        <v>20</v>
      </c>
      <c r="B13" s="69">
        <v>24</v>
      </c>
      <c r="C13" s="70">
        <v>-62</v>
      </c>
      <c r="D13" s="70">
        <v>0</v>
      </c>
      <c r="E13" s="70">
        <f>SUM(C13:D13)</f>
        <v>-62</v>
      </c>
      <c r="F13" s="71"/>
      <c r="G13" s="71"/>
      <c r="H13" s="71"/>
      <c r="I13" s="71"/>
    </row>
    <row r="14" spans="1:9" x14ac:dyDescent="0.25">
      <c r="A14" s="72" t="s">
        <v>23</v>
      </c>
      <c r="B14" s="63"/>
      <c r="C14" s="73">
        <f t="shared" ref="C14:E14" si="1">SUM(C9:C13)</f>
        <v>5370</v>
      </c>
      <c r="D14" s="73">
        <f t="shared" si="1"/>
        <v>-319</v>
      </c>
      <c r="E14" s="73">
        <f t="shared" si="1"/>
        <v>5051</v>
      </c>
      <c r="F14" s="66"/>
      <c r="G14" s="74"/>
      <c r="H14" s="74"/>
      <c r="I14" s="74"/>
    </row>
    <row r="15" spans="1:9" ht="6" customHeight="1" x14ac:dyDescent="0.25">
      <c r="A15" s="72"/>
      <c r="B15" s="63"/>
      <c r="C15" s="73"/>
      <c r="D15" s="73"/>
      <c r="E15" s="73"/>
      <c r="F15" s="66"/>
      <c r="G15" s="74"/>
      <c r="H15" s="74"/>
      <c r="I15" s="74"/>
    </row>
    <row r="16" spans="1:9" ht="15.75" thickBot="1" x14ac:dyDescent="0.3">
      <c r="A16" s="57" t="s">
        <v>26</v>
      </c>
      <c r="B16" s="69"/>
      <c r="C16" s="70">
        <v>-2242</v>
      </c>
      <c r="D16" s="70">
        <v>-98</v>
      </c>
      <c r="E16" s="70">
        <f>SUM(C16:D16)</f>
        <v>-2340</v>
      </c>
      <c r="F16" s="77"/>
      <c r="G16" s="78"/>
      <c r="H16" s="78"/>
      <c r="I16" s="78"/>
    </row>
    <row r="17" spans="1:9" ht="13.5" customHeight="1" x14ac:dyDescent="0.25">
      <c r="A17" s="60" t="s">
        <v>29</v>
      </c>
      <c r="B17" s="63">
        <v>2</v>
      </c>
      <c r="C17" s="73">
        <f t="shared" ref="C17:E17" si="2">SUM(C14:C16)</f>
        <v>3128</v>
      </c>
      <c r="D17" s="73">
        <f t="shared" si="2"/>
        <v>-417</v>
      </c>
      <c r="E17" s="73">
        <f t="shared" si="2"/>
        <v>2711</v>
      </c>
      <c r="F17" s="66"/>
      <c r="G17" s="74"/>
      <c r="H17" s="74"/>
      <c r="I17" s="74"/>
    </row>
    <row r="18" spans="1:9" ht="6" customHeight="1" x14ac:dyDescent="0.25">
      <c r="A18" s="60"/>
      <c r="B18" s="63"/>
      <c r="C18" s="73"/>
      <c r="D18" s="73"/>
      <c r="E18" s="73"/>
      <c r="F18" s="66"/>
      <c r="G18" s="74"/>
      <c r="H18" s="74"/>
      <c r="I18" s="74"/>
    </row>
    <row r="19" spans="1:9" ht="13.5" customHeight="1" x14ac:dyDescent="0.25">
      <c r="A19" s="51" t="s">
        <v>488</v>
      </c>
      <c r="B19" s="61">
        <v>14</v>
      </c>
      <c r="C19" s="65">
        <v>-4</v>
      </c>
      <c r="D19" s="65">
        <v>0</v>
      </c>
      <c r="E19" s="65">
        <f>SUM(C19:D19)</f>
        <v>-4</v>
      </c>
      <c r="F19" s="66"/>
      <c r="G19" s="67"/>
      <c r="H19" s="67"/>
      <c r="I19" s="67"/>
    </row>
    <row r="20" spans="1:9" ht="13.5" customHeight="1" x14ac:dyDescent="0.25">
      <c r="A20" s="51" t="s">
        <v>35</v>
      </c>
      <c r="B20" s="61">
        <v>6</v>
      </c>
      <c r="C20" s="65">
        <v>254</v>
      </c>
      <c r="D20" s="65">
        <v>0</v>
      </c>
      <c r="E20" s="65">
        <f>SUM(C20:D20)</f>
        <v>254</v>
      </c>
      <c r="F20" s="66"/>
      <c r="G20" s="67"/>
      <c r="H20" s="67"/>
      <c r="I20" s="67"/>
    </row>
    <row r="21" spans="1:9" ht="15.75" thickBot="1" x14ac:dyDescent="0.3">
      <c r="A21" s="57" t="s">
        <v>38</v>
      </c>
      <c r="B21" s="59">
        <v>6</v>
      </c>
      <c r="C21" s="70">
        <v>-790</v>
      </c>
      <c r="D21" s="70">
        <v>44</v>
      </c>
      <c r="E21" s="70">
        <f>SUM(C21:D21)</f>
        <v>-746</v>
      </c>
      <c r="F21" s="77"/>
      <c r="G21" s="78"/>
      <c r="H21" s="78"/>
      <c r="I21" s="78"/>
    </row>
    <row r="22" spans="1:9" ht="13.5" customHeight="1" x14ac:dyDescent="0.25">
      <c r="A22" s="60" t="s">
        <v>41</v>
      </c>
      <c r="B22" s="63"/>
      <c r="C22" s="73">
        <f t="shared" ref="C22:E22" si="3">SUM(C17:C21)</f>
        <v>2588</v>
      </c>
      <c r="D22" s="73">
        <f t="shared" si="3"/>
        <v>-373</v>
      </c>
      <c r="E22" s="73">
        <f t="shared" si="3"/>
        <v>2215</v>
      </c>
      <c r="F22" s="66"/>
      <c r="G22" s="74"/>
      <c r="H22" s="74"/>
      <c r="I22" s="74"/>
    </row>
    <row r="23" spans="1:9" ht="4.5" customHeight="1" x14ac:dyDescent="0.25">
      <c r="A23" s="60"/>
      <c r="B23" s="63"/>
      <c r="C23" s="73"/>
      <c r="D23" s="73"/>
      <c r="E23" s="73"/>
      <c r="F23" s="66"/>
      <c r="G23" s="74"/>
      <c r="H23" s="74"/>
      <c r="I23" s="74"/>
    </row>
    <row r="24" spans="1:9" ht="15.75" thickBot="1" x14ac:dyDescent="0.3">
      <c r="A24" s="57" t="s">
        <v>44</v>
      </c>
      <c r="B24" s="59">
        <v>7</v>
      </c>
      <c r="C24" s="70">
        <v>-690</v>
      </c>
      <c r="D24" s="70">
        <v>79</v>
      </c>
      <c r="E24" s="70">
        <f>SUM(C24:D24)</f>
        <v>-611</v>
      </c>
      <c r="F24" s="77"/>
      <c r="G24" s="78"/>
      <c r="H24" s="78"/>
      <c r="I24" s="78"/>
    </row>
    <row r="25" spans="1:9" ht="13.5" customHeight="1" x14ac:dyDescent="0.25">
      <c r="A25" s="60" t="s">
        <v>47</v>
      </c>
      <c r="B25" s="63"/>
      <c r="C25" s="73">
        <f>SUM(C22:C24)</f>
        <v>1898</v>
      </c>
      <c r="D25" s="73">
        <f>SUM(D22:D24)</f>
        <v>-294</v>
      </c>
      <c r="E25" s="73">
        <f t="shared" ref="E25" si="4">SUM(E22:E24)</f>
        <v>1604</v>
      </c>
      <c r="F25" s="66"/>
      <c r="G25" s="74"/>
      <c r="H25" s="74"/>
      <c r="I25" s="74"/>
    </row>
    <row r="26" spans="1:9" ht="3.6" customHeight="1" x14ac:dyDescent="0.25">
      <c r="A26" s="60"/>
      <c r="B26" s="63"/>
      <c r="C26" s="73"/>
      <c r="D26" s="73"/>
      <c r="E26" s="73"/>
      <c r="F26" s="66"/>
      <c r="G26" s="74"/>
      <c r="H26" s="74"/>
      <c r="I26" s="74"/>
    </row>
    <row r="27" spans="1:9" ht="13.5" customHeight="1" x14ac:dyDescent="0.25">
      <c r="A27" s="60" t="s">
        <v>489</v>
      </c>
      <c r="B27" s="63"/>
      <c r="C27" s="79"/>
      <c r="D27" s="79"/>
      <c r="E27" s="79"/>
      <c r="F27" s="66"/>
      <c r="G27" s="66"/>
      <c r="H27" s="66"/>
      <c r="I27" s="66"/>
    </row>
    <row r="28" spans="1:9" ht="13.5" customHeight="1" x14ac:dyDescent="0.25">
      <c r="A28" s="51" t="s">
        <v>50</v>
      </c>
      <c r="B28" s="61">
        <v>8</v>
      </c>
      <c r="C28" s="65">
        <v>91</v>
      </c>
      <c r="D28" s="65">
        <v>-65</v>
      </c>
      <c r="E28" s="65">
        <f>SUM(C28:D28)</f>
        <v>26</v>
      </c>
      <c r="F28" s="66"/>
      <c r="G28" s="67"/>
      <c r="H28" s="67"/>
      <c r="I28" s="67"/>
    </row>
    <row r="29" spans="1:9" ht="15.75" thickBot="1" x14ac:dyDescent="0.3">
      <c r="A29" s="80" t="s">
        <v>53</v>
      </c>
      <c r="B29" s="81"/>
      <c r="C29" s="82">
        <f t="shared" ref="C29:E29" si="5">SUM(C25:C28)</f>
        <v>1989</v>
      </c>
      <c r="D29" s="82">
        <f t="shared" si="5"/>
        <v>-359</v>
      </c>
      <c r="E29" s="82">
        <f t="shared" si="5"/>
        <v>1630</v>
      </c>
      <c r="F29" s="83"/>
      <c r="G29" s="84"/>
      <c r="H29" s="84"/>
      <c r="I29" s="84"/>
    </row>
    <row r="30" spans="1:9" ht="6.95" customHeight="1" x14ac:dyDescent="0.25">
      <c r="A30" s="60"/>
      <c r="B30" s="63"/>
      <c r="C30" s="73"/>
      <c r="D30" s="73"/>
      <c r="E30" s="73"/>
      <c r="F30" s="85"/>
      <c r="G30" s="74"/>
      <c r="H30" s="74"/>
      <c r="I30" s="74"/>
    </row>
    <row r="31" spans="1:9" ht="13.5" customHeight="1" x14ac:dyDescent="0.25">
      <c r="A31" s="60" t="s">
        <v>56</v>
      </c>
      <c r="B31" s="61"/>
      <c r="C31" s="86"/>
      <c r="D31" s="65"/>
      <c r="E31" s="65"/>
      <c r="F31" s="67"/>
      <c r="G31" s="67"/>
      <c r="H31" s="67"/>
      <c r="I31" s="67"/>
    </row>
    <row r="32" spans="1:9" ht="13.5" customHeight="1" x14ac:dyDescent="0.25">
      <c r="A32" s="51" t="s">
        <v>57</v>
      </c>
      <c r="B32" s="63"/>
      <c r="C32" s="65">
        <v>1985</v>
      </c>
      <c r="D32" s="65">
        <v>-359</v>
      </c>
      <c r="E32" s="65">
        <f>SUM(C32:D32)</f>
        <v>1626</v>
      </c>
      <c r="F32" s="66"/>
      <c r="G32" s="67"/>
      <c r="H32" s="67"/>
      <c r="I32" s="67"/>
    </row>
    <row r="33" spans="1:9" ht="15.75" thickBot="1" x14ac:dyDescent="0.3">
      <c r="A33" s="57" t="s">
        <v>58</v>
      </c>
      <c r="B33" s="69"/>
      <c r="C33" s="70">
        <v>4</v>
      </c>
      <c r="D33" s="70">
        <v>0</v>
      </c>
      <c r="E33" s="70">
        <f>SUM(C33:D33)</f>
        <v>4</v>
      </c>
      <c r="F33" s="77"/>
      <c r="G33" s="78"/>
      <c r="H33" s="78"/>
      <c r="I33" s="78"/>
    </row>
    <row r="34" spans="1:9" ht="15.75" thickBot="1" x14ac:dyDescent="0.3">
      <c r="A34" s="57"/>
      <c r="B34" s="69"/>
      <c r="C34" s="87">
        <f>SUM(C32:C33)</f>
        <v>1989</v>
      </c>
      <c r="D34" s="87">
        <f t="shared" ref="D34" si="6">SUM(D32:D33)</f>
        <v>-359</v>
      </c>
      <c r="E34" s="87">
        <f>SUM(E32:E33)</f>
        <v>1630</v>
      </c>
      <c r="F34" s="77"/>
      <c r="G34" s="88"/>
      <c r="H34" s="88"/>
      <c r="I34" s="88"/>
    </row>
    <row r="35" spans="1:9" ht="17.45" customHeight="1" x14ac:dyDescent="0.25">
      <c r="A35" s="51"/>
      <c r="B35" s="63"/>
      <c r="C35" s="73"/>
      <c r="D35" s="73"/>
      <c r="E35" s="73"/>
      <c r="F35" s="66"/>
      <c r="G35" s="74"/>
      <c r="H35" s="74"/>
      <c r="I35" s="74"/>
    </row>
    <row r="36" spans="1:9" x14ac:dyDescent="0.25">
      <c r="A36" s="60" t="s">
        <v>490</v>
      </c>
      <c r="B36" s="61"/>
      <c r="C36" s="89"/>
      <c r="D36" s="89"/>
      <c r="E36" s="89"/>
      <c r="F36" s="61"/>
      <c r="G36" s="61"/>
      <c r="H36" s="61"/>
      <c r="I36" s="61"/>
    </row>
    <row r="37" spans="1:9" ht="13.5" customHeight="1" x14ac:dyDescent="0.25">
      <c r="A37" s="51" t="s">
        <v>60</v>
      </c>
      <c r="B37" s="61">
        <v>10</v>
      </c>
      <c r="C37" s="89"/>
      <c r="D37" s="89"/>
      <c r="E37" s="89" t="s">
        <v>491</v>
      </c>
      <c r="F37" s="61"/>
      <c r="G37" s="61"/>
      <c r="H37" s="61"/>
      <c r="I37" s="61"/>
    </row>
    <row r="38" spans="1:9" ht="13.5" customHeight="1" x14ac:dyDescent="0.25">
      <c r="A38" s="51" t="s">
        <v>61</v>
      </c>
      <c r="B38" s="61">
        <v>10</v>
      </c>
      <c r="C38" s="89"/>
      <c r="D38" s="89"/>
      <c r="E38" s="89" t="s">
        <v>492</v>
      </c>
      <c r="F38" s="63"/>
      <c r="G38" s="61"/>
      <c r="H38" s="61"/>
      <c r="I38" s="61"/>
    </row>
    <row r="39" spans="1:9" ht="15.75" thickBot="1" x14ac:dyDescent="0.3">
      <c r="A39" s="57"/>
      <c r="B39" s="59"/>
      <c r="C39" s="90"/>
      <c r="D39" s="90"/>
      <c r="E39" s="90"/>
      <c r="F39" s="69"/>
      <c r="G39" s="59"/>
      <c r="H39" s="59"/>
      <c r="I39" s="59"/>
    </row>
    <row r="40" spans="1:9" ht="13.5" customHeight="1" x14ac:dyDescent="0.25">
      <c r="A40" s="60" t="s">
        <v>493</v>
      </c>
      <c r="B40" s="61"/>
      <c r="C40" s="89"/>
      <c r="D40" s="89"/>
      <c r="E40" s="89"/>
      <c r="F40" s="61"/>
      <c r="G40" s="61"/>
      <c r="H40" s="61"/>
      <c r="I40" s="61"/>
    </row>
    <row r="41" spans="1:9" ht="13.5" customHeight="1" x14ac:dyDescent="0.25">
      <c r="A41" s="51" t="s">
        <v>60</v>
      </c>
      <c r="B41" s="61">
        <v>10</v>
      </c>
      <c r="C41" s="89"/>
      <c r="D41" s="89"/>
      <c r="E41" s="89" t="s">
        <v>494</v>
      </c>
      <c r="F41" s="61"/>
      <c r="G41" s="61"/>
      <c r="H41" s="61"/>
      <c r="I41" s="61"/>
    </row>
    <row r="42" spans="1:9" ht="13.5" customHeight="1" x14ac:dyDescent="0.25">
      <c r="A42" s="51" t="s">
        <v>61</v>
      </c>
      <c r="B42" s="61">
        <v>10</v>
      </c>
      <c r="C42" s="89"/>
      <c r="D42" s="89"/>
      <c r="E42" s="89" t="s">
        <v>495</v>
      </c>
      <c r="F42" s="63"/>
      <c r="G42" s="61"/>
      <c r="H42" s="61"/>
      <c r="I42" s="61"/>
    </row>
    <row r="43" spans="1:9" ht="15.75" thickBot="1" x14ac:dyDescent="0.3">
      <c r="A43" s="91"/>
      <c r="B43" s="92"/>
      <c r="C43" s="90"/>
      <c r="D43" s="90"/>
      <c r="E43" s="90"/>
      <c r="F43" s="93"/>
      <c r="G43" s="59"/>
      <c r="H43" s="59"/>
      <c r="I43" s="59"/>
    </row>
    <row r="44" spans="1:9" ht="12.75" customHeight="1" x14ac:dyDescent="0.25">
      <c r="A44" s="94"/>
      <c r="B44" s="49"/>
      <c r="C44" s="49"/>
      <c r="D44" s="49"/>
      <c r="E44" s="49"/>
      <c r="F44" s="49"/>
      <c r="G44" s="49"/>
      <c r="H44" s="49"/>
      <c r="I44" s="49"/>
    </row>
    <row r="45" spans="1:9" ht="12.75" customHeight="1" x14ac:dyDescent="0.25">
      <c r="A45" s="94"/>
      <c r="B45" s="49"/>
      <c r="C45" s="49"/>
      <c r="D45" s="49"/>
      <c r="E45" s="49"/>
      <c r="F45" s="49"/>
      <c r="G45" s="49"/>
      <c r="H45" s="49"/>
      <c r="I45" s="49"/>
    </row>
  </sheetData>
  <mergeCells count="4">
    <mergeCell ref="C2:E2"/>
    <mergeCell ref="G2:I2"/>
    <mergeCell ref="C3:E3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3907-57B5-4AF8-B04C-D91F7907C02A}">
  <dimension ref="B1:N67"/>
  <sheetViews>
    <sheetView showGridLines="0" workbookViewId="0">
      <selection activeCell="C17" sqref="C17"/>
    </sheetView>
  </sheetViews>
  <sheetFormatPr defaultRowHeight="15" x14ac:dyDescent="0.25"/>
  <cols>
    <col min="1" max="1" width="4" customWidth="1"/>
    <col min="2" max="2" width="70.7109375" bestFit="1" customWidth="1"/>
    <col min="3" max="3" width="12" customWidth="1"/>
    <col min="4" max="6" width="12.5703125" bestFit="1" customWidth="1"/>
    <col min="8" max="8" width="31.140625" customWidth="1"/>
  </cols>
  <sheetData>
    <row r="1" spans="2:6" x14ac:dyDescent="0.25">
      <c r="B1" s="114" t="s">
        <v>475</v>
      </c>
      <c r="C1" s="114"/>
      <c r="D1" s="114"/>
      <c r="E1" s="114"/>
      <c r="F1" s="114"/>
    </row>
    <row r="2" spans="2:6" x14ac:dyDescent="0.25">
      <c r="B2" s="114"/>
      <c r="C2" s="114"/>
      <c r="D2" s="114"/>
      <c r="E2" s="114"/>
      <c r="F2" s="114"/>
    </row>
    <row r="3" spans="2:6" ht="18.75" x14ac:dyDescent="0.3">
      <c r="B3" s="115" t="s">
        <v>477</v>
      </c>
      <c r="C3" s="115"/>
      <c r="D3" s="115"/>
      <c r="E3" s="115"/>
      <c r="F3" s="115"/>
    </row>
    <row r="5" spans="2:6" x14ac:dyDescent="0.25">
      <c r="B5" t="s">
        <v>2</v>
      </c>
      <c r="C5" s="19" t="s">
        <v>504</v>
      </c>
      <c r="D5" s="19" t="s">
        <v>503</v>
      </c>
      <c r="E5" s="19" t="s">
        <v>224</v>
      </c>
      <c r="F5" s="19" t="s">
        <v>225</v>
      </c>
    </row>
    <row r="6" spans="2:6" x14ac:dyDescent="0.25">
      <c r="C6" s="19" t="s">
        <v>62</v>
      </c>
      <c r="D6" s="19" t="s">
        <v>62</v>
      </c>
      <c r="E6" s="19" t="s">
        <v>62</v>
      </c>
      <c r="F6" s="19" t="s">
        <v>62</v>
      </c>
    </row>
    <row r="7" spans="2:6" x14ac:dyDescent="0.25">
      <c r="B7" s="1" t="s">
        <v>226</v>
      </c>
      <c r="C7" s="110"/>
      <c r="D7" s="19" t="s">
        <v>4</v>
      </c>
      <c r="E7" s="19" t="s">
        <v>4</v>
      </c>
      <c r="F7" s="19" t="s">
        <v>4</v>
      </c>
    </row>
    <row r="8" spans="2:6" x14ac:dyDescent="0.25">
      <c r="B8" t="s">
        <v>227</v>
      </c>
      <c r="C8" s="110">
        <f>INDEX('BS 25'!$B$3:$B$58,MATCH(Balance_Sheet2324[[#This Row],[Notes]],'BS 25'!$A$3:$A$58,0))</f>
        <v>5087</v>
      </c>
      <c r="D8" s="19" t="s">
        <v>228</v>
      </c>
      <c r="E8" s="19" t="s">
        <v>229</v>
      </c>
      <c r="F8" s="19" t="s">
        <v>230</v>
      </c>
    </row>
    <row r="9" spans="2:6" x14ac:dyDescent="0.25">
      <c r="B9" t="s">
        <v>231</v>
      </c>
      <c r="C9" s="110">
        <f>INDEX('BS 25'!$B$3:$B$58,MATCH(Balance_Sheet2324[[#This Row],[Notes]],'BS 25'!$A$3:$A$58,0))</f>
        <v>17262</v>
      </c>
      <c r="D9" s="19" t="s">
        <v>232</v>
      </c>
      <c r="E9" s="19" t="s">
        <v>233</v>
      </c>
      <c r="F9" s="19" t="s">
        <v>234</v>
      </c>
    </row>
    <row r="10" spans="2:6" x14ac:dyDescent="0.25">
      <c r="B10" t="s">
        <v>235</v>
      </c>
      <c r="C10" s="110">
        <f>INDEX('BS 25'!$B$3:$B$58,MATCH(Balance_Sheet2324[[#This Row],[Notes]],'BS 25'!$A$3:$A$58,0))</f>
        <v>5569</v>
      </c>
      <c r="D10" s="19" t="s">
        <v>236</v>
      </c>
      <c r="E10" s="19" t="s">
        <v>237</v>
      </c>
      <c r="F10" s="19" t="s">
        <v>238</v>
      </c>
    </row>
    <row r="11" spans="2:6" x14ac:dyDescent="0.25">
      <c r="B11" t="s">
        <v>239</v>
      </c>
      <c r="C11" s="110">
        <f>INDEX('BS 25'!$B$3:$B$58,MATCH(Balance_Sheet2324[[#This Row],[Notes]],'BS 25'!$A$3:$A$58,0))</f>
        <v>24</v>
      </c>
      <c r="D11" s="19" t="s">
        <v>240</v>
      </c>
      <c r="E11" s="19" t="s">
        <v>240</v>
      </c>
      <c r="F11" s="19" t="s">
        <v>241</v>
      </c>
    </row>
    <row r="12" spans="2:6" x14ac:dyDescent="0.25">
      <c r="B12" t="s">
        <v>158</v>
      </c>
      <c r="C12" s="110">
        <f>INDEX('BS 25'!$B$3:$B$58,MATCH(Balance_Sheet2324[[#This Row],[Notes]],'BS 25'!$A$3:$A$58,0))</f>
        <v>110</v>
      </c>
      <c r="D12" s="19" t="s">
        <v>242</v>
      </c>
      <c r="E12" s="19" t="s">
        <v>243</v>
      </c>
      <c r="F12" s="19" t="s">
        <v>244</v>
      </c>
    </row>
    <row r="13" spans="2:6" x14ac:dyDescent="0.25">
      <c r="B13" t="s">
        <v>245</v>
      </c>
      <c r="C13" s="110">
        <f>INDEX('BS 25'!$B$3:$B$58,MATCH(Balance_Sheet2324[[#This Row],[Notes]],'BS 25'!$A$3:$A$58,0))</f>
        <v>934</v>
      </c>
      <c r="D13" s="19" t="s">
        <v>246</v>
      </c>
      <c r="E13" s="19" t="s">
        <v>247</v>
      </c>
      <c r="F13" s="19" t="s">
        <v>248</v>
      </c>
    </row>
    <row r="14" spans="2:6" x14ac:dyDescent="0.25">
      <c r="B14" t="s">
        <v>249</v>
      </c>
      <c r="C14" s="110">
        <f>INDEX('BS 25'!$B$3:$B$58,MATCH(Balance_Sheet2324[[#This Row],[Notes]],'BS 25'!$A$3:$A$58,0))</f>
        <v>158</v>
      </c>
      <c r="D14" s="19" t="s">
        <v>250</v>
      </c>
      <c r="E14" s="19" t="s">
        <v>251</v>
      </c>
      <c r="F14" s="19" t="s">
        <v>252</v>
      </c>
    </row>
    <row r="15" spans="2:6" x14ac:dyDescent="0.25">
      <c r="B15" t="s">
        <v>253</v>
      </c>
      <c r="C15" s="110"/>
      <c r="D15" s="19">
        <v>0</v>
      </c>
      <c r="E15" s="19" t="s">
        <v>254</v>
      </c>
      <c r="F15" s="19" t="s">
        <v>255</v>
      </c>
    </row>
    <row r="16" spans="2:6" x14ac:dyDescent="0.25">
      <c r="B16" t="s">
        <v>256</v>
      </c>
      <c r="C16" s="110">
        <f>INDEX('BS 25'!$B$3:$B$58,MATCH(Balance_Sheet2324[[#This Row],[Notes]],'BS 25'!$A$3:$A$58,0))</f>
        <v>124</v>
      </c>
      <c r="D16" s="19" t="s">
        <v>257</v>
      </c>
      <c r="E16" s="19" t="s">
        <v>258</v>
      </c>
      <c r="F16" s="19" t="s">
        <v>259</v>
      </c>
    </row>
    <row r="17" spans="2:6" x14ac:dyDescent="0.25">
      <c r="B17" t="s">
        <v>260</v>
      </c>
      <c r="C17" s="110">
        <f>INDEX('BS 25'!$B$3:$B$58,MATCH(Balance_Sheet2324[[#This Row],[Notes]],'BS 25'!$A$3:$A$58,0))</f>
        <v>663</v>
      </c>
      <c r="D17" s="19" t="s">
        <v>261</v>
      </c>
      <c r="E17" s="19" t="s">
        <v>262</v>
      </c>
      <c r="F17" s="19" t="s">
        <v>263</v>
      </c>
    </row>
    <row r="18" spans="2:6" x14ac:dyDescent="0.25">
      <c r="B18" t="s">
        <v>264</v>
      </c>
      <c r="C18" s="110">
        <f>'BS 25'!B13</f>
        <v>56</v>
      </c>
      <c r="D18" s="19" t="s">
        <v>241</v>
      </c>
      <c r="E18" s="19" t="s">
        <v>33</v>
      </c>
      <c r="F18" s="19" t="s">
        <v>265</v>
      </c>
    </row>
    <row r="19" spans="2:6" x14ac:dyDescent="0.25">
      <c r="B19" t="s">
        <v>266</v>
      </c>
      <c r="C19" s="110">
        <f>INDEX('BS 25'!$B$3:$B$58,MATCH(Balance_Sheet2324[[#This Row],[Notes]],'BS 25'!$A$3:$A$58,0))</f>
        <v>47</v>
      </c>
      <c r="D19" s="19" t="s">
        <v>267</v>
      </c>
      <c r="E19" s="19" t="s">
        <v>268</v>
      </c>
      <c r="F19" s="19" t="s">
        <v>269</v>
      </c>
    </row>
    <row r="20" spans="2:6" ht="15.75" thickBot="1" x14ac:dyDescent="0.3">
      <c r="B20" s="2"/>
      <c r="C20" s="124">
        <f>SUM(C8:C19)</f>
        <v>30034</v>
      </c>
      <c r="D20" s="39" t="s">
        <v>270</v>
      </c>
      <c r="E20" s="39" t="s">
        <v>271</v>
      </c>
      <c r="F20" s="39" t="s">
        <v>272</v>
      </c>
    </row>
    <row r="21" spans="2:6" x14ac:dyDescent="0.25">
      <c r="B21" s="1" t="s">
        <v>273</v>
      </c>
      <c r="C21" s="110"/>
      <c r="D21" s="19" t="s">
        <v>4</v>
      </c>
      <c r="E21" s="19" t="s">
        <v>4</v>
      </c>
      <c r="F21" s="19" t="s">
        <v>4</v>
      </c>
    </row>
    <row r="22" spans="2:6" x14ac:dyDescent="0.25">
      <c r="B22" t="s">
        <v>245</v>
      </c>
      <c r="C22" s="110">
        <v>151</v>
      </c>
      <c r="D22" s="19" t="s">
        <v>274</v>
      </c>
      <c r="E22" s="19" t="s">
        <v>275</v>
      </c>
      <c r="F22" s="19" t="s">
        <v>276</v>
      </c>
    </row>
    <row r="23" spans="2:6" x14ac:dyDescent="0.25">
      <c r="B23" t="s">
        <v>277</v>
      </c>
      <c r="C23" s="110">
        <f>INDEX('BS 25'!$B$3:$B$58,MATCH(Balance_Sheet2324[[#This Row],[Notes]],'BS 25'!$A$3:$A$58,0))</f>
        <v>2768</v>
      </c>
      <c r="D23" s="19" t="s">
        <v>278</v>
      </c>
      <c r="E23" s="19" t="s">
        <v>279</v>
      </c>
      <c r="F23" s="19" t="s">
        <v>280</v>
      </c>
    </row>
    <row r="24" spans="2:6" x14ac:dyDescent="0.25">
      <c r="B24" t="s">
        <v>457</v>
      </c>
      <c r="C24" s="110">
        <v>652</v>
      </c>
      <c r="D24" s="19">
        <v>576</v>
      </c>
      <c r="E24" s="19">
        <v>531</v>
      </c>
      <c r="F24" s="19">
        <v>457</v>
      </c>
    </row>
    <row r="25" spans="2:6" x14ac:dyDescent="0.25">
      <c r="B25" t="s">
        <v>458</v>
      </c>
      <c r="C25" s="110">
        <v>558</v>
      </c>
      <c r="D25" s="19">
        <v>773</v>
      </c>
      <c r="E25" s="19">
        <v>704</v>
      </c>
      <c r="F25" s="19">
        <v>761</v>
      </c>
    </row>
    <row r="26" spans="2:6" x14ac:dyDescent="0.25">
      <c r="B26" t="s">
        <v>253</v>
      </c>
      <c r="C26" s="110"/>
      <c r="D26" s="19" t="s">
        <v>76</v>
      </c>
      <c r="E26" s="19" t="s">
        <v>281</v>
      </c>
      <c r="F26" s="19" t="s">
        <v>282</v>
      </c>
    </row>
    <row r="27" spans="2:6" x14ac:dyDescent="0.25">
      <c r="B27" t="s">
        <v>260</v>
      </c>
      <c r="C27" s="110">
        <v>172</v>
      </c>
      <c r="D27" s="19" t="s">
        <v>140</v>
      </c>
      <c r="E27" s="19" t="s">
        <v>283</v>
      </c>
      <c r="F27" s="19" t="s">
        <v>284</v>
      </c>
    </row>
    <row r="28" spans="2:6" x14ac:dyDescent="0.25">
      <c r="B28" t="s">
        <v>285</v>
      </c>
      <c r="C28" s="110">
        <f>INDEX('BS 25'!$B$3:$B$58,MATCH(Balance_Sheet2324[[#This Row],[Notes]],'BS 25'!$A$3:$A$58,0))</f>
        <v>27</v>
      </c>
      <c r="D28" s="19" t="s">
        <v>286</v>
      </c>
      <c r="E28" s="19" t="s">
        <v>287</v>
      </c>
      <c r="F28" s="19" t="s">
        <v>243</v>
      </c>
    </row>
    <row r="29" spans="2:6" x14ac:dyDescent="0.25">
      <c r="B29" t="s">
        <v>288</v>
      </c>
      <c r="C29" s="110">
        <f>INDEX('BS 25'!$B$3:$B$58,MATCH(Balance_Sheet2324[[#This Row],[Notes]],'BS 25'!$A$3:$A$58,0))</f>
        <v>2223</v>
      </c>
      <c r="D29" s="19" t="s">
        <v>289</v>
      </c>
      <c r="E29" s="19" t="s">
        <v>290</v>
      </c>
      <c r="F29" s="19" t="s">
        <v>291</v>
      </c>
    </row>
    <row r="30" spans="2:6" x14ac:dyDescent="0.25">
      <c r="B30" t="s">
        <v>292</v>
      </c>
      <c r="C30" s="110">
        <f>INDEX('BS 25'!$B$3:$B$58,MATCH(Balance_Sheet2324[[#This Row],[Notes]],'BS 25'!$A$3:$A$58,0))</f>
        <v>2255</v>
      </c>
      <c r="D30" s="19" t="s">
        <v>293</v>
      </c>
      <c r="E30" s="19" t="s">
        <v>294</v>
      </c>
      <c r="F30" s="19" t="s">
        <v>295</v>
      </c>
    </row>
    <row r="31" spans="2:6" x14ac:dyDescent="0.25">
      <c r="B31" t="s">
        <v>4</v>
      </c>
      <c r="C31" s="110">
        <f>SUM(C22:C30)</f>
        <v>8806</v>
      </c>
      <c r="D31" s="19" t="s">
        <v>296</v>
      </c>
      <c r="E31" s="19" t="s">
        <v>297</v>
      </c>
      <c r="F31" s="19" t="s">
        <v>298</v>
      </c>
    </row>
    <row r="32" spans="2:6" x14ac:dyDescent="0.25">
      <c r="B32" t="s">
        <v>299</v>
      </c>
      <c r="C32" s="110">
        <f>INDEX('BS 25'!$B$3:$B$58,MATCH(Balance_Sheet2324[[#This Row],[Notes]],'BS 25'!$A$3:$A$58,0))</f>
        <v>50</v>
      </c>
      <c r="D32" s="19" t="s">
        <v>300</v>
      </c>
      <c r="E32" s="19" t="s">
        <v>301</v>
      </c>
      <c r="F32" s="19" t="s">
        <v>302</v>
      </c>
    </row>
    <row r="33" spans="2:6" x14ac:dyDescent="0.25">
      <c r="B33" s="5"/>
      <c r="C33" s="110">
        <f>SUM(C31+C32)</f>
        <v>8856</v>
      </c>
      <c r="D33" s="40">
        <v>16606</v>
      </c>
      <c r="E33" s="40">
        <v>12469</v>
      </c>
      <c r="F33" s="40">
        <v>11985</v>
      </c>
    </row>
    <row r="34" spans="2:6" ht="15.75" thickBot="1" x14ac:dyDescent="0.3">
      <c r="B34" s="7" t="s">
        <v>441</v>
      </c>
      <c r="C34" s="112">
        <f>SUM(C33+C20)</f>
        <v>38890</v>
      </c>
      <c r="D34" s="41">
        <f>SUM(D20+D33)</f>
        <v>47039</v>
      </c>
      <c r="E34" s="41">
        <f t="shared" ref="E34:F34" si="0">SUM(E20+E33)</f>
        <v>45868</v>
      </c>
      <c r="F34" s="41">
        <f t="shared" si="0"/>
        <v>49137</v>
      </c>
    </row>
    <row r="35" spans="2:6" x14ac:dyDescent="0.25">
      <c r="B35" s="1" t="s">
        <v>303</v>
      </c>
      <c r="C35" s="110"/>
      <c r="D35" s="19" t="s">
        <v>4</v>
      </c>
      <c r="E35" s="19" t="s">
        <v>4</v>
      </c>
      <c r="F35" s="19" t="s">
        <v>4</v>
      </c>
    </row>
    <row r="36" spans="2:6" x14ac:dyDescent="0.25">
      <c r="B36" t="s">
        <v>304</v>
      </c>
      <c r="C36" s="125">
        <v>-3672</v>
      </c>
      <c r="D36" s="42">
        <v>-3620</v>
      </c>
      <c r="E36" s="42">
        <v>-3404</v>
      </c>
      <c r="F36" s="42">
        <v>-3399</v>
      </c>
    </row>
    <row r="37" spans="2:6" x14ac:dyDescent="0.25">
      <c r="B37" t="s">
        <v>459</v>
      </c>
      <c r="C37" s="125">
        <v>-6692</v>
      </c>
      <c r="D37" s="43">
        <v>-6644</v>
      </c>
      <c r="E37" s="43">
        <v>-6359</v>
      </c>
      <c r="F37" s="43">
        <v>-5641</v>
      </c>
    </row>
    <row r="38" spans="2:6" x14ac:dyDescent="0.25">
      <c r="B38" t="s">
        <v>305</v>
      </c>
      <c r="C38" s="125">
        <f>INDEX('BS 25'!$B$3:$B$58,MATCH(Balance_Sheet2324[[#This Row],[Notes]],'BS 25'!$A$3:$A$58,0))</f>
        <v>-1861</v>
      </c>
      <c r="D38" s="19" t="s">
        <v>306</v>
      </c>
      <c r="E38" s="19" t="s">
        <v>307</v>
      </c>
      <c r="F38" s="19" t="s">
        <v>308</v>
      </c>
    </row>
    <row r="39" spans="2:6" x14ac:dyDescent="0.25">
      <c r="B39" t="s">
        <v>309</v>
      </c>
      <c r="C39" s="125">
        <f>INDEX('BS 25'!$B$3:$B$58,MATCH(Balance_Sheet2324[[#This Row],[Notes]],'BS 25'!$A$3:$A$58,0))</f>
        <v>-618</v>
      </c>
      <c r="D39" s="19" t="s">
        <v>310</v>
      </c>
      <c r="E39" s="19" t="s">
        <v>311</v>
      </c>
      <c r="F39" s="19" t="s">
        <v>312</v>
      </c>
    </row>
    <row r="40" spans="2:6" x14ac:dyDescent="0.25">
      <c r="B40" t="s">
        <v>313</v>
      </c>
      <c r="C40" s="125">
        <f>INDEX('BS 25'!$B$3:$B$58,MATCH(Balance_Sheet2324[[#This Row],[Notes]],'BS 25'!$A$3:$A$58,0))</f>
        <v>-300</v>
      </c>
      <c r="D40" s="19" t="s">
        <v>314</v>
      </c>
      <c r="E40" s="19" t="s">
        <v>315</v>
      </c>
      <c r="F40" s="19" t="s">
        <v>316</v>
      </c>
    </row>
    <row r="41" spans="2:6" x14ac:dyDescent="0.25">
      <c r="B41" t="s">
        <v>317</v>
      </c>
      <c r="C41" s="125">
        <f>INDEX('BS 25'!$B$3:$B$58,MATCH(Balance_Sheet2324[[#This Row],[Notes]],'BS 25'!$A$3:$A$58,0))</f>
        <v>-652</v>
      </c>
      <c r="D41" s="19" t="s">
        <v>318</v>
      </c>
      <c r="E41" s="19" t="s">
        <v>319</v>
      </c>
      <c r="F41" s="19" t="s">
        <v>320</v>
      </c>
    </row>
    <row r="42" spans="2:6" x14ac:dyDescent="0.25">
      <c r="B42" t="s">
        <v>321</v>
      </c>
      <c r="C42" s="125"/>
      <c r="D42" s="19" t="s">
        <v>322</v>
      </c>
      <c r="E42" s="19" t="s">
        <v>323</v>
      </c>
      <c r="F42" s="19" t="s">
        <v>324</v>
      </c>
    </row>
    <row r="43" spans="2:6" x14ac:dyDescent="0.25">
      <c r="B43" t="s">
        <v>260</v>
      </c>
      <c r="C43" s="125">
        <v>-12</v>
      </c>
      <c r="D43" s="19" t="s">
        <v>325</v>
      </c>
      <c r="E43" s="19" t="s">
        <v>326</v>
      </c>
      <c r="F43" s="19" t="s">
        <v>327</v>
      </c>
    </row>
    <row r="44" spans="2:6" x14ac:dyDescent="0.25">
      <c r="B44" t="s">
        <v>328</v>
      </c>
      <c r="C44" s="125">
        <f>INDEX('BS 25'!$B$3:$B$58,MATCH(Balance_Sheet2324[[#This Row],[Notes]],'BS 25'!$A$3:$A$58,0))</f>
        <v>-13</v>
      </c>
      <c r="D44" s="19" t="s">
        <v>59</v>
      </c>
      <c r="E44" s="19" t="s">
        <v>329</v>
      </c>
      <c r="F44" s="19" t="s">
        <v>330</v>
      </c>
    </row>
    <row r="45" spans="2:6" x14ac:dyDescent="0.25">
      <c r="B45" t="s">
        <v>4</v>
      </c>
      <c r="C45" s="125">
        <f>SUM(C36:C44)</f>
        <v>-13820</v>
      </c>
      <c r="D45" s="19" t="s">
        <v>331</v>
      </c>
      <c r="E45" s="19" t="s">
        <v>332</v>
      </c>
      <c r="F45" s="19" t="s">
        <v>333</v>
      </c>
    </row>
    <row r="46" spans="2:6" x14ac:dyDescent="0.25">
      <c r="B46" t="s">
        <v>334</v>
      </c>
      <c r="C46" s="110">
        <f>INDEX('BS 25'!$B$3:$B$58,MATCH(Balance_Sheet2324[[#This Row],[Notes]],'BS 25'!$A$3:$A$58,0))</f>
        <v>0</v>
      </c>
      <c r="D46" s="19" t="s">
        <v>335</v>
      </c>
      <c r="E46" s="19" t="s">
        <v>336</v>
      </c>
      <c r="F46" s="19" t="s">
        <v>336</v>
      </c>
    </row>
    <row r="47" spans="2:6" ht="15.75" thickBot="1" x14ac:dyDescent="0.3">
      <c r="B47" s="127"/>
      <c r="C47" s="126">
        <f>C45</f>
        <v>-13820</v>
      </c>
      <c r="D47" s="111">
        <f>SUM(D45+D46)</f>
        <v>-20472</v>
      </c>
      <c r="E47" s="111">
        <f t="shared" ref="E47:F47" si="1">SUM(E45+E46)</f>
        <v>-17610</v>
      </c>
      <c r="F47" s="111">
        <f t="shared" si="1"/>
        <v>-15963</v>
      </c>
    </row>
    <row r="48" spans="2:6" x14ac:dyDescent="0.25">
      <c r="B48" s="1" t="s">
        <v>337</v>
      </c>
      <c r="C48" s="110"/>
      <c r="D48" s="19" t="s">
        <v>4</v>
      </c>
      <c r="E48" s="19" t="s">
        <v>4</v>
      </c>
      <c r="F48" s="19" t="s">
        <v>4</v>
      </c>
    </row>
    <row r="49" spans="2:6" x14ac:dyDescent="0.25">
      <c r="B49" t="s">
        <v>304</v>
      </c>
      <c r="C49" s="125">
        <v>-40</v>
      </c>
      <c r="D49" s="19" t="s">
        <v>338</v>
      </c>
      <c r="E49" s="19" t="s">
        <v>102</v>
      </c>
      <c r="F49" s="19" t="s">
        <v>102</v>
      </c>
    </row>
    <row r="50" spans="2:6" x14ac:dyDescent="0.25">
      <c r="B50" t="s">
        <v>305</v>
      </c>
      <c r="C50" s="125">
        <v>-5089</v>
      </c>
      <c r="D50" s="19" t="s">
        <v>339</v>
      </c>
      <c r="E50" s="19" t="s">
        <v>340</v>
      </c>
      <c r="F50" s="19" t="s">
        <v>341</v>
      </c>
    </row>
    <row r="51" spans="2:6" x14ac:dyDescent="0.25">
      <c r="B51" t="s">
        <v>309</v>
      </c>
      <c r="C51" s="125">
        <v>-7098</v>
      </c>
      <c r="D51" s="19" t="s">
        <v>342</v>
      </c>
      <c r="E51" s="19" t="s">
        <v>343</v>
      </c>
      <c r="F51" s="19" t="s">
        <v>344</v>
      </c>
    </row>
    <row r="52" spans="2:6" x14ac:dyDescent="0.25">
      <c r="B52" t="s">
        <v>313</v>
      </c>
      <c r="C52" s="125">
        <v>-166</v>
      </c>
      <c r="D52" s="19" t="s">
        <v>345</v>
      </c>
      <c r="E52" s="19" t="s">
        <v>346</v>
      </c>
      <c r="F52" s="19" t="s">
        <v>347</v>
      </c>
    </row>
    <row r="53" spans="2:6" x14ac:dyDescent="0.25">
      <c r="B53" t="s">
        <v>321</v>
      </c>
      <c r="C53" s="125"/>
      <c r="D53" s="19" t="s">
        <v>348</v>
      </c>
      <c r="E53" s="19" t="s">
        <v>349</v>
      </c>
      <c r="F53" s="19" t="s">
        <v>350</v>
      </c>
    </row>
    <row r="54" spans="2:6" x14ac:dyDescent="0.25">
      <c r="B54" t="s">
        <v>260</v>
      </c>
      <c r="C54" s="125">
        <v>-205</v>
      </c>
      <c r="D54" s="19" t="s">
        <v>351</v>
      </c>
      <c r="E54" s="19" t="s">
        <v>352</v>
      </c>
      <c r="F54" s="19" t="s">
        <v>353</v>
      </c>
    </row>
    <row r="55" spans="2:6" x14ac:dyDescent="0.25">
      <c r="B55" t="s">
        <v>354</v>
      </c>
      <c r="C55" s="125">
        <f>INDEX('BS 25'!$B$3:$B$58,MATCH(Balance_Sheet2324[[#This Row],[Notes]],'BS 25'!$A$3:$A$58,0))</f>
        <v>-307</v>
      </c>
      <c r="D55" s="19" t="s">
        <v>355</v>
      </c>
      <c r="E55" s="19" t="s">
        <v>356</v>
      </c>
      <c r="F55" s="19" t="s">
        <v>357</v>
      </c>
    </row>
    <row r="56" spans="2:6" x14ac:dyDescent="0.25">
      <c r="B56" t="s">
        <v>358</v>
      </c>
      <c r="C56" s="125">
        <f>INDEX('BS 25'!$B$3:$B$58,MATCH(Balance_Sheet2324[[#This Row],[Notes]],'BS 25'!$A$3:$A$58,0))</f>
        <v>-503</v>
      </c>
      <c r="D56" s="19" t="s">
        <v>359</v>
      </c>
      <c r="E56" s="19" t="s">
        <v>360</v>
      </c>
      <c r="F56" s="19" t="s">
        <v>361</v>
      </c>
    </row>
    <row r="57" spans="2:6" x14ac:dyDescent="0.25">
      <c r="B57" s="1" t="s">
        <v>4</v>
      </c>
      <c r="C57" s="125">
        <f>SUM(C49:C56)</f>
        <v>-13408</v>
      </c>
      <c r="D57" s="44" t="s">
        <v>362</v>
      </c>
      <c r="E57" s="44" t="s">
        <v>363</v>
      </c>
      <c r="F57" s="44" t="s">
        <v>364</v>
      </c>
    </row>
    <row r="58" spans="2:6" ht="15.75" thickBot="1" x14ac:dyDescent="0.3">
      <c r="B58" s="8" t="s">
        <v>442</v>
      </c>
      <c r="C58" s="126">
        <f>C57+C47</f>
        <v>-27228</v>
      </c>
      <c r="D58" s="45">
        <f>-(-D57-D47)</f>
        <v>-35374</v>
      </c>
      <c r="E58" s="45">
        <f t="shared" ref="E58:F58" si="2">-(-E57-E47)</f>
        <v>-33643</v>
      </c>
      <c r="F58" s="45">
        <f t="shared" si="2"/>
        <v>-33505</v>
      </c>
    </row>
    <row r="59" spans="2:6" x14ac:dyDescent="0.25">
      <c r="B59" s="1" t="s">
        <v>368</v>
      </c>
      <c r="C59" s="110"/>
      <c r="D59" s="3" t="s">
        <v>4</v>
      </c>
      <c r="E59" s="3" t="s">
        <v>4</v>
      </c>
      <c r="F59" s="3" t="s">
        <v>4</v>
      </c>
    </row>
    <row r="60" spans="2:6" x14ac:dyDescent="0.25">
      <c r="B60" t="s">
        <v>369</v>
      </c>
      <c r="C60" s="110">
        <f>INDEX('BS 25'!$B$3:$B$58,MATCH(Balance_Sheet2324[[#This Row],[Notes]],'BS 25'!$A$3:$A$58,0))</f>
        <v>426</v>
      </c>
      <c r="D60" s="19" t="s">
        <v>370</v>
      </c>
      <c r="E60" s="19" t="s">
        <v>371</v>
      </c>
      <c r="F60" s="19" t="s">
        <v>372</v>
      </c>
    </row>
    <row r="61" spans="2:6" x14ac:dyDescent="0.25">
      <c r="B61" t="s">
        <v>373</v>
      </c>
      <c r="C61" s="110">
        <f>INDEX('BS 25'!$B$3:$B$58,MATCH(Balance_Sheet2324[[#This Row],[Notes]],'BS 25'!$A$3:$A$58,0))</f>
        <v>5165</v>
      </c>
      <c r="D61" s="19" t="s">
        <v>374</v>
      </c>
      <c r="E61" s="19" t="s">
        <v>374</v>
      </c>
      <c r="F61" s="19" t="s">
        <v>374</v>
      </c>
    </row>
    <row r="62" spans="2:6" x14ac:dyDescent="0.25">
      <c r="B62" t="s">
        <v>375</v>
      </c>
      <c r="C62" s="110">
        <f>INDEX('BS 25'!$B$3:$B$58,MATCH(Balance_Sheet2324[[#This Row],[Notes]],'BS 25'!$A$3:$A$58,0))</f>
        <v>3140</v>
      </c>
      <c r="D62" s="19" t="s">
        <v>376</v>
      </c>
      <c r="E62" s="19" t="s">
        <v>377</v>
      </c>
      <c r="F62" s="19" t="s">
        <v>378</v>
      </c>
    </row>
    <row r="63" spans="2:6" x14ac:dyDescent="0.25">
      <c r="B63" t="s">
        <v>379</v>
      </c>
      <c r="C63" s="110">
        <f>INDEX('BS 25'!$B$3:$B$58,MATCH(Balance_Sheet2324[[#This Row],[Notes]],'BS 25'!$A$3:$A$58,0))</f>
        <v>2935</v>
      </c>
      <c r="D63" s="19" t="s">
        <v>380</v>
      </c>
      <c r="E63" s="19" t="s">
        <v>381</v>
      </c>
      <c r="F63" s="19" t="s">
        <v>382</v>
      </c>
    </row>
    <row r="64" spans="2:6" x14ac:dyDescent="0.25">
      <c r="B64" t="s">
        <v>383</v>
      </c>
      <c r="C64" s="110">
        <f>INDEX('BS 25'!$B$3:$B$58,MATCH(Balance_Sheet2324[[#This Row],[Notes]],'BS 25'!$A$3:$A$58,0))</f>
        <v>11666</v>
      </c>
      <c r="D64" s="19" t="s">
        <v>384</v>
      </c>
      <c r="E64" s="19" t="s">
        <v>385</v>
      </c>
      <c r="F64" s="19" t="s">
        <v>386</v>
      </c>
    </row>
    <row r="65" spans="2:14" x14ac:dyDescent="0.25">
      <c r="B65" t="s">
        <v>58</v>
      </c>
      <c r="C65" s="125">
        <f>INDEX('BS 25'!$B$3:$B$58,MATCH(Balance_Sheet2324[[#This Row],[Notes]],'BS 25'!$A$3:$A$58,0))</f>
        <v>-4</v>
      </c>
      <c r="D65" s="19" t="s">
        <v>178</v>
      </c>
      <c r="E65" s="19" t="s">
        <v>330</v>
      </c>
      <c r="F65" s="19" t="s">
        <v>387</v>
      </c>
    </row>
    <row r="66" spans="2:14" s="1" customFormat="1" ht="15.75" thickBot="1" x14ac:dyDescent="0.3">
      <c r="B66" s="2" t="s">
        <v>388</v>
      </c>
      <c r="C66" s="124">
        <f>INDEX('BS 25'!$B$3:$B$58,MATCH(Balance_Sheet2324[[#This Row],[Notes]],'BS 25'!$A$3:$A$58,0))</f>
        <v>11662</v>
      </c>
      <c r="D66" s="39" t="s">
        <v>365</v>
      </c>
      <c r="E66" s="39" t="s">
        <v>366</v>
      </c>
      <c r="F66" s="39" t="s">
        <v>367</v>
      </c>
      <c r="H66"/>
      <c r="I66"/>
      <c r="J66"/>
      <c r="K66"/>
      <c r="L66"/>
      <c r="M66"/>
      <c r="N66"/>
    </row>
    <row r="67" spans="2:14" x14ac:dyDescent="0.25">
      <c r="B67" s="1" t="s">
        <v>471</v>
      </c>
      <c r="C67" s="113">
        <f>SUM(C66-C58)</f>
        <v>38890</v>
      </c>
      <c r="D67" s="46">
        <f>D66-D58</f>
        <v>47039</v>
      </c>
      <c r="E67" s="3">
        <f>E66-E58</f>
        <v>45868</v>
      </c>
      <c r="F67" s="3">
        <f>F66-F58</f>
        <v>49137</v>
      </c>
    </row>
  </sheetData>
  <mergeCells count="2">
    <mergeCell ref="B1:F2"/>
    <mergeCell ref="B3:F3"/>
  </mergeCells>
  <phoneticPr fontId="4" type="noConversion"/>
  <pageMargins left="0.7" right="0.7" top="0.75" bottom="0.75" header="0.3" footer="0.3"/>
  <ignoredErrors>
    <ignoredError sqref="C24:C25 C49:C50 C54 C51:C52 C67 C18 C20 C22 C27 C31 C33:C34 C36:C37 C43 C47 C45 C57:C58 C6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A0C1-B8B5-4497-AB43-1B709A3512F6}">
  <dimension ref="A1:B58"/>
  <sheetViews>
    <sheetView topLeftCell="A2" workbookViewId="0">
      <selection activeCell="B17" sqref="B17"/>
    </sheetView>
  </sheetViews>
  <sheetFormatPr defaultRowHeight="15" x14ac:dyDescent="0.25"/>
  <cols>
    <col min="1" max="1" width="64.42578125" bestFit="1" customWidth="1"/>
  </cols>
  <sheetData>
    <row r="1" spans="1:2" ht="18.75" x14ac:dyDescent="0.3">
      <c r="A1" s="48" t="s">
        <v>498</v>
      </c>
    </row>
    <row r="2" spans="1:2" ht="36" x14ac:dyDescent="0.25">
      <c r="A2" s="50"/>
      <c r="B2" s="100" t="str">
        <f>IF([1]POV!$B$1="HY",[1]POV!$B$8,[1]POV!$B$5)</f>
        <v>22 February 2025</v>
      </c>
    </row>
    <row r="3" spans="1:2" ht="15.75" thickBot="1" x14ac:dyDescent="0.3">
      <c r="A3" s="109" t="s">
        <v>226</v>
      </c>
      <c r="B3" s="101" t="s">
        <v>62</v>
      </c>
    </row>
    <row r="4" spans="1:2" x14ac:dyDescent="0.25">
      <c r="A4" s="60" t="s">
        <v>227</v>
      </c>
      <c r="B4" s="102">
        <v>5087</v>
      </c>
    </row>
    <row r="5" spans="1:2" x14ac:dyDescent="0.25">
      <c r="A5" s="51" t="s">
        <v>231</v>
      </c>
      <c r="B5" s="103">
        <v>17262</v>
      </c>
    </row>
    <row r="6" spans="1:2" x14ac:dyDescent="0.25">
      <c r="A6" s="51" t="s">
        <v>235</v>
      </c>
      <c r="B6" s="103">
        <v>5569</v>
      </c>
    </row>
    <row r="7" spans="1:2" x14ac:dyDescent="0.25">
      <c r="A7" s="51" t="s">
        <v>239</v>
      </c>
      <c r="B7" s="103">
        <v>24</v>
      </c>
    </row>
    <row r="8" spans="1:2" x14ac:dyDescent="0.25">
      <c r="A8" s="51" t="s">
        <v>158</v>
      </c>
      <c r="B8" s="103">
        <v>110</v>
      </c>
    </row>
    <row r="9" spans="1:2" x14ac:dyDescent="0.25">
      <c r="A9" s="51" t="s">
        <v>245</v>
      </c>
      <c r="B9" s="103">
        <v>934</v>
      </c>
    </row>
    <row r="10" spans="1:2" x14ac:dyDescent="0.25">
      <c r="A10" s="51" t="s">
        <v>249</v>
      </c>
      <c r="B10" s="103">
        <v>158</v>
      </c>
    </row>
    <row r="11" spans="1:2" x14ac:dyDescent="0.25">
      <c r="A11" s="51" t="s">
        <v>256</v>
      </c>
      <c r="B11" s="103">
        <v>124</v>
      </c>
    </row>
    <row r="12" spans="1:2" x14ac:dyDescent="0.25">
      <c r="A12" s="51" t="s">
        <v>260</v>
      </c>
      <c r="B12" s="103">
        <v>663</v>
      </c>
    </row>
    <row r="13" spans="1:2" x14ac:dyDescent="0.25">
      <c r="A13" s="51" t="s">
        <v>499</v>
      </c>
      <c r="B13" s="103">
        <v>56</v>
      </c>
    </row>
    <row r="14" spans="1:2" ht="15.75" thickBot="1" x14ac:dyDescent="0.3">
      <c r="A14" s="57" t="s">
        <v>266</v>
      </c>
      <c r="B14" s="104">
        <v>47</v>
      </c>
    </row>
    <row r="15" spans="1:2" ht="15.75" thickBot="1" x14ac:dyDescent="0.3">
      <c r="A15" s="57"/>
      <c r="B15" s="105">
        <f>SUM(B4:B14)</f>
        <v>30034</v>
      </c>
    </row>
    <row r="16" spans="1:2" x14ac:dyDescent="0.25">
      <c r="A16" s="60" t="s">
        <v>273</v>
      </c>
      <c r="B16" s="103"/>
    </row>
    <row r="17" spans="1:2" x14ac:dyDescent="0.25">
      <c r="A17" s="51" t="s">
        <v>245</v>
      </c>
      <c r="B17" s="106">
        <v>151</v>
      </c>
    </row>
    <row r="18" spans="1:2" x14ac:dyDescent="0.25">
      <c r="A18" s="51" t="s">
        <v>277</v>
      </c>
      <c r="B18" s="103">
        <v>2768</v>
      </c>
    </row>
    <row r="19" spans="1:2" x14ac:dyDescent="0.25">
      <c r="A19" s="51" t="s">
        <v>249</v>
      </c>
      <c r="B19" s="103">
        <v>1210</v>
      </c>
    </row>
    <row r="20" spans="1:2" x14ac:dyDescent="0.25">
      <c r="A20" s="51" t="s">
        <v>260</v>
      </c>
      <c r="B20" s="103">
        <v>172</v>
      </c>
    </row>
    <row r="21" spans="1:2" x14ac:dyDescent="0.25">
      <c r="A21" s="51" t="s">
        <v>285</v>
      </c>
      <c r="B21" s="103">
        <v>27</v>
      </c>
    </row>
    <row r="22" spans="1:2" x14ac:dyDescent="0.25">
      <c r="A22" s="51" t="s">
        <v>288</v>
      </c>
      <c r="B22" s="103">
        <v>2223</v>
      </c>
    </row>
    <row r="23" spans="1:2" ht="15.75" thickBot="1" x14ac:dyDescent="0.3">
      <c r="A23" s="57" t="s">
        <v>292</v>
      </c>
      <c r="B23" s="107">
        <v>2255</v>
      </c>
    </row>
    <row r="24" spans="1:2" ht="15.75" thickBot="1" x14ac:dyDescent="0.3">
      <c r="A24" s="57"/>
      <c r="B24" s="105">
        <f>SUM(B17:B23)</f>
        <v>8806</v>
      </c>
    </row>
    <row r="25" spans="1:2" ht="15.75" thickBot="1" x14ac:dyDescent="0.3">
      <c r="A25" s="57" t="s">
        <v>299</v>
      </c>
      <c r="B25" s="104">
        <v>50</v>
      </c>
    </row>
    <row r="26" spans="1:2" ht="15.75" thickBot="1" x14ac:dyDescent="0.3">
      <c r="A26" s="57"/>
      <c r="B26" s="105">
        <f>SUM(B24:B25)</f>
        <v>8856</v>
      </c>
    </row>
    <row r="27" spans="1:2" x14ac:dyDescent="0.25">
      <c r="A27" s="51"/>
      <c r="B27" s="106"/>
    </row>
    <row r="28" spans="1:2" x14ac:dyDescent="0.25">
      <c r="A28" s="60" t="s">
        <v>303</v>
      </c>
      <c r="B28" s="106"/>
    </row>
    <row r="29" spans="1:2" x14ac:dyDescent="0.25">
      <c r="A29" s="51" t="s">
        <v>304</v>
      </c>
      <c r="B29" s="103">
        <v>-10364</v>
      </c>
    </row>
    <row r="30" spans="1:2" x14ac:dyDescent="0.25">
      <c r="A30" s="51" t="s">
        <v>305</v>
      </c>
      <c r="B30" s="103">
        <v>-1861</v>
      </c>
    </row>
    <row r="31" spans="1:2" x14ac:dyDescent="0.25">
      <c r="A31" s="51" t="s">
        <v>309</v>
      </c>
      <c r="B31" s="103">
        <v>-618</v>
      </c>
    </row>
    <row r="32" spans="1:2" x14ac:dyDescent="0.25">
      <c r="A32" s="51" t="s">
        <v>313</v>
      </c>
      <c r="B32" s="103">
        <v>-300</v>
      </c>
    </row>
    <row r="33" spans="1:2" x14ac:dyDescent="0.25">
      <c r="A33" s="51" t="s">
        <v>317</v>
      </c>
      <c r="B33" s="103">
        <v>-652</v>
      </c>
    </row>
    <row r="34" spans="1:2" x14ac:dyDescent="0.25">
      <c r="A34" s="51" t="s">
        <v>500</v>
      </c>
      <c r="B34" s="103">
        <v>0</v>
      </c>
    </row>
    <row r="35" spans="1:2" x14ac:dyDescent="0.25">
      <c r="A35" s="51" t="s">
        <v>260</v>
      </c>
      <c r="B35" s="103">
        <v>-12</v>
      </c>
    </row>
    <row r="36" spans="1:2" ht="15.75" thickBot="1" x14ac:dyDescent="0.3">
      <c r="A36" s="57" t="s">
        <v>328</v>
      </c>
      <c r="B36" s="105">
        <v>-13</v>
      </c>
    </row>
    <row r="37" spans="1:2" ht="15.75" thickBot="1" x14ac:dyDescent="0.3">
      <c r="A37" s="57"/>
      <c r="B37" s="105">
        <f>SUM(B29:B36)</f>
        <v>-13820</v>
      </c>
    </row>
    <row r="38" spans="1:2" ht="15.75" thickBot="1" x14ac:dyDescent="0.3">
      <c r="A38" s="108" t="s">
        <v>334</v>
      </c>
      <c r="B38" s="104">
        <v>0</v>
      </c>
    </row>
    <row r="39" spans="1:2" ht="15.75" thickBot="1" x14ac:dyDescent="0.3">
      <c r="A39" s="108" t="s">
        <v>501</v>
      </c>
      <c r="B39" s="105">
        <f>B26+B37+B38</f>
        <v>-4964</v>
      </c>
    </row>
    <row r="40" spans="1:2" x14ac:dyDescent="0.25">
      <c r="A40" s="60" t="s">
        <v>337</v>
      </c>
      <c r="B40" s="103"/>
    </row>
    <row r="41" spans="1:2" x14ac:dyDescent="0.25">
      <c r="A41" s="51" t="s">
        <v>304</v>
      </c>
      <c r="B41" s="103">
        <v>-40</v>
      </c>
    </row>
    <row r="42" spans="1:2" x14ac:dyDescent="0.25">
      <c r="A42" s="51" t="s">
        <v>305</v>
      </c>
      <c r="B42" s="103">
        <v>-5089</v>
      </c>
    </row>
    <row r="43" spans="1:2" x14ac:dyDescent="0.25">
      <c r="A43" s="51" t="s">
        <v>309</v>
      </c>
      <c r="B43" s="103">
        <v>-7098</v>
      </c>
    </row>
    <row r="44" spans="1:2" x14ac:dyDescent="0.25">
      <c r="A44" s="51" t="s">
        <v>313</v>
      </c>
      <c r="B44" s="103">
        <v>-166</v>
      </c>
    </row>
    <row r="45" spans="1:2" x14ac:dyDescent="0.25">
      <c r="A45" s="51" t="s">
        <v>500</v>
      </c>
      <c r="B45" s="103">
        <v>0</v>
      </c>
    </row>
    <row r="46" spans="1:2" x14ac:dyDescent="0.25">
      <c r="A46" s="51" t="s">
        <v>260</v>
      </c>
      <c r="B46" s="103">
        <v>-205</v>
      </c>
    </row>
    <row r="47" spans="1:2" x14ac:dyDescent="0.25">
      <c r="A47" s="51" t="s">
        <v>354</v>
      </c>
      <c r="B47" s="103">
        <v>-307</v>
      </c>
    </row>
    <row r="48" spans="1:2" ht="15.75" thickBot="1" x14ac:dyDescent="0.3">
      <c r="A48" s="57" t="s">
        <v>358</v>
      </c>
      <c r="B48" s="105">
        <v>-503</v>
      </c>
    </row>
    <row r="49" spans="1:2" ht="15.75" thickBot="1" x14ac:dyDescent="0.3">
      <c r="A49" s="108"/>
      <c r="B49" s="105">
        <f>SUM(B41:B48)</f>
        <v>-13408</v>
      </c>
    </row>
    <row r="50" spans="1:2" ht="15.75" thickBot="1" x14ac:dyDescent="0.3">
      <c r="A50" s="57" t="s">
        <v>502</v>
      </c>
      <c r="B50" s="105">
        <f>B49+B39+B15</f>
        <v>11662</v>
      </c>
    </row>
    <row r="51" spans="1:2" x14ac:dyDescent="0.25">
      <c r="A51" s="60" t="s">
        <v>368</v>
      </c>
      <c r="B51" s="103"/>
    </row>
    <row r="52" spans="1:2" x14ac:dyDescent="0.25">
      <c r="A52" s="51" t="s">
        <v>369</v>
      </c>
      <c r="B52" s="103">
        <v>426</v>
      </c>
    </row>
    <row r="53" spans="1:2" x14ac:dyDescent="0.25">
      <c r="A53" s="51" t="s">
        <v>373</v>
      </c>
      <c r="B53" s="103">
        <v>5165</v>
      </c>
    </row>
    <row r="54" spans="1:2" x14ac:dyDescent="0.25">
      <c r="A54" s="51" t="s">
        <v>375</v>
      </c>
      <c r="B54" s="103">
        <v>3140</v>
      </c>
    </row>
    <row r="55" spans="1:2" ht="15.75" thickBot="1" x14ac:dyDescent="0.3">
      <c r="A55" s="57" t="s">
        <v>379</v>
      </c>
      <c r="B55" s="104">
        <v>2935</v>
      </c>
    </row>
    <row r="56" spans="1:2" x14ac:dyDescent="0.25">
      <c r="A56" s="51" t="s">
        <v>383</v>
      </c>
      <c r="B56" s="106">
        <f>SUM(B52:B55)</f>
        <v>11666</v>
      </c>
    </row>
    <row r="57" spans="1:2" ht="15.75" thickBot="1" x14ac:dyDescent="0.3">
      <c r="A57" s="57" t="s">
        <v>58</v>
      </c>
      <c r="B57" s="104">
        <v>-4</v>
      </c>
    </row>
    <row r="58" spans="1:2" ht="15.75" thickBot="1" x14ac:dyDescent="0.3">
      <c r="A58" s="108" t="s">
        <v>388</v>
      </c>
      <c r="B58" s="105">
        <f>SUM(B56:B57)</f>
        <v>11662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4923-396A-4884-A57F-B39D86A7A25A}">
  <dimension ref="B1:E70"/>
  <sheetViews>
    <sheetView showGridLines="0" workbookViewId="0">
      <selection activeCell="B27" sqref="B27"/>
    </sheetView>
  </sheetViews>
  <sheetFormatPr defaultRowHeight="15" x14ac:dyDescent="0.25"/>
  <cols>
    <col min="1" max="1" width="4.7109375" customWidth="1"/>
    <col min="2" max="2" width="81.140625" bestFit="1" customWidth="1"/>
    <col min="3" max="4" width="9.85546875" bestFit="1" customWidth="1"/>
    <col min="7" max="7" width="81.140625" bestFit="1" customWidth="1"/>
    <col min="8" max="8" width="18.140625" bestFit="1" customWidth="1"/>
  </cols>
  <sheetData>
    <row r="1" spans="2:5" x14ac:dyDescent="0.25">
      <c r="B1" s="114" t="s">
        <v>475</v>
      </c>
      <c r="C1" s="114"/>
      <c r="D1" s="114"/>
      <c r="E1" s="114"/>
    </row>
    <row r="2" spans="2:5" x14ac:dyDescent="0.25">
      <c r="B2" s="114"/>
      <c r="C2" s="114"/>
      <c r="D2" s="114"/>
      <c r="E2" s="114"/>
    </row>
    <row r="3" spans="2:5" ht="18.75" x14ac:dyDescent="0.3">
      <c r="B3" s="115" t="s">
        <v>478</v>
      </c>
      <c r="C3" s="115"/>
      <c r="D3" s="115"/>
      <c r="E3" s="115"/>
    </row>
    <row r="5" spans="2:5" x14ac:dyDescent="0.25">
      <c r="B5" t="s">
        <v>2</v>
      </c>
      <c r="C5" t="s">
        <v>0</v>
      </c>
      <c r="D5" t="s">
        <v>1</v>
      </c>
      <c r="E5" t="s">
        <v>438</v>
      </c>
    </row>
    <row r="6" spans="2:5" x14ac:dyDescent="0.25">
      <c r="B6" t="s">
        <v>4</v>
      </c>
      <c r="C6" s="19" t="s">
        <v>62</v>
      </c>
      <c r="D6" s="19" t="s">
        <v>62</v>
      </c>
      <c r="E6" s="19" t="s">
        <v>62</v>
      </c>
    </row>
    <row r="7" spans="2:5" x14ac:dyDescent="0.25">
      <c r="B7" t="s">
        <v>63</v>
      </c>
      <c r="C7" s="19" t="s">
        <v>4</v>
      </c>
      <c r="D7" s="19" t="s">
        <v>4</v>
      </c>
      <c r="E7" s="19"/>
    </row>
    <row r="8" spans="2:5" x14ac:dyDescent="0.25">
      <c r="B8" t="s">
        <v>64</v>
      </c>
      <c r="C8" s="19" t="s">
        <v>30</v>
      </c>
      <c r="D8" s="19" t="s">
        <v>31</v>
      </c>
      <c r="E8" s="19" t="s">
        <v>395</v>
      </c>
    </row>
    <row r="9" spans="2:5" x14ac:dyDescent="0.25">
      <c r="B9" t="s">
        <v>65</v>
      </c>
      <c r="C9" s="19" t="s">
        <v>66</v>
      </c>
      <c r="D9" s="19" t="s">
        <v>67</v>
      </c>
      <c r="E9" s="19" t="s">
        <v>402</v>
      </c>
    </row>
    <row r="10" spans="2:5" x14ac:dyDescent="0.25">
      <c r="B10" t="s">
        <v>68</v>
      </c>
      <c r="C10" s="19" t="s">
        <v>69</v>
      </c>
      <c r="D10" s="19" t="s">
        <v>70</v>
      </c>
      <c r="E10" s="19" t="s">
        <v>403</v>
      </c>
    </row>
    <row r="11" spans="2:5" x14ac:dyDescent="0.25">
      <c r="B11" t="s">
        <v>71</v>
      </c>
      <c r="C11" s="19" t="s">
        <v>72</v>
      </c>
      <c r="D11" s="19" t="s">
        <v>73</v>
      </c>
      <c r="E11" s="19" t="s">
        <v>134</v>
      </c>
    </row>
    <row r="12" spans="2:5" x14ac:dyDescent="0.25">
      <c r="B12" t="s">
        <v>74</v>
      </c>
      <c r="C12" s="19" t="s">
        <v>4</v>
      </c>
      <c r="D12" s="19" t="s">
        <v>4</v>
      </c>
      <c r="E12" s="19"/>
    </row>
    <row r="13" spans="2:5" x14ac:dyDescent="0.25">
      <c r="B13" t="s">
        <v>75</v>
      </c>
      <c r="C13" s="19" t="s">
        <v>76</v>
      </c>
      <c r="D13" s="19" t="s">
        <v>77</v>
      </c>
      <c r="E13" s="19" t="s">
        <v>76</v>
      </c>
    </row>
    <row r="14" spans="2:5" x14ac:dyDescent="0.25">
      <c r="B14" t="s">
        <v>78</v>
      </c>
      <c r="C14" s="19" t="s">
        <v>79</v>
      </c>
      <c r="D14" s="19" t="s">
        <v>76</v>
      </c>
      <c r="E14" s="19" t="s">
        <v>325</v>
      </c>
    </row>
    <row r="15" spans="2:5" x14ac:dyDescent="0.25">
      <c r="B15" t="s">
        <v>80</v>
      </c>
      <c r="C15" s="19" t="s">
        <v>81</v>
      </c>
      <c r="D15" s="19" t="s">
        <v>76</v>
      </c>
      <c r="E15" s="19" t="s">
        <v>88</v>
      </c>
    </row>
    <row r="16" spans="2:5" x14ac:dyDescent="0.25">
      <c r="B16" t="s">
        <v>82</v>
      </c>
      <c r="C16" s="19" t="s">
        <v>83</v>
      </c>
      <c r="D16" s="19" t="s">
        <v>84</v>
      </c>
      <c r="E16" s="19" t="s">
        <v>404</v>
      </c>
    </row>
    <row r="17" spans="2:5" x14ac:dyDescent="0.25">
      <c r="B17" t="s">
        <v>85</v>
      </c>
      <c r="C17" s="19" t="s">
        <v>4</v>
      </c>
      <c r="D17" s="19" t="s">
        <v>4</v>
      </c>
      <c r="E17" s="19"/>
    </row>
    <row r="18" spans="2:5" x14ac:dyDescent="0.25">
      <c r="B18" t="s">
        <v>86</v>
      </c>
      <c r="C18" s="19" t="s">
        <v>87</v>
      </c>
      <c r="D18" s="19" t="s">
        <v>88</v>
      </c>
      <c r="E18" s="19" t="s">
        <v>77</v>
      </c>
    </row>
    <row r="19" spans="2:5" x14ac:dyDescent="0.25">
      <c r="B19" t="s">
        <v>89</v>
      </c>
      <c r="C19" s="19" t="s">
        <v>90</v>
      </c>
      <c r="D19" s="19" t="s">
        <v>91</v>
      </c>
      <c r="E19" s="19" t="s">
        <v>405</v>
      </c>
    </row>
    <row r="20" spans="2:5" x14ac:dyDescent="0.25">
      <c r="B20" t="s">
        <v>92</v>
      </c>
      <c r="C20" s="19" t="s">
        <v>52</v>
      </c>
      <c r="D20" s="19" t="s">
        <v>93</v>
      </c>
      <c r="E20" s="19" t="s">
        <v>406</v>
      </c>
    </row>
    <row r="21" spans="2:5" x14ac:dyDescent="0.25">
      <c r="B21" t="s">
        <v>94</v>
      </c>
      <c r="C21" s="19" t="s">
        <v>95</v>
      </c>
      <c r="D21" s="19" t="s">
        <v>96</v>
      </c>
      <c r="E21" s="19" t="s">
        <v>83</v>
      </c>
    </row>
    <row r="22" spans="2:5" x14ac:dyDescent="0.25">
      <c r="B22" t="s">
        <v>97</v>
      </c>
      <c r="C22" s="19" t="s">
        <v>98</v>
      </c>
      <c r="D22" s="19" t="s">
        <v>99</v>
      </c>
      <c r="E22" s="19" t="s">
        <v>407</v>
      </c>
    </row>
    <row r="23" spans="2:5" x14ac:dyDescent="0.25">
      <c r="B23" t="s">
        <v>100</v>
      </c>
      <c r="C23" s="19" t="s">
        <v>101</v>
      </c>
      <c r="D23" s="19" t="s">
        <v>102</v>
      </c>
      <c r="E23" s="19" t="s">
        <v>408</v>
      </c>
    </row>
    <row r="24" spans="2:5" x14ac:dyDescent="0.25">
      <c r="B24" t="s">
        <v>103</v>
      </c>
      <c r="C24" s="19" t="s">
        <v>104</v>
      </c>
      <c r="D24" s="19" t="s">
        <v>105</v>
      </c>
      <c r="E24" s="19" t="s">
        <v>409</v>
      </c>
    </row>
    <row r="25" spans="2:5" x14ac:dyDescent="0.25">
      <c r="B25" t="s">
        <v>106</v>
      </c>
      <c r="C25" s="19" t="s">
        <v>107</v>
      </c>
      <c r="D25" s="19" t="s">
        <v>108</v>
      </c>
      <c r="E25" s="19" t="s">
        <v>410</v>
      </c>
    </row>
    <row r="26" spans="2:5" x14ac:dyDescent="0.25">
      <c r="B26" t="s">
        <v>109</v>
      </c>
      <c r="C26" s="19" t="s">
        <v>110</v>
      </c>
      <c r="D26" s="19" t="s">
        <v>111</v>
      </c>
      <c r="E26" s="19" t="s">
        <v>411</v>
      </c>
    </row>
    <row r="27" spans="2:5" x14ac:dyDescent="0.25">
      <c r="B27" t="s">
        <v>112</v>
      </c>
      <c r="C27" s="19" t="s">
        <v>113</v>
      </c>
      <c r="D27" s="19" t="s">
        <v>114</v>
      </c>
      <c r="E27" s="19" t="s">
        <v>412</v>
      </c>
    </row>
    <row r="28" spans="2:5" x14ac:dyDescent="0.25">
      <c r="B28" t="s">
        <v>115</v>
      </c>
      <c r="C28" s="19" t="s">
        <v>79</v>
      </c>
      <c r="D28" s="19" t="s">
        <v>116</v>
      </c>
      <c r="E28" s="19" t="s">
        <v>34</v>
      </c>
    </row>
    <row r="29" spans="2:5" x14ac:dyDescent="0.25">
      <c r="B29" t="s">
        <v>117</v>
      </c>
      <c r="C29" s="19" t="s">
        <v>118</v>
      </c>
      <c r="D29" s="19" t="s">
        <v>119</v>
      </c>
      <c r="E29" s="19" t="s">
        <v>413</v>
      </c>
    </row>
    <row r="30" spans="2:5" x14ac:dyDescent="0.25">
      <c r="B30" t="s">
        <v>120</v>
      </c>
      <c r="C30" s="19" t="s">
        <v>121</v>
      </c>
      <c r="D30" s="19" t="s">
        <v>122</v>
      </c>
      <c r="E30" s="19" t="s">
        <v>414</v>
      </c>
    </row>
    <row r="31" spans="2:5" x14ac:dyDescent="0.25">
      <c r="B31" t="s">
        <v>123</v>
      </c>
      <c r="C31" s="19" t="s">
        <v>124</v>
      </c>
      <c r="D31" s="19" t="s">
        <v>125</v>
      </c>
      <c r="E31" s="19" t="s">
        <v>193</v>
      </c>
    </row>
    <row r="32" spans="2:5" x14ac:dyDescent="0.25">
      <c r="B32" t="s">
        <v>126</v>
      </c>
      <c r="C32" s="19" t="s">
        <v>127</v>
      </c>
      <c r="D32" s="19" t="s">
        <v>128</v>
      </c>
      <c r="E32" s="19" t="s">
        <v>415</v>
      </c>
    </row>
    <row r="33" spans="2:5" x14ac:dyDescent="0.25">
      <c r="B33" t="s">
        <v>129</v>
      </c>
      <c r="C33" s="19" t="s">
        <v>130</v>
      </c>
      <c r="D33" s="19" t="s">
        <v>131</v>
      </c>
      <c r="E33" s="19" t="s">
        <v>416</v>
      </c>
    </row>
    <row r="34" spans="2:5" x14ac:dyDescent="0.25">
      <c r="B34" t="s">
        <v>132</v>
      </c>
      <c r="C34" s="19" t="s">
        <v>133</v>
      </c>
      <c r="D34" s="19" t="s">
        <v>134</v>
      </c>
      <c r="E34" s="19" t="s">
        <v>417</v>
      </c>
    </row>
    <row r="35" spans="2:5" ht="15.75" thickBot="1" x14ac:dyDescent="0.3">
      <c r="B35" s="11" t="s">
        <v>135</v>
      </c>
      <c r="C35" s="36" t="s">
        <v>136</v>
      </c>
      <c r="D35" s="36" t="s">
        <v>137</v>
      </c>
      <c r="E35" s="36" t="s">
        <v>418</v>
      </c>
    </row>
    <row r="36" spans="2:5" x14ac:dyDescent="0.25">
      <c r="B36" t="s">
        <v>138</v>
      </c>
      <c r="C36" s="19" t="s">
        <v>4</v>
      </c>
      <c r="D36" s="19" t="s">
        <v>4</v>
      </c>
      <c r="E36" s="19"/>
    </row>
    <row r="37" spans="2:5" x14ac:dyDescent="0.25">
      <c r="B37" t="s">
        <v>139</v>
      </c>
      <c r="C37" s="19" t="s">
        <v>140</v>
      </c>
      <c r="D37" s="19" t="s">
        <v>141</v>
      </c>
      <c r="E37" s="19" t="s">
        <v>419</v>
      </c>
    </row>
    <row r="38" spans="2:5" x14ac:dyDescent="0.25">
      <c r="B38" t="s">
        <v>142</v>
      </c>
      <c r="C38" s="19" t="s">
        <v>4</v>
      </c>
      <c r="D38" s="19" t="s">
        <v>4</v>
      </c>
      <c r="E38" s="19"/>
    </row>
    <row r="39" spans="2:5" x14ac:dyDescent="0.25">
      <c r="B39" t="s">
        <v>143</v>
      </c>
      <c r="C39" s="19" t="s">
        <v>144</v>
      </c>
      <c r="D39" s="19" t="s">
        <v>145</v>
      </c>
      <c r="E39" s="19" t="s">
        <v>420</v>
      </c>
    </row>
    <row r="40" spans="2:5" x14ac:dyDescent="0.25">
      <c r="B40" t="s">
        <v>146</v>
      </c>
      <c r="C40" s="19" t="s">
        <v>147</v>
      </c>
      <c r="D40" s="19" t="s">
        <v>148</v>
      </c>
      <c r="E40" s="19" t="s">
        <v>421</v>
      </c>
    </row>
    <row r="41" spans="2:5" x14ac:dyDescent="0.25">
      <c r="B41" t="s">
        <v>149</v>
      </c>
      <c r="C41" s="19" t="s">
        <v>150</v>
      </c>
      <c r="D41" s="19" t="s">
        <v>76</v>
      </c>
      <c r="E41" s="19" t="s">
        <v>422</v>
      </c>
    </row>
    <row r="42" spans="2:5" x14ac:dyDescent="0.25">
      <c r="B42" t="s">
        <v>151</v>
      </c>
      <c r="C42" s="19" t="s">
        <v>152</v>
      </c>
      <c r="D42" s="19" t="s">
        <v>153</v>
      </c>
      <c r="E42" s="19" t="s">
        <v>21</v>
      </c>
    </row>
    <row r="43" spans="2:5" x14ac:dyDescent="0.25">
      <c r="B43" t="s">
        <v>154</v>
      </c>
      <c r="C43" s="19" t="s">
        <v>155</v>
      </c>
      <c r="D43" s="19" t="s">
        <v>76</v>
      </c>
      <c r="E43" s="19" t="s">
        <v>150</v>
      </c>
    </row>
    <row r="44" spans="2:5" x14ac:dyDescent="0.25">
      <c r="B44" t="s">
        <v>156</v>
      </c>
      <c r="C44" s="19" t="s">
        <v>157</v>
      </c>
      <c r="D44" s="19" t="s">
        <v>59</v>
      </c>
      <c r="E44" s="19" t="s">
        <v>423</v>
      </c>
    </row>
    <row r="45" spans="2:5" x14ac:dyDescent="0.25">
      <c r="B45" t="s">
        <v>158</v>
      </c>
      <c r="C45" s="19" t="s">
        <v>79</v>
      </c>
      <c r="D45" s="19" t="s">
        <v>159</v>
      </c>
      <c r="E45" s="19" t="s">
        <v>330</v>
      </c>
    </row>
    <row r="46" spans="2:5" x14ac:dyDescent="0.25">
      <c r="B46" t="s">
        <v>160</v>
      </c>
      <c r="C46" s="19" t="s">
        <v>161</v>
      </c>
      <c r="D46" s="19" t="s">
        <v>162</v>
      </c>
      <c r="E46" s="19" t="s">
        <v>424</v>
      </c>
    </row>
    <row r="47" spans="2:5" x14ac:dyDescent="0.25">
      <c r="B47" t="s">
        <v>163</v>
      </c>
      <c r="C47" s="19" t="s">
        <v>164</v>
      </c>
      <c r="D47" s="19" t="s">
        <v>165</v>
      </c>
      <c r="E47" s="19" t="s">
        <v>425</v>
      </c>
    </row>
    <row r="48" spans="2:5" x14ac:dyDescent="0.25">
      <c r="B48" t="s">
        <v>166</v>
      </c>
      <c r="C48" s="19" t="s">
        <v>167</v>
      </c>
      <c r="D48" s="19" t="s">
        <v>168</v>
      </c>
      <c r="E48" s="19" t="s">
        <v>426</v>
      </c>
    </row>
    <row r="49" spans="2:5" x14ac:dyDescent="0.25">
      <c r="B49" t="s">
        <v>169</v>
      </c>
      <c r="C49" s="19" t="s">
        <v>155</v>
      </c>
      <c r="D49" s="19" t="s">
        <v>170</v>
      </c>
      <c r="E49" s="19" t="s">
        <v>267</v>
      </c>
    </row>
    <row r="50" spans="2:5" x14ac:dyDescent="0.25">
      <c r="B50" t="s">
        <v>171</v>
      </c>
      <c r="C50" s="19" t="s">
        <v>172</v>
      </c>
      <c r="D50" s="19" t="s">
        <v>96</v>
      </c>
      <c r="E50" s="19" t="s">
        <v>77</v>
      </c>
    </row>
    <row r="51" spans="2:5" x14ac:dyDescent="0.25">
      <c r="B51" t="s">
        <v>173</v>
      </c>
      <c r="C51" s="19" t="s">
        <v>174</v>
      </c>
      <c r="D51" s="19" t="s">
        <v>175</v>
      </c>
      <c r="E51" s="19" t="s">
        <v>76</v>
      </c>
    </row>
    <row r="52" spans="2:5" x14ac:dyDescent="0.25">
      <c r="B52" t="s">
        <v>176</v>
      </c>
      <c r="C52" s="19" t="s">
        <v>177</v>
      </c>
      <c r="D52" s="19" t="s">
        <v>178</v>
      </c>
      <c r="E52" s="19" t="s">
        <v>76</v>
      </c>
    </row>
    <row r="53" spans="2:5" ht="15.75" thickBot="1" x14ac:dyDescent="0.3">
      <c r="B53" s="10" t="s">
        <v>179</v>
      </c>
      <c r="C53" s="37" t="s">
        <v>180</v>
      </c>
      <c r="D53" s="37" t="s">
        <v>181</v>
      </c>
      <c r="E53" s="36" t="s">
        <v>427</v>
      </c>
    </row>
    <row r="54" spans="2:5" x14ac:dyDescent="0.25">
      <c r="B54" t="s">
        <v>182</v>
      </c>
      <c r="C54" s="19" t="s">
        <v>4</v>
      </c>
      <c r="D54" s="19" t="s">
        <v>4</v>
      </c>
      <c r="E54" s="19"/>
    </row>
    <row r="55" spans="2:5" x14ac:dyDescent="0.25">
      <c r="B55" t="s">
        <v>183</v>
      </c>
      <c r="C55" s="19" t="s">
        <v>184</v>
      </c>
      <c r="D55" s="19" t="s">
        <v>185</v>
      </c>
      <c r="E55" s="19" t="s">
        <v>147</v>
      </c>
    </row>
    <row r="56" spans="2:5" x14ac:dyDescent="0.25">
      <c r="B56" t="s">
        <v>186</v>
      </c>
      <c r="C56" s="19" t="s">
        <v>187</v>
      </c>
      <c r="D56" s="19" t="s">
        <v>188</v>
      </c>
      <c r="E56" s="19" t="s">
        <v>428</v>
      </c>
    </row>
    <row r="57" spans="2:5" x14ac:dyDescent="0.25">
      <c r="B57" t="s">
        <v>189</v>
      </c>
      <c r="C57" s="19" t="s">
        <v>190</v>
      </c>
      <c r="D57" s="19" t="s">
        <v>191</v>
      </c>
      <c r="E57" s="19" t="s">
        <v>429</v>
      </c>
    </row>
    <row r="58" spans="2:5" x14ac:dyDescent="0.25">
      <c r="B58" t="s">
        <v>192</v>
      </c>
      <c r="C58" s="19" t="s">
        <v>193</v>
      </c>
      <c r="D58" s="19" t="s">
        <v>194</v>
      </c>
      <c r="E58" s="19" t="s">
        <v>76</v>
      </c>
    </row>
    <row r="59" spans="2:5" x14ac:dyDescent="0.25">
      <c r="B59" t="s">
        <v>195</v>
      </c>
      <c r="C59" s="19" t="s">
        <v>196</v>
      </c>
      <c r="D59" s="19" t="s">
        <v>76</v>
      </c>
      <c r="E59" s="19" t="s">
        <v>430</v>
      </c>
    </row>
    <row r="60" spans="2:5" x14ac:dyDescent="0.25">
      <c r="B60" t="s">
        <v>197</v>
      </c>
      <c r="C60" s="19" t="s">
        <v>198</v>
      </c>
      <c r="D60" s="19" t="s">
        <v>199</v>
      </c>
      <c r="E60" s="19" t="s">
        <v>198</v>
      </c>
    </row>
    <row r="61" spans="2:5" x14ac:dyDescent="0.25">
      <c r="B61" t="s">
        <v>173</v>
      </c>
      <c r="C61" s="19" t="s">
        <v>67</v>
      </c>
      <c r="D61" s="19" t="s">
        <v>200</v>
      </c>
      <c r="E61" s="19" t="s">
        <v>431</v>
      </c>
    </row>
    <row r="62" spans="2:5" x14ac:dyDescent="0.25">
      <c r="B62" t="s">
        <v>176</v>
      </c>
      <c r="C62" s="19" t="s">
        <v>201</v>
      </c>
      <c r="D62" s="19" t="s">
        <v>202</v>
      </c>
      <c r="E62" s="19" t="s">
        <v>432</v>
      </c>
    </row>
    <row r="63" spans="2:5" x14ac:dyDescent="0.25">
      <c r="B63" t="s">
        <v>203</v>
      </c>
      <c r="C63" s="19" t="s">
        <v>204</v>
      </c>
      <c r="D63" s="19" t="s">
        <v>205</v>
      </c>
      <c r="E63" s="19" t="s">
        <v>433</v>
      </c>
    </row>
    <row r="64" spans="2:5" ht="15.75" thickBot="1" x14ac:dyDescent="0.3">
      <c r="B64" s="11" t="s">
        <v>206</v>
      </c>
      <c r="C64" s="36" t="s">
        <v>207</v>
      </c>
      <c r="D64" s="36" t="s">
        <v>208</v>
      </c>
      <c r="E64" s="36" t="s">
        <v>434</v>
      </c>
    </row>
    <row r="65" spans="2:5" x14ac:dyDescent="0.25">
      <c r="B65" t="s">
        <v>209</v>
      </c>
      <c r="C65" s="19" t="s">
        <v>210</v>
      </c>
      <c r="D65" s="19" t="s">
        <v>211</v>
      </c>
      <c r="E65" s="19" t="s">
        <v>435</v>
      </c>
    </row>
    <row r="66" spans="2:5" x14ac:dyDescent="0.25">
      <c r="B66" t="s">
        <v>212</v>
      </c>
      <c r="C66" s="19" t="s">
        <v>213</v>
      </c>
      <c r="D66" s="19" t="s">
        <v>214</v>
      </c>
      <c r="E66" s="19" t="s">
        <v>436</v>
      </c>
    </row>
    <row r="67" spans="2:5" x14ac:dyDescent="0.25">
      <c r="B67" t="s">
        <v>215</v>
      </c>
      <c r="C67" s="19" t="s">
        <v>216</v>
      </c>
      <c r="D67" s="19" t="s">
        <v>217</v>
      </c>
      <c r="E67" s="19" t="s">
        <v>437</v>
      </c>
    </row>
    <row r="68" spans="2:5" x14ac:dyDescent="0.25">
      <c r="B68" t="s">
        <v>218</v>
      </c>
      <c r="C68" s="19" t="s">
        <v>219</v>
      </c>
      <c r="D68" s="19" t="s">
        <v>213</v>
      </c>
      <c r="E68" s="38" t="s">
        <v>214</v>
      </c>
    </row>
    <row r="69" spans="2:5" x14ac:dyDescent="0.25">
      <c r="B69" t="s">
        <v>220</v>
      </c>
      <c r="C69" s="19" t="s">
        <v>221</v>
      </c>
      <c r="D69" s="19" t="s">
        <v>76</v>
      </c>
      <c r="E69" s="19"/>
    </row>
    <row r="70" spans="2:5" ht="15.75" thickBot="1" x14ac:dyDescent="0.3">
      <c r="B70" s="10" t="s">
        <v>222</v>
      </c>
      <c r="C70" s="37" t="s">
        <v>223</v>
      </c>
      <c r="D70" s="37" t="s">
        <v>213</v>
      </c>
      <c r="E70" s="37" t="s">
        <v>214</v>
      </c>
    </row>
  </sheetData>
  <mergeCells count="2">
    <mergeCell ref="B1:E2"/>
    <mergeCell ref="B3:E3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34DD-9A9A-4F47-B14C-BA2ABEAD21E8}">
  <dimension ref="B2:J45"/>
  <sheetViews>
    <sheetView showGridLines="0" tabSelected="1" workbookViewId="0"/>
  </sheetViews>
  <sheetFormatPr defaultRowHeight="15" x14ac:dyDescent="0.25"/>
  <cols>
    <col min="1" max="1" width="4.42578125" customWidth="1"/>
    <col min="2" max="2" width="30.28515625" customWidth="1"/>
    <col min="3" max="3" width="13.140625" customWidth="1"/>
    <col min="4" max="4" width="13.140625" style="19" customWidth="1"/>
    <col min="5" max="5" width="11.5703125" style="6" bestFit="1" customWidth="1"/>
    <col min="6" max="7" width="10.7109375" style="6" bestFit="1" customWidth="1"/>
    <col min="8" max="8" width="7.42578125" bestFit="1" customWidth="1"/>
  </cols>
  <sheetData>
    <row r="2" spans="2:10" ht="26.25" x14ac:dyDescent="0.4">
      <c r="B2" s="121" t="s">
        <v>481</v>
      </c>
      <c r="C2" s="121"/>
      <c r="D2" s="121"/>
      <c r="E2" s="121"/>
      <c r="F2" s="121"/>
      <c r="G2" s="121"/>
    </row>
    <row r="3" spans="2:10" ht="15" customHeight="1" x14ac:dyDescent="0.25">
      <c r="B3" s="120" t="s">
        <v>479</v>
      </c>
      <c r="C3" s="120"/>
      <c r="D3" s="120"/>
      <c r="E3" s="120"/>
      <c r="F3" s="120"/>
      <c r="G3" s="120"/>
      <c r="H3" s="20"/>
    </row>
    <row r="4" spans="2:10" ht="15" customHeight="1" x14ac:dyDescent="0.25">
      <c r="B4" s="120"/>
      <c r="C4" s="120"/>
      <c r="D4" s="120"/>
      <c r="E4" s="120"/>
      <c r="F4" s="120"/>
      <c r="G4" s="120"/>
      <c r="H4" s="20"/>
    </row>
    <row r="7" spans="2:10" ht="15.75" x14ac:dyDescent="0.25">
      <c r="B7" s="9" t="s">
        <v>446</v>
      </c>
      <c r="C7" s="9"/>
      <c r="D7" s="122" t="s">
        <v>497</v>
      </c>
      <c r="E7" s="25" t="s">
        <v>0</v>
      </c>
      <c r="F7" s="25" t="s">
        <v>1</v>
      </c>
      <c r="G7" s="25" t="s">
        <v>447</v>
      </c>
    </row>
    <row r="8" spans="2:10" ht="18.75" x14ac:dyDescent="0.3">
      <c r="B8" s="13"/>
      <c r="C8" s="13"/>
      <c r="D8" s="123"/>
      <c r="E8" s="26"/>
      <c r="F8" s="26"/>
      <c r="G8" s="26"/>
    </row>
    <row r="9" spans="2:10" x14ac:dyDescent="0.25">
      <c r="B9" t="s">
        <v>448</v>
      </c>
      <c r="D9" s="4">
        <f>'P&amp;L 2022-25'!C15/'P&amp;L 2022-25'!C10</f>
        <v>7.2243835459694497E-2</v>
      </c>
      <c r="E9" s="4">
        <f>'P&amp;L 2022-25'!D15/'P&amp;L 2022-25'!D10</f>
        <v>7.1113262058750196E-2</v>
      </c>
      <c r="F9" s="4">
        <f>'P&amp;L 2022-25'!E15/'P&amp;L 2022-25'!E10</f>
        <v>5.1452803037261567E-2</v>
      </c>
      <c r="G9" s="4">
        <f>'P&amp;L 2022-25'!F15/'P&amp;L 2022-25'!F10</f>
        <v>7.5524908711528435E-2</v>
      </c>
    </row>
    <row r="10" spans="2:10" x14ac:dyDescent="0.25">
      <c r="B10" t="s">
        <v>440</v>
      </c>
      <c r="D10" s="4">
        <f>'P&amp;L 2022-25'!C17/'P&amp;L 2022-25'!C10</f>
        <v>3.8775101550431949E-2</v>
      </c>
      <c r="E10" s="4">
        <f>'P&amp;L 2022-25'!D17/'P&amp;L 2022-25'!D10</f>
        <v>4.1371522430961913E-2</v>
      </c>
      <c r="F10" s="4">
        <f>'P&amp;L 2022-25'!E17/'P&amp;L 2022-25'!E10</f>
        <v>2.1585377055203452E-2</v>
      </c>
      <c r="G10" s="4">
        <f>'P&amp;L 2022-25'!F17/'P&amp;L 2022-25'!F10</f>
        <v>4.1731872717788214E-2</v>
      </c>
    </row>
    <row r="11" spans="2:10" x14ac:dyDescent="0.25">
      <c r="B11" t="s">
        <v>439</v>
      </c>
      <c r="D11" s="4">
        <f>'P&amp;L 2022-25'!C25/'P&amp;L 2022-25'!C10</f>
        <v>2.3313690714571771E-2</v>
      </c>
      <c r="E11" s="4">
        <f>'P&amp;L 2022-25'!D25/'P&amp;L 2022-25'!D10</f>
        <v>1.7481338084972209E-2</v>
      </c>
      <c r="F11" s="4">
        <f>'P&amp;L 2022-25'!E25/'P&amp;L 2022-25'!E10</f>
        <v>1.1267260647255136E-2</v>
      </c>
      <c r="G11" s="4">
        <f>'P&amp;L 2022-25'!F25/'P&amp;L 2022-25'!F10</f>
        <v>2.4175143453312467E-2</v>
      </c>
    </row>
    <row r="12" spans="2:10" x14ac:dyDescent="0.25">
      <c r="B12" t="s">
        <v>480</v>
      </c>
      <c r="D12" s="27">
        <f>'P&amp;L 2022-25'!C10/'Balance Sheet 2022-24'!C34</f>
        <v>1.7977886346104397</v>
      </c>
      <c r="E12" s="27">
        <f>'P&amp;L 2022-25'!D10/'Balance Sheet 2022-24'!D34</f>
        <v>1.4495843874232019</v>
      </c>
      <c r="F12" s="27">
        <f>'P&amp;L 2022-25'!E10/'Balance Sheet 2022-24'!E34</f>
        <v>1.4241301124967298</v>
      </c>
      <c r="G12" s="27">
        <f>'P&amp;L 2022-25'!F10/'Balance Sheet 2022-24'!F34</f>
        <v>1.2484278649490201</v>
      </c>
    </row>
    <row r="13" spans="2:10" x14ac:dyDescent="0.25">
      <c r="B13" t="s">
        <v>449</v>
      </c>
      <c r="D13" s="4">
        <f>'P&amp;L 2022-25'!C25/'Balance Sheet 2022-24'!C66</f>
        <v>0.13977019379180244</v>
      </c>
      <c r="E13" s="4">
        <f>'P&amp;L 2022-25'!D25/'Balance Sheet 2022-24'!D66</f>
        <v>0.10218602657522503</v>
      </c>
      <c r="F13" s="4">
        <f>'P&amp;L 2022-25'!E25/'Balance Sheet 2022-24'!E66</f>
        <v>6.0204498977505114E-2</v>
      </c>
      <c r="G13" s="4">
        <f>'P&amp;L 2022-25'!F25/'Balance Sheet 2022-24'!F66</f>
        <v>9.4869498464687826E-2</v>
      </c>
      <c r="H13" s="23"/>
      <c r="I13" s="23"/>
      <c r="J13" s="24"/>
    </row>
    <row r="14" spans="2:10" x14ac:dyDescent="0.25">
      <c r="B14" t="s">
        <v>445</v>
      </c>
      <c r="D14" s="4">
        <f>D12*D10</f>
        <v>6.9709436873232195E-2</v>
      </c>
      <c r="E14" s="4">
        <f>E12*E10</f>
        <v>5.9971512999851186E-2</v>
      </c>
      <c r="F14" s="4">
        <f t="shared" ref="F14:G14" si="0">F12*F10</f>
        <v>3.0740385453911223E-2</v>
      </c>
      <c r="G14" s="4">
        <f t="shared" si="0"/>
        <v>5.2099232757392602E-2</v>
      </c>
      <c r="H14" s="23"/>
      <c r="I14" s="23"/>
    </row>
    <row r="15" spans="2:10" x14ac:dyDescent="0.25">
      <c r="E15" s="19"/>
      <c r="F15" s="19"/>
      <c r="G15" s="19"/>
    </row>
    <row r="16" spans="2:10" x14ac:dyDescent="0.25">
      <c r="E16" s="19"/>
      <c r="F16" s="19"/>
      <c r="G16" s="19"/>
    </row>
    <row r="17" spans="2:7" x14ac:dyDescent="0.25">
      <c r="E17" s="19"/>
      <c r="F17" s="19"/>
      <c r="G17" s="19"/>
    </row>
    <row r="18" spans="2:7" x14ac:dyDescent="0.25">
      <c r="E18" s="19"/>
      <c r="F18" s="19"/>
      <c r="G18" s="19"/>
    </row>
    <row r="19" spans="2:7" ht="15.75" x14ac:dyDescent="0.25">
      <c r="B19" s="9" t="s">
        <v>450</v>
      </c>
      <c r="C19" s="9"/>
      <c r="D19" s="122" t="s">
        <v>497</v>
      </c>
      <c r="E19" s="25" t="s">
        <v>0</v>
      </c>
      <c r="F19" s="25" t="s">
        <v>1</v>
      </c>
      <c r="G19" s="25" t="s">
        <v>447</v>
      </c>
    </row>
    <row r="20" spans="2:7" x14ac:dyDescent="0.25">
      <c r="E20" s="19"/>
      <c r="F20" s="19"/>
      <c r="G20" s="19"/>
    </row>
    <row r="21" spans="2:7" x14ac:dyDescent="0.25">
      <c r="B21" t="s">
        <v>451</v>
      </c>
      <c r="D21" s="28">
        <f>'Balance Sheet 2022-24'!C33/'Balance Sheet 2022-24'!C47*-1</f>
        <v>0.64081041968162089</v>
      </c>
      <c r="E21" s="28">
        <f>'Balance Sheet 2022-24'!D33/'Balance Sheet 2022-24'!D47*-1</f>
        <v>0.81115670183665489</v>
      </c>
      <c r="F21" s="28">
        <f>'Balance Sheet 2022-24'!E33/'Balance Sheet 2022-24'!E47*-1</f>
        <v>0.70806360022714365</v>
      </c>
      <c r="G21" s="28">
        <f>'Balance Sheet 2022-24'!F33/'Balance Sheet 2022-24'!F47*-1</f>
        <v>0.75079872204472842</v>
      </c>
    </row>
    <row r="22" spans="2:7" x14ac:dyDescent="0.25">
      <c r="B22" t="s">
        <v>452</v>
      </c>
      <c r="D22" s="27">
        <f>('Balance Sheet 2022-24'!C33-'Balance Sheet 2022-24'!C23)/'Balance Sheet 2022-24'!C47*-1</f>
        <v>0.44052098408104196</v>
      </c>
      <c r="E22" s="27">
        <f>('Balance Sheet 2022-24'!D33-'Balance Sheet 2022-24'!D23)/'Balance Sheet 2022-24'!D47*-1</f>
        <v>0.68244431418522855</v>
      </c>
      <c r="F22" s="27">
        <f>('Balance Sheet 2022-24'!E33-'Balance Sheet 2022-24'!E23)/'Balance Sheet 2022-24'!E47*-1</f>
        <v>0.56553094832481543</v>
      </c>
      <c r="G22" s="27">
        <f>('Balance Sheet 2022-24'!F33-'Balance Sheet 2022-24'!F23)/'Balance Sheet 2022-24'!F47*-1</f>
        <v>0.60427237987846893</v>
      </c>
    </row>
    <row r="23" spans="2:7" x14ac:dyDescent="0.25">
      <c r="B23" t="s">
        <v>453</v>
      </c>
      <c r="D23" s="29">
        <f>Balance_Sheet2324[[#This Row],[FY 25]]/'Balance Sheet 2022-24'!C47*-1</f>
        <v>0.20028943560057888</v>
      </c>
      <c r="E23" s="29">
        <f>Balance_Sheet2324[[#This Row],[FY 24]]/'Balance Sheet 2022-24'!D47*-1</f>
        <v>0.12871238765142634</v>
      </c>
      <c r="F23" s="29">
        <f>Balance_Sheet2324[[#This Row],[FY 23]]/'Balance Sheet 2022-24'!E47*-1</f>
        <v>0.14253265190232822</v>
      </c>
      <c r="G23" s="29">
        <f>Balance_Sheet2324[[#This Row],[FY 22]]/'Balance Sheet 2022-24'!F47*-1</f>
        <v>0.14652634216625948</v>
      </c>
    </row>
    <row r="24" spans="2:7" x14ac:dyDescent="0.25">
      <c r="E24" s="19"/>
      <c r="F24" s="19"/>
      <c r="G24" s="19"/>
    </row>
    <row r="25" spans="2:7" x14ac:dyDescent="0.25">
      <c r="E25" s="19"/>
      <c r="F25" s="19"/>
      <c r="G25" s="19"/>
    </row>
    <row r="26" spans="2:7" x14ac:dyDescent="0.25">
      <c r="E26" s="19"/>
      <c r="F26" s="19"/>
      <c r="G26" s="19"/>
    </row>
    <row r="27" spans="2:7" ht="15.75" x14ac:dyDescent="0.25">
      <c r="B27" s="9" t="s">
        <v>454</v>
      </c>
      <c r="C27" s="9"/>
      <c r="D27" s="122" t="s">
        <v>497</v>
      </c>
      <c r="E27" s="25" t="s">
        <v>0</v>
      </c>
      <c r="F27" s="25" t="s">
        <v>1</v>
      </c>
      <c r="G27" s="25" t="s">
        <v>447</v>
      </c>
    </row>
    <row r="28" spans="2:7" x14ac:dyDescent="0.25">
      <c r="E28" s="19"/>
      <c r="F28" s="19"/>
      <c r="G28" s="19"/>
    </row>
    <row r="29" spans="2:7" x14ac:dyDescent="0.25">
      <c r="B29" t="s">
        <v>455</v>
      </c>
      <c r="D29" s="27">
        <f>'P&amp;L 2022-25'!C11/'Balance Sheet 2022-24'!C23*-1</f>
        <v>23.195447976878611</v>
      </c>
      <c r="E29" s="27">
        <f>'P&amp;L 2022-25'!D11/'Balance Sheet 2022-24'!D23*-1</f>
        <v>23.846679316888046</v>
      </c>
      <c r="F29" s="27">
        <f>'P&amp;L 2022-25'!E11/'Balance Sheet 2022-24'!E23*-1</f>
        <v>24.508366533864542</v>
      </c>
      <c r="G29" s="27">
        <f>'P&amp;L 2022-25'!F11/'Balance Sheet 2022-24'!F23*-1</f>
        <v>24.262505344164172</v>
      </c>
    </row>
    <row r="30" spans="2:7" x14ac:dyDescent="0.25">
      <c r="B30" t="s">
        <v>461</v>
      </c>
      <c r="D30" s="27">
        <f>365/D29</f>
        <v>15.735846117903591</v>
      </c>
      <c r="E30" s="27">
        <f>365/E29</f>
        <v>15.306114329365331</v>
      </c>
      <c r="F30" s="27">
        <f t="shared" ref="F30:G30" si="1">365/F29</f>
        <v>14.892873398790558</v>
      </c>
      <c r="G30" s="27">
        <f t="shared" si="1"/>
        <v>15.043788546255508</v>
      </c>
    </row>
    <row r="31" spans="2:7" x14ac:dyDescent="0.25">
      <c r="B31" t="s">
        <v>456</v>
      </c>
      <c r="D31" s="27">
        <f>'P&amp;L 2022-25'!C10/'Balance Sheet 2022-24'!C24</f>
        <v>107.23312883435582</v>
      </c>
      <c r="E31" s="27">
        <f>'P&amp;L 2022-25'!D10/'Balance Sheet 2022-24'!D24</f>
        <v>118.38020833333333</v>
      </c>
      <c r="F31" s="27">
        <f>'P&amp;L 2022-25'!E10/'Balance Sheet 2022-24'!E24</f>
        <v>123.01694915254237</v>
      </c>
      <c r="G31" s="27">
        <f>'P&amp;L 2022-25'!F10/'Balance Sheet 2022-24'!F24</f>
        <v>134.23194748358861</v>
      </c>
    </row>
    <row r="32" spans="2:7" x14ac:dyDescent="0.25">
      <c r="B32" t="s">
        <v>460</v>
      </c>
      <c r="D32" s="27">
        <f>365/D31</f>
        <v>3.4037988443274787</v>
      </c>
      <c r="E32" s="27">
        <f>365/E31</f>
        <v>3.0832856702890581</v>
      </c>
      <c r="F32" s="27">
        <f t="shared" ref="F32" si="2">365/F31</f>
        <v>2.9670708184072749</v>
      </c>
      <c r="G32" s="27">
        <f>365/G31</f>
        <v>2.7191738393322904</v>
      </c>
    </row>
    <row r="33" spans="2:7" x14ac:dyDescent="0.25">
      <c r="B33" t="s">
        <v>462</v>
      </c>
      <c r="D33" s="27">
        <f>'P&amp;L 2022-25'!C11/('Balance Sheet 2022-24'!C37)</f>
        <v>9.5942916915720264</v>
      </c>
      <c r="E33" s="27">
        <f>'P&amp;L 2022-25'!D11/('Balance Sheet 2022-24'!D37)</f>
        <v>9.4575556893437689</v>
      </c>
      <c r="F33" s="27">
        <f>'P&amp;L 2022-25'!E11/'Balance Sheet 2022-24'!E37</f>
        <v>9.6738480893222203</v>
      </c>
      <c r="G33" s="27">
        <f>'P&amp;L 2022-25'!F11/'Balance Sheet 2022-24'!F37</f>
        <v>10.060273001240915</v>
      </c>
    </row>
    <row r="34" spans="2:7" x14ac:dyDescent="0.25">
      <c r="B34" t="s">
        <v>463</v>
      </c>
      <c r="D34" s="27">
        <f>365/D33</f>
        <v>38.043454559613735</v>
      </c>
      <c r="E34" s="27">
        <f>365/E33</f>
        <v>38.593481443758357</v>
      </c>
      <c r="F34" s="27">
        <f t="shared" ref="F34:G34" si="3">365/F33</f>
        <v>37.730590415501659</v>
      </c>
      <c r="G34" s="27">
        <f t="shared" si="3"/>
        <v>36.281321585903079</v>
      </c>
    </row>
    <row r="35" spans="2:7" x14ac:dyDescent="0.25">
      <c r="B35" t="s">
        <v>464</v>
      </c>
      <c r="D35" s="27">
        <f>D30+D32-D34</f>
        <v>-18.903809597382665</v>
      </c>
      <c r="E35" s="27">
        <f>E30+E32-E34</f>
        <v>-20.20408144410397</v>
      </c>
      <c r="F35" s="27">
        <f t="shared" ref="F35:G35" si="4">F30+F32-F34</f>
        <v>-19.870646198303827</v>
      </c>
      <c r="G35" s="27">
        <f t="shared" si="4"/>
        <v>-18.518359200315281</v>
      </c>
    </row>
    <row r="36" spans="2:7" x14ac:dyDescent="0.25">
      <c r="E36" s="19"/>
      <c r="F36" s="19"/>
      <c r="G36" s="19"/>
    </row>
    <row r="37" spans="2:7" x14ac:dyDescent="0.25">
      <c r="E37" s="19"/>
      <c r="F37" s="19"/>
      <c r="G37" s="19"/>
    </row>
    <row r="38" spans="2:7" ht="15.75" x14ac:dyDescent="0.25">
      <c r="B38" s="9" t="s">
        <v>465</v>
      </c>
      <c r="C38" s="9"/>
      <c r="D38" s="122" t="s">
        <v>497</v>
      </c>
      <c r="E38" s="25" t="s">
        <v>0</v>
      </c>
      <c r="F38" s="25" t="s">
        <v>1</v>
      </c>
      <c r="G38" s="25" t="s">
        <v>447</v>
      </c>
    </row>
    <row r="39" spans="2:7" x14ac:dyDescent="0.25">
      <c r="E39" s="19"/>
      <c r="F39" s="19"/>
      <c r="G39" s="19"/>
    </row>
    <row r="40" spans="2:7" x14ac:dyDescent="0.25">
      <c r="E40" s="19"/>
      <c r="F40" s="19"/>
      <c r="G40" s="19"/>
    </row>
    <row r="41" spans="2:7" x14ac:dyDescent="0.25">
      <c r="B41" t="s">
        <v>466</v>
      </c>
      <c r="D41" s="27">
        <f>'Balance Sheet 2022-24'!C58/'Balance Sheet 2022-24'!C66*-1</f>
        <v>2.3347624764191393</v>
      </c>
      <c r="E41" s="27">
        <f>'Balance Sheet 2022-24'!D58/'Balance Sheet 2022-24'!D66*-1</f>
        <v>3.0324903557651095</v>
      </c>
      <c r="F41" s="27">
        <f>'Balance Sheet 2022-24'!E58/'Balance Sheet 2022-24'!E66*-1</f>
        <v>2.7519836400817996</v>
      </c>
      <c r="G41" s="27">
        <f>'Balance Sheet 2022-24'!F58/'Balance Sheet 2022-24'!F66*-1</f>
        <v>2.1433597748208801</v>
      </c>
    </row>
    <row r="42" spans="2:7" x14ac:dyDescent="0.25">
      <c r="B42" t="s">
        <v>467</v>
      </c>
      <c r="D42" s="4">
        <f>'Balance Sheet 2022-24'!C58/'Balance Sheet 2022-24'!C34*-1</f>
        <v>0.70012856775520704</v>
      </c>
      <c r="E42" s="4">
        <f>'Balance Sheet 2022-24'!D58/'Balance Sheet 2022-24'!D34*-1</f>
        <v>0.75201428601798503</v>
      </c>
      <c r="F42" s="4">
        <f>'Balance Sheet 2022-24'!E58/'Balance Sheet 2022-24'!E34*-1</f>
        <v>0.73347431760704629</v>
      </c>
      <c r="G42" s="4">
        <f>'Balance Sheet 2022-24'!F58/'Balance Sheet 2022-24'!F34*-1</f>
        <v>0.68186905997517144</v>
      </c>
    </row>
    <row r="43" spans="2:7" x14ac:dyDescent="0.25">
      <c r="B43" t="s">
        <v>468</v>
      </c>
      <c r="D43" s="27">
        <f>'P&amp;L 2022-25'!C17/'P&amp;L 2022-25'!C20*-1</f>
        <v>3.6340482573726542</v>
      </c>
      <c r="E43" s="27">
        <f>'P&amp;L 2022-25'!D17/'P&amp;L 2022-25'!D20*-1</f>
        <v>3.5043478260869567</v>
      </c>
      <c r="F43" s="27">
        <f>'P&amp;L 2022-25'!E17/'P&amp;L 2022-25'!E20*-1</f>
        <v>2.263242375601926</v>
      </c>
      <c r="G43" s="27">
        <f>'P&amp;L 2022-25'!F17/'P&amp;L 2022-25'!F20*-1</f>
        <v>4.6460980036297643</v>
      </c>
    </row>
    <row r="44" spans="2:7" x14ac:dyDescent="0.25">
      <c r="B44" t="s">
        <v>469</v>
      </c>
      <c r="D44" s="4">
        <f>'Balance Sheet 2022-24'!C66/'Balance Sheet 2022-24'!C34</f>
        <v>0.29987143224479301</v>
      </c>
      <c r="E44" s="4">
        <f>'Balance Sheet 2022-24'!D66/'Balance Sheet 2022-24'!D34</f>
        <v>0.24798571398201491</v>
      </c>
      <c r="F44" s="4">
        <f>'Balance Sheet 2022-24'!E66/'Balance Sheet 2022-24'!E34</f>
        <v>0.26652568239295371</v>
      </c>
      <c r="G44" s="4">
        <f>'Balance Sheet 2022-24'!F66/'Balance Sheet 2022-24'!F34</f>
        <v>0.31813094002482856</v>
      </c>
    </row>
    <row r="45" spans="2:7" x14ac:dyDescent="0.25">
      <c r="B45" t="s">
        <v>470</v>
      </c>
      <c r="D45" s="30">
        <f>'Balance Sheet 2022-24'!C57/('Balance Sheet 2022-24'!C66*-1+'Balance Sheet 2022-24'!C57)</f>
        <v>0.53482249700837659</v>
      </c>
      <c r="E45" s="30">
        <f>'Balance Sheet 2022-24'!D57/('Balance Sheet 2022-24'!D66*-1+'Balance Sheet 2022-24'!D57)</f>
        <v>0.5609214438965634</v>
      </c>
      <c r="F45" s="30">
        <f>'Balance Sheet 2022-24'!E57/('Balance Sheet 2022-24'!E66*-1+'Balance Sheet 2022-24'!E57)</f>
        <v>0.56737914926746413</v>
      </c>
      <c r="G45" s="30">
        <f>'Balance Sheet 2022-24'!F57/('Balance Sheet 2022-24'!F66*-1+'Balance Sheet 2022-24'!F57)</f>
        <v>0.52878760475070841</v>
      </c>
    </row>
  </sheetData>
  <mergeCells count="2">
    <mergeCell ref="B3:G4"/>
    <mergeCell ref="B2:G2"/>
  </mergeCells>
  <pageMargins left="0.7" right="0.7" top="0.75" bottom="0.75" header="0.3" footer="0.3"/>
  <ignoredErrors>
    <ignoredError sqref="D31:G31 D33:G33" formula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CFA07F2-C666-4BBE-B5ED-86A712EA52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Analysis'!D41:G41</xm:f>
              <xm:sqref>C41</xm:sqref>
            </x14:sparkline>
            <x14:sparkline>
              <xm:f>'Ratio Analysis'!D42:G42</xm:f>
              <xm:sqref>C42</xm:sqref>
            </x14:sparkline>
            <x14:sparkline>
              <xm:f>'Ratio Analysis'!D43:G43</xm:f>
              <xm:sqref>C43</xm:sqref>
            </x14:sparkline>
            <x14:sparkline>
              <xm:f>'Ratio Analysis'!D44:G44</xm:f>
              <xm:sqref>C44</xm:sqref>
            </x14:sparkline>
            <x14:sparkline>
              <xm:f>'Ratio Analysis'!D45:G45</xm:f>
              <xm:sqref>C45</xm:sqref>
            </x14:sparkline>
          </x14:sparklines>
        </x14:sparklineGroup>
        <x14:sparklineGroup displayEmptyCellsAs="gap" xr2:uid="{3FA69146-D180-4BF7-A9D2-F0B121B17D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Analysis'!D29:G29</xm:f>
              <xm:sqref>C29</xm:sqref>
            </x14:sparkline>
            <x14:sparkline>
              <xm:f>'Ratio Analysis'!D30:G30</xm:f>
              <xm:sqref>C30</xm:sqref>
            </x14:sparkline>
            <x14:sparkline>
              <xm:f>'Ratio Analysis'!D31:G31</xm:f>
              <xm:sqref>C31</xm:sqref>
            </x14:sparkline>
            <x14:sparkline>
              <xm:f>'Ratio Analysis'!D32:G32</xm:f>
              <xm:sqref>C32</xm:sqref>
            </x14:sparkline>
            <x14:sparkline>
              <xm:f>'Ratio Analysis'!D33:G33</xm:f>
              <xm:sqref>C33</xm:sqref>
            </x14:sparkline>
            <x14:sparkline>
              <xm:f>'Ratio Analysis'!D34:G34</xm:f>
              <xm:sqref>C34</xm:sqref>
            </x14:sparkline>
            <x14:sparkline>
              <xm:f>'Ratio Analysis'!D35:G35</xm:f>
              <xm:sqref>C35</xm:sqref>
            </x14:sparkline>
          </x14:sparklines>
        </x14:sparklineGroup>
        <x14:sparklineGroup displayEmptyCellsAs="gap" xr2:uid="{2D99683E-9200-4235-A0B1-7FD0DFA06F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Analysis'!D23:G23</xm:f>
              <xm:sqref>C23</xm:sqref>
            </x14:sparkline>
          </x14:sparklines>
        </x14:sparklineGroup>
        <x14:sparklineGroup displayEmptyCellsAs="gap" xr2:uid="{48FCED35-C89E-4BB5-94D2-1EA795D8E2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Analysis'!D22:G22</xm:f>
              <xm:sqref>C22</xm:sqref>
            </x14:sparkline>
          </x14:sparklines>
        </x14:sparklineGroup>
        <x14:sparklineGroup displayEmptyCellsAs="gap" xr2:uid="{377C2B2A-236A-4DE6-86E3-7E7166E7BA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Analysis'!D21:G21</xm:f>
              <xm:sqref>C21</xm:sqref>
            </x14:sparkline>
          </x14:sparklines>
        </x14:sparklineGroup>
        <x14:sparklineGroup displayEmptyCellsAs="gap" xr2:uid="{A0E3C9CB-F121-4962-92C3-21BD18206F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Analysis'!D9:G9</xm:f>
              <xm:sqref>C9</xm:sqref>
            </x14:sparkline>
            <x14:sparkline>
              <xm:f>'Ratio Analysis'!D10:G10</xm:f>
              <xm:sqref>C10</xm:sqref>
            </x14:sparkline>
            <x14:sparkline>
              <xm:f>'Ratio Analysis'!D11:G11</xm:f>
              <xm:sqref>C11</xm:sqref>
            </x14:sparkline>
            <x14:sparkline>
              <xm:f>'Ratio Analysis'!D12:G12</xm:f>
              <xm:sqref>C12</xm:sqref>
            </x14:sparkline>
            <x14:sparkline>
              <xm:f>'Ratio Analysis'!D13:G13</xm:f>
              <xm:sqref>C13</xm:sqref>
            </x14:sparkline>
            <x14:sparkline>
              <xm:f>'Ratio Analysis'!D14:G14</xm:f>
              <xm:sqref>C14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96C9-5E08-4058-8910-53D42CDE8A9E}">
  <dimension ref="A1"/>
  <sheetViews>
    <sheetView showGridLines="0" workbookViewId="0">
      <selection activeCell="S15" sqref="S15"/>
    </sheetView>
  </sheetViews>
  <sheetFormatPr defaultRowHeight="15" x14ac:dyDescent="0.25"/>
  <cols>
    <col min="1" max="1" width="4.57031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Group Box 1">
              <controlPr defaultSize="0" autoFill="0" autoPict="0">
                <anchor moveWithCells="1">
                  <from>
                    <xdr:col>1</xdr:col>
                    <xdr:colOff>152400</xdr:colOff>
                    <xdr:row>1</xdr:row>
                    <xdr:rowOff>161925</xdr:rowOff>
                  </from>
                  <to>
                    <xdr:col>16</xdr:col>
                    <xdr:colOff>600075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Group Box 2">
              <controlPr defaultSize="0" autoFill="0" autoPict="0">
                <anchor moveWithCells="1">
                  <from>
                    <xdr:col>1</xdr:col>
                    <xdr:colOff>152400</xdr:colOff>
                    <xdr:row>25</xdr:row>
                    <xdr:rowOff>104775</xdr:rowOff>
                  </from>
                  <to>
                    <xdr:col>16</xdr:col>
                    <xdr:colOff>590550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Group Box 3">
              <controlPr defaultSize="0" autoFill="0" autoPict="0">
                <anchor moveWithCells="1">
                  <from>
                    <xdr:col>1</xdr:col>
                    <xdr:colOff>142875</xdr:colOff>
                    <xdr:row>50</xdr:row>
                    <xdr:rowOff>190500</xdr:rowOff>
                  </from>
                  <to>
                    <xdr:col>16</xdr:col>
                    <xdr:colOff>581025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Group Box 4">
              <controlPr defaultSize="0" autoFill="0" autoPict="0">
                <anchor moveWithCells="1">
                  <from>
                    <xdr:col>1</xdr:col>
                    <xdr:colOff>142875</xdr:colOff>
                    <xdr:row>65</xdr:row>
                    <xdr:rowOff>95250</xdr:rowOff>
                  </from>
                  <to>
                    <xdr:col>16</xdr:col>
                    <xdr:colOff>590550</xdr:colOff>
                    <xdr:row>87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C421-51C0-47EF-93F6-D7C9BC3CDF92}">
  <dimension ref="B1:F32"/>
  <sheetViews>
    <sheetView showGridLines="0" workbookViewId="0">
      <selection activeCell="C12" sqref="C12"/>
    </sheetView>
  </sheetViews>
  <sheetFormatPr defaultRowHeight="15" x14ac:dyDescent="0.25"/>
  <cols>
    <col min="1" max="1" width="4.140625" customWidth="1"/>
    <col min="2" max="2" width="59.140625" bestFit="1" customWidth="1"/>
    <col min="3" max="3" width="13.85546875" customWidth="1"/>
    <col min="4" max="4" width="9.85546875" bestFit="1" customWidth="1"/>
    <col min="5" max="5" width="9.85546875" customWidth="1"/>
    <col min="6" max="7" width="9.42578125" customWidth="1"/>
    <col min="8" max="8" width="39" customWidth="1"/>
  </cols>
  <sheetData>
    <row r="1" spans="2:6" x14ac:dyDescent="0.25">
      <c r="B1" s="114" t="s">
        <v>475</v>
      </c>
      <c r="C1" s="114"/>
      <c r="D1" s="114"/>
      <c r="E1" s="114"/>
      <c r="F1" s="114"/>
    </row>
    <row r="2" spans="2:6" x14ac:dyDescent="0.25">
      <c r="B2" s="114"/>
      <c r="C2" s="114"/>
      <c r="D2" s="114"/>
      <c r="E2" s="114"/>
      <c r="F2" s="114"/>
    </row>
    <row r="3" spans="2:6" ht="21.75" customHeight="1" x14ac:dyDescent="0.3">
      <c r="B3" s="115" t="s">
        <v>476</v>
      </c>
      <c r="C3" s="115"/>
      <c r="D3" s="115"/>
      <c r="E3" s="115"/>
      <c r="F3" s="115"/>
    </row>
    <row r="4" spans="2:6" ht="18.75" x14ac:dyDescent="0.3">
      <c r="B4" s="21"/>
      <c r="C4" s="21"/>
      <c r="D4" s="21"/>
      <c r="E4" s="21"/>
      <c r="F4" s="21"/>
    </row>
    <row r="5" spans="2:6" ht="15.75" thickBot="1" x14ac:dyDescent="0.3">
      <c r="B5" s="14" t="s">
        <v>2</v>
      </c>
      <c r="C5" s="14" t="s">
        <v>497</v>
      </c>
      <c r="D5" s="14" t="s">
        <v>0</v>
      </c>
      <c r="E5" s="14" t="s">
        <v>1</v>
      </c>
      <c r="F5" s="14" t="s">
        <v>447</v>
      </c>
    </row>
    <row r="6" spans="2:6" ht="30" x14ac:dyDescent="0.25">
      <c r="B6" t="s">
        <v>4</v>
      </c>
      <c r="D6" s="31" t="s">
        <v>482</v>
      </c>
      <c r="E6" s="31" t="s">
        <v>482</v>
      </c>
      <c r="F6" s="31" t="s">
        <v>482</v>
      </c>
    </row>
    <row r="7" spans="2:6" x14ac:dyDescent="0.25">
      <c r="B7" t="s">
        <v>3</v>
      </c>
      <c r="D7" s="19" t="s">
        <v>4</v>
      </c>
      <c r="E7" s="19" t="s">
        <v>4</v>
      </c>
      <c r="F7" s="19"/>
    </row>
    <row r="8" spans="2:6" x14ac:dyDescent="0.25">
      <c r="B8" t="s">
        <v>5</v>
      </c>
      <c r="C8" s="4">
        <f>'P&amp;L 2022-25'!C8/'P&amp;L 2022-25'!C$10</f>
        <v>0.98963041363922422</v>
      </c>
      <c r="D8" s="4">
        <f>'P&amp;L 2022-25'!D8/'P&amp;L 2022-25'!D$10</f>
        <v>0.99246190622845998</v>
      </c>
      <c r="E8" s="4">
        <f>'P&amp;L 2022-25'!E8/'P&amp;L 2022-25'!E$10</f>
        <v>0.99298857965157217</v>
      </c>
      <c r="F8" s="4">
        <f>'P&amp;L 2022-25'!F8/'P&amp;L 2022-25'!F$10</f>
        <v>1</v>
      </c>
    </row>
    <row r="9" spans="2:6" x14ac:dyDescent="0.25">
      <c r="B9" t="s">
        <v>8</v>
      </c>
      <c r="C9" s="4">
        <f>'P&amp;L 2022-25'!C9/'P&amp;L 2022-25'!C$10</f>
        <v>1.0369586360775788E-2</v>
      </c>
      <c r="D9" s="4">
        <f>'P&amp;L 2022-25'!D9/'P&amp;L 2022-25'!D$10</f>
        <v>7.5380937715400298E-3</v>
      </c>
      <c r="E9" s="4">
        <f>'P&amp;L 2022-25'!E9/'P&amp;L 2022-25'!E$10</f>
        <v>7.0114203484277883E-3</v>
      </c>
      <c r="F9" s="4">
        <f>'P&amp;L 2022-25'!F9/'P&amp;L 2022-25'!F$10</f>
        <v>0</v>
      </c>
    </row>
    <row r="10" spans="2:6" x14ac:dyDescent="0.25">
      <c r="B10" s="12" t="s">
        <v>11</v>
      </c>
      <c r="C10" s="35">
        <f>Income_Statement2324[[#This Row],[FY25]]/Income_Statement2324[[#This Row],[FY25]]</f>
        <v>1</v>
      </c>
      <c r="D10" s="35">
        <f>Income_Statement2324[[#This Row],[FY 2024]]/Income_Statement2324[[#This Row],[FY 2024]]</f>
        <v>1</v>
      </c>
      <c r="E10" s="35">
        <f>Income_Statement2324[[#This Row],[FY 2023]]/Income_Statement2324[[#This Row],[FY 2023]]</f>
        <v>1</v>
      </c>
      <c r="F10" s="35">
        <f>'P&amp;L 2022-25'!F10/'P&amp;L 2022-25'!F10</f>
        <v>1</v>
      </c>
    </row>
    <row r="11" spans="2:6" x14ac:dyDescent="0.25">
      <c r="B11" t="s">
        <v>14</v>
      </c>
      <c r="C11" s="4">
        <f>Income_Statement2324[[#This Row],[FY25]]/'P&amp;L 2022-25'!C10</f>
        <v>-0.91831626523256482</v>
      </c>
      <c r="D11" s="4">
        <f>Income_Statement2324[[#This Row],[FY 2024]]/'P&amp;L 2022-25'!D10</f>
        <v>-0.92152463079472624</v>
      </c>
      <c r="E11" s="4">
        <f>Income_Statement2324[[#This Row],[FY 2023]]/'P&amp;L 2022-25'!E10</f>
        <v>-0.94173479072900401</v>
      </c>
      <c r="F11" s="4">
        <f>Income_Statement2324[[#This Row],[FY 2022]]/'P&amp;L 2022-25'!F10</f>
        <v>-0.92511085028690665</v>
      </c>
    </row>
    <row r="12" spans="2:6" x14ac:dyDescent="0.25">
      <c r="B12" t="s">
        <v>17</v>
      </c>
      <c r="C12" s="4">
        <f>'P&amp;L 2022-25'!C12/'P&amp;L 2022-25'!C$10</f>
        <v>-8.5531208879226495E-3</v>
      </c>
      <c r="D12" s="4">
        <f>'P&amp;L 2022-25'!D12/'P&amp;L 2022-25'!D$10</f>
        <v>-6.6581606464575357E-3</v>
      </c>
      <c r="E12" s="4">
        <f>'P&amp;L 2022-25'!E12/'P&amp;L 2022-25'!E$10</f>
        <v>-6.2459814457609996E-3</v>
      </c>
      <c r="F12" s="4">
        <f>'P&amp;L 2022-25'!F12/'P&amp;L 2022-25'!F$10</f>
        <v>0</v>
      </c>
    </row>
    <row r="13" spans="2:6" x14ac:dyDescent="0.25">
      <c r="B13" t="s">
        <v>20</v>
      </c>
      <c r="C13" s="4">
        <f>'P&amp;L 2022-25'!C13/'P&amp;L 2022-25'!C$10</f>
        <v>-8.8677841981806742E-4</v>
      </c>
      <c r="D13" s="4">
        <f>'P&amp;L 2022-25'!D13/'P&amp;L 2022-25'!D$10</f>
        <v>-7.0394650006599501E-4</v>
      </c>
      <c r="E13" s="4">
        <f>'P&amp;L 2022-25'!E13/'P&amp;L 2022-25'!E$10</f>
        <v>-5.6642478797342397E-4</v>
      </c>
      <c r="F13" s="4">
        <f>'P&amp;L 2022-25'!F13/'P&amp;L 2022-25'!F$10</f>
        <v>0</v>
      </c>
    </row>
    <row r="14" spans="2:6" x14ac:dyDescent="0.25">
      <c r="B14" t="s">
        <v>391</v>
      </c>
      <c r="C14" s="4">
        <f>'P&amp;L 2022-25'!C14/'P&amp;L 2022-25'!C$10</f>
        <v>0</v>
      </c>
      <c r="D14" s="4">
        <f>'P&amp;L 2022-25'!D14/'P&amp;L 2022-25'!D$10</f>
        <v>0</v>
      </c>
      <c r="E14" s="4">
        <f>'P&amp;L 2022-25'!E14/'P&amp;L 2022-25'!E$10</f>
        <v>0</v>
      </c>
      <c r="F14" s="4">
        <f>'P&amp;L 2022-25'!F14/'P&amp;L 2022-25'!F$10</f>
        <v>6.3575899843505473E-4</v>
      </c>
    </row>
    <row r="15" spans="2:6" ht="15.75" thickBot="1" x14ac:dyDescent="0.3">
      <c r="B15" s="2" t="s">
        <v>23</v>
      </c>
      <c r="C15" s="33">
        <f>'P&amp;L 2022-25'!C15/'P&amp;L 2022-25'!C$10</f>
        <v>7.2243835459694497E-2</v>
      </c>
      <c r="D15" s="33">
        <f>'P&amp;L 2022-25'!D15/'P&amp;L 2022-25'!D$10</f>
        <v>7.1113262058750196E-2</v>
      </c>
      <c r="E15" s="33">
        <f>'P&amp;L 2022-25'!E15/'P&amp;L 2022-25'!E$10</f>
        <v>5.1452803037261567E-2</v>
      </c>
      <c r="F15" s="33">
        <f>'P&amp;L 2022-25'!F15/'P&amp;L 2022-25'!F$10</f>
        <v>7.5524908711528435E-2</v>
      </c>
    </row>
    <row r="16" spans="2:6" x14ac:dyDescent="0.25">
      <c r="B16" t="s">
        <v>26</v>
      </c>
      <c r="C16" s="4">
        <f>'P&amp;L 2022-25'!C16/'P&amp;L 2022-25'!C$10</f>
        <v>-3.3468733909262541E-2</v>
      </c>
      <c r="D16" s="4">
        <f>'P&amp;L 2022-25'!D16/'P&amp;L 2022-25'!D$10</f>
        <v>-2.974173962778829E-2</v>
      </c>
      <c r="E16" s="4">
        <f>'P&amp;L 2022-25'!E16/'P&amp;L 2022-25'!E$10</f>
        <v>-2.9867425982058111E-2</v>
      </c>
      <c r="F16" s="4">
        <f>'P&amp;L 2022-25'!F16/'P&amp;L 2022-25'!F$10</f>
        <v>-3.3793035993740221E-2</v>
      </c>
    </row>
    <row r="17" spans="2:6" ht="15.75" thickBot="1" x14ac:dyDescent="0.3">
      <c r="B17" s="2" t="s">
        <v>29</v>
      </c>
      <c r="C17" s="33">
        <f>'P&amp;L 2022-25'!C17/'P&amp;L 2022-25'!C$10</f>
        <v>3.8775101550431949E-2</v>
      </c>
      <c r="D17" s="33">
        <f>'P&amp;L 2022-25'!D17/'P&amp;L 2022-25'!D$10</f>
        <v>4.1371522430961913E-2</v>
      </c>
      <c r="E17" s="33">
        <f>'P&amp;L 2022-25'!E17/'P&amp;L 2022-25'!E$10</f>
        <v>2.1585377055203452E-2</v>
      </c>
      <c r="F17" s="33">
        <f>'P&amp;L 2022-25'!F17/'P&amp;L 2022-25'!F$10</f>
        <v>4.1731872717788214E-2</v>
      </c>
    </row>
    <row r="18" spans="2:6" x14ac:dyDescent="0.25">
      <c r="B18" t="s">
        <v>32</v>
      </c>
      <c r="C18" s="4">
        <f>'P&amp;L 2022-25'!C18/'P&amp;L 2022-25'!C$10</f>
        <v>0</v>
      </c>
      <c r="D18" s="4">
        <f>'P&amp;L 2022-25'!D18/'P&amp;L 2022-25'!D$10</f>
        <v>8.7993312508249377E-5</v>
      </c>
      <c r="E18" s="4">
        <f>'P&amp;L 2022-25'!E18/'P&amp;L 2022-25'!E$10</f>
        <v>1.2247022442668626E-4</v>
      </c>
      <c r="F18" s="4">
        <f>'P&amp;L 2022-25'!F18/'P&amp;L 2022-25'!F$10</f>
        <v>2.445226917057903E-4</v>
      </c>
    </row>
    <row r="19" spans="2:6" x14ac:dyDescent="0.25">
      <c r="B19" t="s">
        <v>35</v>
      </c>
      <c r="C19" s="4">
        <f>'P&amp;L 2022-25'!C19/'P&amp;L 2022-25'!C$10</f>
        <v>3.6329309457062762E-3</v>
      </c>
      <c r="D19" s="4">
        <f>'P&amp;L 2022-25'!D19/'P&amp;L 2022-25'!D$10</f>
        <v>3.9157024066170968E-3</v>
      </c>
      <c r="E19" s="4">
        <f>'P&amp;L 2022-25'!E19/'P&amp;L 2022-25'!E$10</f>
        <v>1.3318636906402132E-3</v>
      </c>
      <c r="F19" s="4">
        <f>'P&amp;L 2022-25'!F19/'P&amp;L 2022-25'!F$10</f>
        <v>1.4671361502347418E-4</v>
      </c>
    </row>
    <row r="20" spans="2:6" x14ac:dyDescent="0.25">
      <c r="B20" t="s">
        <v>38</v>
      </c>
      <c r="C20" s="4">
        <f>'P&amp;L 2022-25'!C20/'P&amp;L 2022-25'!C$10</f>
        <v>-1.0669946793294811E-2</v>
      </c>
      <c r="D20" s="4">
        <f>'P&amp;L 2022-25'!D20/'P&amp;L 2022-25'!D$10</f>
        <v>-1.1805769428190125E-2</v>
      </c>
      <c r="E20" s="4">
        <f>'P&amp;L 2022-25'!E20/'P&amp;L 2022-25'!E$10</f>
        <v>-9.5373687272281918E-3</v>
      </c>
      <c r="F20" s="4">
        <f>'P&amp;L 2022-25'!F20/'P&amp;L 2022-25'!F$10</f>
        <v>-8.982133541992697E-3</v>
      </c>
    </row>
    <row r="21" spans="2:6" ht="15.75" thickBot="1" x14ac:dyDescent="0.3">
      <c r="B21" s="2" t="s">
        <v>41</v>
      </c>
      <c r="C21" s="33">
        <f>'P&amp;L 2022-25'!C21/'P&amp;L 2022-25'!C$10</f>
        <v>3.1680874191887406E-2</v>
      </c>
      <c r="D21" s="33">
        <f>'P&amp;L 2022-25'!D21/'P&amp;L 2022-25'!D$10</f>
        <v>3.3569448721897134E-2</v>
      </c>
      <c r="E21" s="33">
        <f>'P&amp;L 2022-25'!E21/'P&amp;L 2022-25'!E$10</f>
        <v>1.350234224304216E-2</v>
      </c>
      <c r="F21" s="33">
        <f>'P&amp;L 2022-25'!F21/'P&amp;L 2022-25'!F$10</f>
        <v>3.314097548252478E-2</v>
      </c>
    </row>
    <row r="22" spans="2:6" x14ac:dyDescent="0.25">
      <c r="B22" t="s">
        <v>44</v>
      </c>
      <c r="C22" s="4">
        <f>'P&amp;L 2022-25'!C22/'P&amp;L 2022-25'!C$10</f>
        <v>-8.7390582985296637E-3</v>
      </c>
      <c r="D22" s="4">
        <f>'P&amp;L 2022-25'!D22/'P&amp;L 2022-25'!D$10</f>
        <v>-7.6994148444718205E-3</v>
      </c>
      <c r="E22" s="4">
        <f>'P&amp;L 2022-25'!E22/'P&amp;L 2022-25'!E$10</f>
        <v>-3.4291662839472151E-3</v>
      </c>
      <c r="F22" s="4">
        <f>'P&amp;L 2022-25'!F22/'P&amp;L 2022-25'!F$10</f>
        <v>-8.3137715179968704E-3</v>
      </c>
    </row>
    <row r="23" spans="2:6" x14ac:dyDescent="0.25">
      <c r="B23" t="s">
        <v>47</v>
      </c>
      <c r="C23" s="4">
        <f>'P&amp;L 2022-25'!C23/'P&amp;L 2022-25'!C$10</f>
        <v>2.2941815893357743E-2</v>
      </c>
      <c r="D23" s="4">
        <f>'P&amp;L 2022-25'!D23/'P&amp;L 2022-25'!D$10</f>
        <v>2.5870033877425317E-2</v>
      </c>
      <c r="E23" s="4">
        <f>'P&amp;L 2022-25'!E23/'P&amp;L 2022-25'!E$10</f>
        <v>1.0073175959094944E-2</v>
      </c>
      <c r="F23" s="4">
        <f>'P&amp;L 2022-25'!F23/'P&amp;L 2022-25'!F$10</f>
        <v>2.4827203964527908E-2</v>
      </c>
    </row>
    <row r="24" spans="2:6" x14ac:dyDescent="0.25">
      <c r="B24" t="s">
        <v>50</v>
      </c>
      <c r="C24" s="4">
        <f>'P&amp;L 2022-25'!C24/'P&amp;L 2022-25'!C$10</f>
        <v>3.7187482121402827E-4</v>
      </c>
      <c r="D24" s="4">
        <f>'P&amp;L 2022-25'!D24/'P&amp;L 2022-25'!D$10</f>
        <v>-8.3886957924531064E-3</v>
      </c>
      <c r="E24" s="4">
        <f>'P&amp;L 2022-25'!E24/'P&amp;L 2022-25'!E$10</f>
        <v>1.1940846881601911E-3</v>
      </c>
      <c r="F24" s="4">
        <f>'P&amp;L 2022-25'!F24/'P&amp;L 2022-25'!F$10</f>
        <v>-6.5206051121544084E-4</v>
      </c>
    </row>
    <row r="25" spans="2:6" ht="15.75" thickBot="1" x14ac:dyDescent="0.3">
      <c r="B25" s="2" t="s">
        <v>53</v>
      </c>
      <c r="C25" s="33">
        <f>'P&amp;L 2022-25'!C25/'P&amp;L 2022-25'!C$10</f>
        <v>2.3313690714571771E-2</v>
      </c>
      <c r="D25" s="33">
        <f>'P&amp;L 2022-25'!D25/'P&amp;L 2022-25'!D$10</f>
        <v>1.7481338084972209E-2</v>
      </c>
      <c r="E25" s="33">
        <f>'P&amp;L 2022-25'!E25/'P&amp;L 2022-25'!E$10</f>
        <v>1.1267260647255136E-2</v>
      </c>
      <c r="F25" s="33">
        <f>'P&amp;L 2022-25'!F25/'P&amp;L 2022-25'!F$10</f>
        <v>2.4175143453312467E-2</v>
      </c>
    </row>
    <row r="29" spans="2:6" x14ac:dyDescent="0.25">
      <c r="B29" s="1"/>
      <c r="C29" s="1"/>
      <c r="D29" s="3"/>
      <c r="E29" s="3"/>
    </row>
    <row r="30" spans="2:6" x14ac:dyDescent="0.25">
      <c r="D30" s="4"/>
      <c r="E30" s="4"/>
    </row>
    <row r="31" spans="2:6" x14ac:dyDescent="0.25">
      <c r="D31" s="4"/>
      <c r="E31" s="4"/>
    </row>
    <row r="32" spans="2:6" x14ac:dyDescent="0.25">
      <c r="D32" s="4"/>
      <c r="E32" s="4"/>
    </row>
  </sheetData>
  <mergeCells count="2">
    <mergeCell ref="B1:F2"/>
    <mergeCell ref="B3:F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DF84-82A4-4EE7-B7D1-61BDC5C47AE6}">
  <dimension ref="B1:O73"/>
  <sheetViews>
    <sheetView showGridLines="0" workbookViewId="0">
      <selection activeCell="F23" sqref="F23"/>
    </sheetView>
  </sheetViews>
  <sheetFormatPr defaultRowHeight="15" x14ac:dyDescent="0.25"/>
  <cols>
    <col min="1" max="1" width="4" customWidth="1"/>
    <col min="2" max="2" width="70.7109375" style="6" bestFit="1" customWidth="1"/>
    <col min="3" max="3" width="12.140625" style="6" bestFit="1" customWidth="1"/>
    <col min="4" max="6" width="12.5703125" bestFit="1" customWidth="1"/>
  </cols>
  <sheetData>
    <row r="1" spans="2:6" x14ac:dyDescent="0.25">
      <c r="B1" s="114" t="s">
        <v>475</v>
      </c>
      <c r="C1" s="114"/>
      <c r="D1" s="114"/>
      <c r="E1" s="114"/>
      <c r="F1" s="114"/>
    </row>
    <row r="2" spans="2:6" x14ac:dyDescent="0.25">
      <c r="B2" s="114"/>
      <c r="C2" s="114"/>
      <c r="D2" s="114"/>
      <c r="E2" s="114"/>
      <c r="F2" s="114"/>
    </row>
    <row r="3" spans="2:6" ht="18.75" x14ac:dyDescent="0.3">
      <c r="B3" s="115" t="s">
        <v>476</v>
      </c>
      <c r="C3" s="115"/>
      <c r="D3" s="115"/>
      <c r="E3" s="115"/>
      <c r="F3" s="115"/>
    </row>
    <row r="5" spans="2:6" x14ac:dyDescent="0.25">
      <c r="B5" s="6" t="s">
        <v>2</v>
      </c>
      <c r="C5" s="19" t="s">
        <v>497</v>
      </c>
      <c r="D5" s="19" t="s">
        <v>0</v>
      </c>
      <c r="E5" s="19" t="s">
        <v>224</v>
      </c>
      <c r="F5" s="19" t="s">
        <v>225</v>
      </c>
    </row>
    <row r="6" spans="2:6" x14ac:dyDescent="0.25">
      <c r="D6" s="19" t="s">
        <v>62</v>
      </c>
      <c r="E6" s="19" t="s">
        <v>62</v>
      </c>
      <c r="F6" s="19" t="s">
        <v>62</v>
      </c>
    </row>
    <row r="7" spans="2:6" x14ac:dyDescent="0.25">
      <c r="B7" s="6" t="s">
        <v>226</v>
      </c>
      <c r="D7" s="19" t="s">
        <v>4</v>
      </c>
      <c r="E7" s="19" t="s">
        <v>4</v>
      </c>
      <c r="F7" s="19" t="s">
        <v>4</v>
      </c>
    </row>
    <row r="8" spans="2:6" x14ac:dyDescent="0.25">
      <c r="B8" s="6" t="s">
        <v>227</v>
      </c>
      <c r="C8" s="4">
        <f>Balance_Sheet2324[[#This Row],[FY 25]]/'Balance Sheet 2022-24'!C$34</f>
        <v>0.13080483414759578</v>
      </c>
      <c r="D8" s="4">
        <f>Balance_Sheet2324[[#This Row],[FY 24]]/'Balance Sheet 2022-24'!D$34</f>
        <v>0.1076978677267799</v>
      </c>
      <c r="E8" s="4">
        <f>Balance_Sheet2324[[#This Row],[FY 23]]/'Balance Sheet 2022-24'!E$34</f>
        <v>0.11718409348565449</v>
      </c>
      <c r="F8" s="4">
        <f>Balance_Sheet2324[[#This Row],[FY 22]]/'Balance Sheet 2022-24'!F$34</f>
        <v>0.10908276858579075</v>
      </c>
    </row>
    <row r="9" spans="2:6" x14ac:dyDescent="0.25">
      <c r="B9" s="6" t="s">
        <v>231</v>
      </c>
      <c r="C9" s="4">
        <f>Balance_Sheet2324[[#This Row],[FY 25]]/'Balance Sheet 2022-24'!C$34</f>
        <v>0.44386731807662638</v>
      </c>
      <c r="D9" s="4">
        <f>Balance_Sheet2324[[#This Row],[FY 24]]/'Balance Sheet 2022-24'!D$34</f>
        <v>0.36610046982291289</v>
      </c>
      <c r="E9" s="4">
        <f>Balance_Sheet2324[[#This Row],[FY 23]]/'Balance Sheet 2022-24'!E$34</f>
        <v>0.36762012732188015</v>
      </c>
      <c r="F9" s="4">
        <f>Balance_Sheet2324[[#This Row],[FY 22]]/'Balance Sheet 2022-24'!F$34</f>
        <v>0.34719254329731158</v>
      </c>
    </row>
    <row r="10" spans="2:6" x14ac:dyDescent="0.25">
      <c r="B10" s="6" t="s">
        <v>235</v>
      </c>
      <c r="C10" s="4">
        <f>Balance_Sheet2324[[#This Row],[FY 25]]/'Balance Sheet 2022-24'!C$34</f>
        <v>0.14319876574955001</v>
      </c>
      <c r="D10" s="4">
        <f>Balance_Sheet2324[[#This Row],[FY 24]]/'Balance Sheet 2022-24'!D$34</f>
        <v>0.11645655732477306</v>
      </c>
      <c r="E10" s="4">
        <f>Balance_Sheet2324[[#This Row],[FY 23]]/'Balance Sheet 2022-24'!E$34</f>
        <v>0.11990930496206506</v>
      </c>
      <c r="F10" s="4">
        <f>Balance_Sheet2324[[#This Row],[FY 22]]/'Balance Sheet 2022-24'!F$34</f>
        <v>0.11640922319229909</v>
      </c>
    </row>
    <row r="11" spans="2:6" x14ac:dyDescent="0.25">
      <c r="B11" s="6" t="s">
        <v>239</v>
      </c>
      <c r="C11" s="4">
        <f>Balance_Sheet2324[[#This Row],[FY 25]]/'Balance Sheet 2022-24'!C$34</f>
        <v>6.1712522499357157E-4</v>
      </c>
      <c r="D11" s="4">
        <f>Balance_Sheet2324[[#This Row],[FY 24]]/'Balance Sheet 2022-24'!D$34</f>
        <v>5.1021492803843618E-4</v>
      </c>
      <c r="E11" s="4">
        <f>Balance_Sheet2324[[#This Row],[FY 23]]/'Balance Sheet 2022-24'!E$34</f>
        <v>5.2324060347082931E-4</v>
      </c>
      <c r="F11" s="4">
        <f>Balance_Sheet2324[[#This Row],[FY 22]]/'Balance Sheet 2022-24'!F$34</f>
        <v>4.4772778150884264E-4</v>
      </c>
    </row>
    <row r="12" spans="2:6" x14ac:dyDescent="0.25">
      <c r="B12" s="6" t="s">
        <v>158</v>
      </c>
      <c r="C12" s="4">
        <f>Balance_Sheet2324[[#This Row],[FY 25]]/'Balance Sheet 2022-24'!C$34</f>
        <v>2.8284906145538699E-3</v>
      </c>
      <c r="D12" s="4">
        <f>Balance_Sheet2324[[#This Row],[FY 24]]/'Balance Sheet 2022-24'!D$34</f>
        <v>2.1684134441633538E-3</v>
      </c>
      <c r="E12" s="4">
        <f>Balance_Sheet2324[[#This Row],[FY 23]]/'Balance Sheet 2022-24'!E$34</f>
        <v>2.0275573384494635E-3</v>
      </c>
      <c r="F12" s="4">
        <f>Balance_Sheet2324[[#This Row],[FY 22]]/'Balance Sheet 2022-24'!F$34</f>
        <v>1.7502086004436575E-3</v>
      </c>
    </row>
    <row r="13" spans="2:6" x14ac:dyDescent="0.25">
      <c r="B13" s="6" t="s">
        <v>245</v>
      </c>
      <c r="C13" s="4">
        <f>Balance_Sheet2324[[#This Row],[FY 25]]/'Balance Sheet 2022-24'!C$34</f>
        <v>2.4016456672666494E-2</v>
      </c>
      <c r="D13" s="4">
        <f>Balance_Sheet2324[[#This Row],[FY 24]]/'Balance Sheet 2022-24'!D$34</f>
        <v>3.2866344947809267E-2</v>
      </c>
      <c r="E13" s="4">
        <f>Balance_Sheet2324[[#This Row],[FY 23]]/'Balance Sheet 2022-24'!E$34</f>
        <v>2.919246533531002E-2</v>
      </c>
      <c r="F13" s="4">
        <f>Balance_Sheet2324[[#This Row],[FY 22]]/'Balance Sheet 2022-24'!F$34</f>
        <v>2.5500132283208174E-2</v>
      </c>
    </row>
    <row r="14" spans="2:6" x14ac:dyDescent="0.25">
      <c r="B14" s="6" t="s">
        <v>249</v>
      </c>
      <c r="C14" s="4">
        <f>Balance_Sheet2324[[#This Row],[FY 25]]/'Balance Sheet 2022-24'!C$34</f>
        <v>4.0627410645410131E-3</v>
      </c>
      <c r="D14" s="4">
        <f>Balance_Sheet2324[[#This Row],[FY 24]]/'Balance Sheet 2022-24'!D$34</f>
        <v>7.6532239205765427E-4</v>
      </c>
      <c r="E14" s="4">
        <f>Balance_Sheet2324[[#This Row],[FY 23]]/'Balance Sheet 2022-24'!E$34</f>
        <v>1.7223336530914799E-3</v>
      </c>
      <c r="F14" s="4">
        <f>Balance_Sheet2324[[#This Row],[FY 22]]/'Balance Sheet 2022-24'!F$34</f>
        <v>3.2358507845411809E-3</v>
      </c>
    </row>
    <row r="15" spans="2:6" x14ac:dyDescent="0.25">
      <c r="B15" s="6" t="s">
        <v>253</v>
      </c>
      <c r="C15" s="4">
        <f>Balance_Sheet2324[[#This Row],[FY 25]]/'Balance Sheet 2022-24'!C$34</f>
        <v>0</v>
      </c>
      <c r="D15" s="4">
        <f>Balance_Sheet2324[[#This Row],[FY 24]]/'Balance Sheet 2022-24'!D$34</f>
        <v>0</v>
      </c>
      <c r="E15" s="4">
        <f>Balance_Sheet2324[[#This Row],[FY 23]]/'Balance Sheet 2022-24'!E$34</f>
        <v>6.6037324496380917E-2</v>
      </c>
      <c r="F15" s="4">
        <f>Balance_Sheet2324[[#This Row],[FY 22]]/'Balance Sheet 2022-24'!F$34</f>
        <v>6.3923316441785213E-2</v>
      </c>
    </row>
    <row r="16" spans="2:6" x14ac:dyDescent="0.25">
      <c r="B16" s="6" t="s">
        <v>256</v>
      </c>
      <c r="C16" s="4">
        <f>Balance_Sheet2324[[#This Row],[FY 25]]/'Balance Sheet 2022-24'!C$34</f>
        <v>3.1884803291334532E-3</v>
      </c>
      <c r="D16" s="4">
        <f>Balance_Sheet2324[[#This Row],[FY 24]]/'Balance Sheet 2022-24'!D$34</f>
        <v>2.657369416866855E-3</v>
      </c>
      <c r="E16" s="4">
        <f>Balance_Sheet2324[[#This Row],[FY 23]]/'Balance Sheet 2022-24'!E$34</f>
        <v>2.9432283945234152E-3</v>
      </c>
      <c r="F16" s="4">
        <f>Balance_Sheet2324[[#This Row],[FY 22]]/'Balance Sheet 2022-24'!F$34</f>
        <v>3.4800659380914587E-3</v>
      </c>
    </row>
    <row r="17" spans="2:6" x14ac:dyDescent="0.25">
      <c r="B17" s="6" t="s">
        <v>260</v>
      </c>
      <c r="C17" s="4">
        <f>Balance_Sheet2324[[#This Row],[FY 25]]/'Balance Sheet 2022-24'!C$34</f>
        <v>1.7048084340447415E-2</v>
      </c>
      <c r="D17" s="4">
        <f>Balance_Sheet2324[[#This Row],[FY 24]]/'Balance Sheet 2022-24'!D$34</f>
        <v>1.660324411658411E-2</v>
      </c>
      <c r="E17" s="4">
        <f>Balance_Sheet2324[[#This Row],[FY 23]]/'Balance Sheet 2022-24'!E$34</f>
        <v>1.9032876951251419E-2</v>
      </c>
      <c r="F17" s="4">
        <f>Balance_Sheet2324[[#This Row],[FY 22]]/'Balance Sheet 2022-24'!F$34</f>
        <v>1.9170889553696807E-2</v>
      </c>
    </row>
    <row r="18" spans="2:6" x14ac:dyDescent="0.25">
      <c r="B18" s="6" t="s">
        <v>264</v>
      </c>
      <c r="C18" s="4">
        <f>Balance_Sheet2324[[#This Row],[FY 25]]/'Balance Sheet 2022-24'!C$34</f>
        <v>1.4399588583183338E-3</v>
      </c>
      <c r="D18" s="4">
        <f>Balance_Sheet2324[[#This Row],[FY 24]]/'Balance Sheet 2022-24'!D$34</f>
        <v>4.6769701736856648E-4</v>
      </c>
      <c r="E18" s="4">
        <f>Balance_Sheet2324[[#This Row],[FY 23]]/'Balance Sheet 2022-24'!E$34</f>
        <v>1.3081015086770733E-4</v>
      </c>
      <c r="F18" s="4">
        <f>Balance_Sheet2324[[#This Row],[FY 22]]/'Balance Sheet 2022-24'!F$34</f>
        <v>6.410647780694792E-2</v>
      </c>
    </row>
    <row r="19" spans="2:6" x14ac:dyDescent="0.25">
      <c r="B19" s="6" t="s">
        <v>266</v>
      </c>
      <c r="C19" s="4">
        <f>Balance_Sheet2324[[#This Row],[FY 25]]/'Balance Sheet 2022-24'!C$34</f>
        <v>1.2085368989457443E-3</v>
      </c>
      <c r="D19" s="4">
        <f>Balance_Sheet2324[[#This Row],[FY 24]]/'Balance Sheet 2022-24'!D$34</f>
        <v>6.8028657071791487E-4</v>
      </c>
      <c r="E19" s="4">
        <f>Balance_Sheet2324[[#This Row],[FY 23]]/'Balance Sheet 2022-24'!E$34</f>
        <v>1.8313421121479026E-3</v>
      </c>
      <c r="F19" s="4">
        <f>Balance_Sheet2324[[#This Row],[FY 22]]/'Balance Sheet 2022-24'!F$34</f>
        <v>1.7909111260353706E-3</v>
      </c>
    </row>
    <row r="20" spans="2:6" x14ac:dyDescent="0.25">
      <c r="B20" s="17" t="s">
        <v>472</v>
      </c>
      <c r="C20" s="32">
        <f>Balance_Sheet2324[[#This Row],[FY 25]]/'Balance Sheet 2022-24'!C$34</f>
        <v>0.77228079197737209</v>
      </c>
      <c r="D20" s="32">
        <f>Balance_Sheet2324[[#This Row],[FY 24]]/'Balance Sheet 2022-24'!D$34</f>
        <v>0.64697378770807201</v>
      </c>
      <c r="E20" s="32">
        <f>Balance_Sheet2324[[#This Row],[FY 23]]/'Balance Sheet 2022-24'!E$34</f>
        <v>0.72815470480509292</v>
      </c>
      <c r="F20" s="32">
        <f>Balance_Sheet2324[[#This Row],[FY 22]]/'Balance Sheet 2022-24'!F$34</f>
        <v>0.75609011539166004</v>
      </c>
    </row>
    <row r="21" spans="2:6" x14ac:dyDescent="0.25">
      <c r="B21" s="6" t="s">
        <v>273</v>
      </c>
      <c r="C21" s="4"/>
      <c r="D21" s="4"/>
      <c r="E21" s="4"/>
      <c r="F21" s="4"/>
    </row>
    <row r="22" spans="2:6" x14ac:dyDescent="0.25">
      <c r="B22" s="6" t="s">
        <v>245</v>
      </c>
      <c r="C22" s="4">
        <f>Balance_Sheet2324[[#This Row],[FY 25]]/'Balance Sheet 2022-24'!C$34</f>
        <v>3.8827462072512212E-3</v>
      </c>
      <c r="D22" s="4">
        <f>Balance_Sheet2324[[#This Row],[FY 24]]/'Balance Sheet 2022-24'!D$34</f>
        <v>4.3793447989965775E-3</v>
      </c>
      <c r="E22" s="4">
        <f>Balance_Sheet2324[[#This Row],[FY 23]]/'Balance Sheet 2022-24'!E$34</f>
        <v>7.6959972093834485E-3</v>
      </c>
      <c r="F22" s="4">
        <f>Balance_Sheet2324[[#This Row],[FY 22]]/'Balance Sheet 2022-24'!F$34</f>
        <v>4.5993853918635651E-3</v>
      </c>
    </row>
    <row r="23" spans="2:6" x14ac:dyDescent="0.25">
      <c r="B23" s="6" t="s">
        <v>277</v>
      </c>
      <c r="C23" s="4">
        <f>Balance_Sheet2324[[#This Row],[FY 25]]/'Balance Sheet 2022-24'!C$34</f>
        <v>7.1175109282591922E-2</v>
      </c>
      <c r="D23" s="4">
        <f>Balance_Sheet2324[[#This Row],[FY 24]]/'Balance Sheet 2022-24'!D$34</f>
        <v>5.6017347307553304E-2</v>
      </c>
      <c r="E23" s="4">
        <f>Balance_Sheet2324[[#This Row],[FY 23]]/'Balance Sheet 2022-24'!E$34</f>
        <v>5.4722246446324237E-2</v>
      </c>
      <c r="F23" s="4">
        <f>Balance_Sheet2324[[#This Row],[FY 22]]/'Balance Sheet 2022-24'!F$34</f>
        <v>4.7601603679508317E-2</v>
      </c>
    </row>
    <row r="24" spans="2:6" x14ac:dyDescent="0.25">
      <c r="B24" s="6" t="s">
        <v>457</v>
      </c>
      <c r="C24" s="4">
        <f>Balance_Sheet2324[[#This Row],[FY 25]]/'Balance Sheet 2022-24'!C$34</f>
        <v>1.6765235278992027E-2</v>
      </c>
      <c r="D24" s="4">
        <f>Balance_Sheet2324[[#This Row],[FY 24]]/'Balance Sheet 2022-24'!D$34</f>
        <v>1.2245158272922468E-2</v>
      </c>
      <c r="E24" s="4">
        <f>Balance_Sheet2324[[#This Row],[FY 23]]/'Balance Sheet 2022-24'!E$34</f>
        <v>1.1576698351792099E-2</v>
      </c>
      <c r="F24" s="4">
        <f>Balance_Sheet2324[[#This Row],[FY 22]]/'Balance Sheet 2022-24'!F$34</f>
        <v>9.3005270977064135E-3</v>
      </c>
    </row>
    <row r="25" spans="2:6" x14ac:dyDescent="0.25">
      <c r="B25" s="6" t="s">
        <v>458</v>
      </c>
      <c r="C25" s="4">
        <f>Balance_Sheet2324[[#This Row],[FY 25]]/'Balance Sheet 2022-24'!C$34</f>
        <v>1.434816148110054E-2</v>
      </c>
      <c r="D25" s="4">
        <f>Balance_Sheet2324[[#This Row],[FY 24]]/'Balance Sheet 2022-24'!D$34</f>
        <v>1.6433172473904634E-2</v>
      </c>
      <c r="E25" s="4">
        <f>Balance_Sheet2324[[#This Row],[FY 23]]/'Balance Sheet 2022-24'!E$34</f>
        <v>1.5348391035144328E-2</v>
      </c>
      <c r="F25" s="4">
        <f>Balance_Sheet2324[[#This Row],[FY 22]]/'Balance Sheet 2022-24'!F$34</f>
        <v>1.5487310987646783E-2</v>
      </c>
    </row>
    <row r="26" spans="2:6" x14ac:dyDescent="0.25">
      <c r="B26" s="6" t="s">
        <v>253</v>
      </c>
      <c r="C26" s="4"/>
      <c r="D26" s="4"/>
      <c r="E26" s="4">
        <f>Balance_Sheet2324[[#This Row],[FY 23]]/'Balance Sheet 2022-24'!E$34</f>
        <v>8.6073079270951425E-2</v>
      </c>
      <c r="F26" s="4">
        <f>Balance_Sheet2324[[#This Row],[FY 22]]/'Balance Sheet 2022-24'!F$34</f>
        <v>6.6161955349329421E-2</v>
      </c>
    </row>
    <row r="27" spans="2:6" x14ac:dyDescent="0.25">
      <c r="B27" s="6" t="s">
        <v>260</v>
      </c>
      <c r="C27" s="4">
        <f>Balance_Sheet2324[[#This Row],[FY 25]]/'Balance Sheet 2022-24'!C$34</f>
        <v>4.4227307791205967E-3</v>
      </c>
      <c r="D27" s="4">
        <f>Balance_Sheet2324[[#This Row],[FY 24]]/'Balance Sheet 2022-24'!D$34</f>
        <v>1.1692425434214162E-3</v>
      </c>
      <c r="E27" s="4">
        <f>Balance_Sheet2324[[#This Row],[FY 23]]/'Balance Sheet 2022-24'!E$34</f>
        <v>1.2426964332432197E-3</v>
      </c>
      <c r="F27" s="4">
        <f>Balance_Sheet2324[[#This Row],[FY 22]]/'Balance Sheet 2022-24'!F$34</f>
        <v>1.4042371329140973E-3</v>
      </c>
    </row>
    <row r="28" spans="2:6" x14ac:dyDescent="0.25">
      <c r="B28" s="6" t="s">
        <v>285</v>
      </c>
      <c r="C28" s="4">
        <f>Balance_Sheet2324[[#This Row],[FY 25]]/'Balance Sheet 2022-24'!C$34</f>
        <v>6.9426587811776807E-4</v>
      </c>
      <c r="D28" s="4">
        <f>Balance_Sheet2324[[#This Row],[FY 24]]/'Balance Sheet 2022-24'!D$34</f>
        <v>2.3384850868428324E-3</v>
      </c>
      <c r="E28" s="4">
        <f>Balance_Sheet2324[[#This Row],[FY 23]]/'Balance Sheet 2022-24'!E$34</f>
        <v>1.373506584110927E-3</v>
      </c>
      <c r="F28" s="4">
        <f>Balance_Sheet2324[[#This Row],[FY 22]]/'Balance Sheet 2022-24'!F$34</f>
        <v>1.892667440014653E-3</v>
      </c>
    </row>
    <row r="29" spans="2:6" x14ac:dyDescent="0.25">
      <c r="B29" s="6" t="s">
        <v>288</v>
      </c>
      <c r="C29" s="4">
        <f>Balance_Sheet2324[[#This Row],[FY 25]]/'Balance Sheet 2022-24'!C$34</f>
        <v>5.7161223965029567E-2</v>
      </c>
      <c r="D29" s="4">
        <f>Balance_Sheet2324[[#This Row],[FY 24]]/'Balance Sheet 2022-24'!D$34</f>
        <v>4.5239056952741344E-2</v>
      </c>
      <c r="E29" s="4">
        <f>Balance_Sheet2324[[#This Row],[FY 23]]/'Balance Sheet 2022-24'!E$34</f>
        <v>3.5493154268771254E-2</v>
      </c>
      <c r="F29" s="4">
        <f>Balance_Sheet2324[[#This Row],[FY 22]]/'Balance Sheet 2022-24'!F$34</f>
        <v>4.224922156419806E-2</v>
      </c>
    </row>
    <row r="30" spans="2:6" x14ac:dyDescent="0.25">
      <c r="B30" s="6" t="s">
        <v>292</v>
      </c>
      <c r="C30" s="4">
        <f>Balance_Sheet2324[[#This Row],[FY 25]]/'Balance Sheet 2022-24'!C$34</f>
        <v>5.798405759835433E-2</v>
      </c>
      <c r="D30" s="4">
        <f>Balance_Sheet2324[[#This Row],[FY 24]]/'Balance Sheet 2022-24'!D$34</f>
        <v>4.974595548374753E-2</v>
      </c>
      <c r="E30" s="4">
        <f>Balance_Sheet2324[[#This Row],[FY 23]]/'Balance Sheet 2022-24'!E$34</f>
        <v>5.3741170314816428E-2</v>
      </c>
      <c r="F30" s="4">
        <f>Balance_Sheet2324[[#This Row],[FY 22]]/'Balance Sheet 2022-24'!F$34</f>
        <v>4.7723711256283455E-2</v>
      </c>
    </row>
    <row r="31" spans="2:6" x14ac:dyDescent="0.25">
      <c r="B31" s="6" t="s">
        <v>4</v>
      </c>
      <c r="C31" s="4">
        <f>Balance_Sheet2324[[#This Row],[FY 25]]/'Balance Sheet 2022-24'!C$34</f>
        <v>0.22643353047055798</v>
      </c>
      <c r="D31" s="4">
        <f>Balance_Sheet2324[[#This Row],[FY 24]]/'Balance Sheet 2022-24'!D$34</f>
        <v>0.18756776292013011</v>
      </c>
      <c r="E31" s="4">
        <f>Balance_Sheet2324[[#This Row],[FY 23]]/'Balance Sheet 2022-24'!E$34</f>
        <v>0.26726693991453737</v>
      </c>
      <c r="F31" s="4">
        <f>Balance_Sheet2324[[#This Row],[FY 22]]/'Balance Sheet 2022-24'!F$34</f>
        <v>0.23642061989946475</v>
      </c>
    </row>
    <row r="32" spans="2:6" x14ac:dyDescent="0.25">
      <c r="B32" s="6" t="s">
        <v>299</v>
      </c>
      <c r="C32" s="4">
        <f>Balance_Sheet2324[[#This Row],[FY 25]]/'Balance Sheet 2022-24'!C$34</f>
        <v>1.2856775520699408E-3</v>
      </c>
      <c r="D32" s="4">
        <f>Balance_Sheet2324[[#This Row],[FY 24]]/'Balance Sheet 2022-24'!D$34</f>
        <v>0.16545844937179788</v>
      </c>
      <c r="E32" s="4">
        <f>Balance_Sheet2324[[#This Row],[FY 23]]/'Balance Sheet 2022-24'!E$34</f>
        <v>4.578355280369757E-3</v>
      </c>
      <c r="F32" s="4">
        <f>Balance_Sheet2324[[#This Row],[FY 22]]/'Balance Sheet 2022-24'!F$34</f>
        <v>7.4892647088751858E-3</v>
      </c>
    </row>
    <row r="33" spans="2:6" x14ac:dyDescent="0.25">
      <c r="B33" s="18" t="s">
        <v>473</v>
      </c>
      <c r="C33" s="32">
        <f>Balance_Sheet2324[[#This Row],[FY 25]]/'Balance Sheet 2022-24'!C$34</f>
        <v>0.22771920802262793</v>
      </c>
      <c r="D33" s="32">
        <f>Balance_Sheet2324[[#This Row],[FY 24]]/'Balance Sheet 2022-24'!D$34</f>
        <v>0.35302621229192799</v>
      </c>
      <c r="E33" s="32">
        <f>Balance_Sheet2324[[#This Row],[FY 23]]/'Balance Sheet 2022-24'!E$34</f>
        <v>0.27184529519490713</v>
      </c>
      <c r="F33" s="32">
        <f>Balance_Sheet2324[[#This Row],[FY 22]]/'Balance Sheet 2022-24'!F$34</f>
        <v>0.24390988460833996</v>
      </c>
    </row>
    <row r="34" spans="2:6" ht="15.75" thickBot="1" x14ac:dyDescent="0.3">
      <c r="B34" s="16" t="s">
        <v>441</v>
      </c>
      <c r="C34" s="33">
        <f>Balance_Sheet2324[[#This Row],[FY 25]]/'Balance Sheet 2022-24'!C$34</f>
        <v>1</v>
      </c>
      <c r="D34" s="33">
        <f>Balance_Sheet2324[[#This Row],[FY 24]]/'Balance Sheet 2022-24'!D$34</f>
        <v>1</v>
      </c>
      <c r="E34" s="33">
        <f>Balance_Sheet2324[[#This Row],[FY 23]]/'Balance Sheet 2022-24'!E$34</f>
        <v>1</v>
      </c>
      <c r="F34" s="33">
        <f>Balance_Sheet2324[[#This Row],[FY 22]]/'Balance Sheet 2022-24'!F$34</f>
        <v>1</v>
      </c>
    </row>
    <row r="35" spans="2:6" x14ac:dyDescent="0.25">
      <c r="B35" s="6" t="s">
        <v>303</v>
      </c>
      <c r="C35" s="4"/>
      <c r="D35" s="4"/>
      <c r="E35" s="34"/>
      <c r="F35" s="34"/>
    </row>
    <row r="36" spans="2:6" x14ac:dyDescent="0.25">
      <c r="B36" s="6" t="s">
        <v>304</v>
      </c>
      <c r="C36" s="4">
        <f>Balance_Sheet2324[[#This Row],[FY 25]]/'Balance Sheet 2022-24'!C$67</f>
        <v>-9.442015942401645E-2</v>
      </c>
      <c r="D36" s="4">
        <f>Balance_Sheet2324[[#This Row],[FY 24]]/'Balance Sheet 2022-24'!D$67</f>
        <v>-7.6957418312464124E-2</v>
      </c>
      <c r="E36" s="4">
        <f>Balance_Sheet2324[[#This Row],[FY 23]]/'Balance Sheet 2022-24'!E$67</f>
        <v>-7.4212958925612624E-2</v>
      </c>
      <c r="F36" s="4">
        <f>Balance_Sheet2324[[#This Row],[FY 22]]/'Balance Sheet 2022-24'!F$67</f>
        <v>-6.9173942243116182E-2</v>
      </c>
    </row>
    <row r="37" spans="2:6" x14ac:dyDescent="0.25">
      <c r="B37" s="6" t="s">
        <v>459</v>
      </c>
      <c r="C37" s="4">
        <f>Balance_Sheet2324[[#This Row],[FY 25]]/'Balance Sheet 2022-24'!C$67</f>
        <v>-0.17207508356904089</v>
      </c>
      <c r="D37" s="4">
        <f>Balance_Sheet2324[[#This Row],[FY 24]]/'Balance Sheet 2022-24'!D$67</f>
        <v>-0.14124449924530708</v>
      </c>
      <c r="E37" s="4">
        <f>Balance_Sheet2324[[#This Row],[FY 23]]/'Balance Sheet 2022-24'!E$67</f>
        <v>-0.13863695822795849</v>
      </c>
      <c r="F37" s="4">
        <f>Balance_Sheet2324[[#This Row],[FY 22]]/'Balance Sheet 2022-24'!F$67</f>
        <v>-0.11480147343142642</v>
      </c>
    </row>
    <row r="38" spans="2:6" x14ac:dyDescent="0.25">
      <c r="B38" s="6" t="s">
        <v>305</v>
      </c>
      <c r="C38" s="4">
        <f>Balance_Sheet2324[[#This Row],[FY 25]]/'Balance Sheet 2022-24'!C$67</f>
        <v>-4.7852918488043197E-2</v>
      </c>
      <c r="D38" s="4">
        <f>Balance_Sheet2324[[#This Row],[FY 24]]/'Balance Sheet 2022-24'!D$67</f>
        <v>-3.2653755394459916E-2</v>
      </c>
      <c r="E38" s="4">
        <f>Balance_Sheet2324[[#This Row],[FY 23]]/'Balance Sheet 2022-24'!E$67</f>
        <v>-3.858899450597366E-2</v>
      </c>
      <c r="F38" s="4">
        <f>Balance_Sheet2324[[#This Row],[FY 22]]/'Balance Sheet 2022-24'!F$67</f>
        <v>-1.475466552699595E-2</v>
      </c>
    </row>
    <row r="39" spans="2:6" x14ac:dyDescent="0.25">
      <c r="B39" s="6" t="s">
        <v>309</v>
      </c>
      <c r="C39" s="4">
        <f>Balance_Sheet2324[[#This Row],[FY 25]]/'Balance Sheet 2022-24'!C$67</f>
        <v>-1.5890974543584468E-2</v>
      </c>
      <c r="D39" s="4">
        <f>Balance_Sheet2324[[#This Row],[FY 24]]/'Balance Sheet 2022-24'!D$67</f>
        <v>-1.2415229915601947E-2</v>
      </c>
      <c r="E39" s="4">
        <f>Balance_Sheet2324[[#This Row],[FY 23]]/'Balance Sheet 2022-24'!E$67</f>
        <v>-1.2972006627714311E-2</v>
      </c>
      <c r="F39" s="4">
        <f>Balance_Sheet2324[[#This Row],[FY 22]]/'Balance Sheet 2022-24'!F$67</f>
        <v>-1.1132140749333497E-2</v>
      </c>
    </row>
    <row r="40" spans="2:6" x14ac:dyDescent="0.25">
      <c r="B40" s="6" t="s">
        <v>313</v>
      </c>
      <c r="C40" s="4">
        <f>Balance_Sheet2324[[#This Row],[FY 25]]/'Balance Sheet 2022-24'!C$67</f>
        <v>-7.7140653124196448E-3</v>
      </c>
      <c r="D40" s="4">
        <f>Balance_Sheet2324[[#This Row],[FY 24]]/'Balance Sheet 2022-24'!D$67</f>
        <v>-6.5052403324900613E-3</v>
      </c>
      <c r="E40" s="4">
        <f>Balance_Sheet2324[[#This Row],[FY 23]]/'Balance Sheet 2022-24'!E$67</f>
        <v>-7.9794192029301481E-3</v>
      </c>
      <c r="F40" s="4">
        <f>Balance_Sheet2324[[#This Row],[FY 22]]/'Balance Sheet 2022-24'!F$67</f>
        <v>-5.759407371227385E-3</v>
      </c>
    </row>
    <row r="41" spans="2:6" x14ac:dyDescent="0.25">
      <c r="B41" s="6" t="s">
        <v>317</v>
      </c>
      <c r="C41" s="4">
        <f>Balance_Sheet2324[[#This Row],[FY 25]]/'Balance Sheet 2022-24'!C$67</f>
        <v>-1.6765235278992027E-2</v>
      </c>
      <c r="D41" s="4">
        <f>Balance_Sheet2324[[#This Row],[FY 24]]/'Balance Sheet 2022-24'!D$67</f>
        <v>-1.1182210506175726E-2</v>
      </c>
      <c r="E41" s="4">
        <f>Balance_Sheet2324[[#This Row],[FY 23]]/'Balance Sheet 2022-24'!E$67</f>
        <v>-1.0922647597453563E-2</v>
      </c>
      <c r="F41" s="4">
        <f>Balance_Sheet2324[[#This Row],[FY 22]]/'Balance Sheet 2022-24'!F$67</f>
        <v>-1.1966542523963612E-2</v>
      </c>
    </row>
    <row r="42" spans="2:6" x14ac:dyDescent="0.25">
      <c r="B42" s="6" t="s">
        <v>321</v>
      </c>
      <c r="C42" s="4">
        <f>Balance_Sheet2324[[#This Row],[FY 25]]/'Balance Sheet 2022-24'!C$67</f>
        <v>0</v>
      </c>
      <c r="D42" s="4">
        <f>Balance_Sheet2324[[#This Row],[FY 24]]/'Balance Sheet 2022-24'!D$67</f>
        <v>-2.2959671761729628E-3</v>
      </c>
      <c r="E42" s="4">
        <f>Balance_Sheet2324[[#This Row],[FY 23]]/'Balance Sheet 2022-24'!E$67</f>
        <v>-9.7780587773611233E-2</v>
      </c>
      <c r="F42" s="4">
        <f>Balance_Sheet2324[[#This Row],[FY 22]]/'Balance Sheet 2022-24'!F$67</f>
        <v>-9.6241121761605306E-2</v>
      </c>
    </row>
    <row r="43" spans="2:6" x14ac:dyDescent="0.25">
      <c r="B43" s="6" t="s">
        <v>260</v>
      </c>
      <c r="C43" s="4">
        <f>Balance_Sheet2324[[#This Row],[FY 25]]/'Balance Sheet 2022-24'!C$67</f>
        <v>-3.0856261249678578E-4</v>
      </c>
      <c r="D43" s="4">
        <f>Balance_Sheet2324[[#This Row],[FY 24]]/'Balance Sheet 2022-24'!D$67</f>
        <v>-5.3147388337337106E-4</v>
      </c>
      <c r="E43" s="4">
        <f>Balance_Sheet2324[[#This Row],[FY 23]]/'Balance Sheet 2022-24'!E$67</f>
        <v>-2.158367489317171E-3</v>
      </c>
      <c r="F43" s="4">
        <f>Balance_Sheet2324[[#This Row],[FY 22]]/'Balance Sheet 2022-24'!F$67</f>
        <v>-5.2913283269226852E-4</v>
      </c>
    </row>
    <row r="44" spans="2:6" x14ac:dyDescent="0.25">
      <c r="B44" s="6" t="s">
        <v>328</v>
      </c>
      <c r="C44" s="4">
        <f>Balance_Sheet2324[[#This Row],[FY 25]]/'Balance Sheet 2022-24'!C$67</f>
        <v>-3.3427616353818462E-4</v>
      </c>
      <c r="D44" s="4">
        <f>Balance_Sheet2324[[#This Row],[FY 24]]/'Balance Sheet 2022-24'!D$67</f>
        <v>-2.125895533493484E-5</v>
      </c>
      <c r="E44" s="4">
        <f>Balance_Sheet2324[[#This Row],[FY 23]]/'Balance Sheet 2022-24'!E$67</f>
        <v>-3.9243045260312201E-4</v>
      </c>
      <c r="F44" s="4">
        <f>Balance_Sheet2324[[#This Row],[FY 22]]/'Balance Sheet 2022-24'!F$67</f>
        <v>-2.2386389075442132E-4</v>
      </c>
    </row>
    <row r="45" spans="2:6" x14ac:dyDescent="0.25">
      <c r="B45" s="6" t="s">
        <v>4</v>
      </c>
      <c r="C45" s="4">
        <f>Balance_Sheet2324[[#This Row],[FY 25]]/'Balance Sheet 2022-24'!C$67</f>
        <v>-0.35536127539213164</v>
      </c>
      <c r="D45" s="4">
        <f>Balance_Sheet2324[[#This Row],[FY 24]]/'Balance Sheet 2022-24'!D$67</f>
        <v>-0.28380705372138015</v>
      </c>
      <c r="E45" s="4">
        <f>Balance_Sheet2324[[#This Row],[FY 23]]/'Balance Sheet 2022-24'!E$67</f>
        <v>-0.38362256911136305</v>
      </c>
      <c r="F45" s="4">
        <f>Balance_Sheet2324[[#This Row],[FY 22]]/'Balance Sheet 2022-24'!F$67</f>
        <v>-0.32458229033111502</v>
      </c>
    </row>
    <row r="46" spans="2:6" x14ac:dyDescent="0.25">
      <c r="B46" s="6" t="s">
        <v>334</v>
      </c>
      <c r="C46" s="4">
        <f>Balance_Sheet2324[[#This Row],[FY 25]]/'Balance Sheet 2022-24'!C$67</f>
        <v>0</v>
      </c>
      <c r="D46" s="4">
        <f>Balance_Sheet2324[[#This Row],[FY 24]]/'Balance Sheet 2022-24'!D$67</f>
        <v>-0.15140627989540595</v>
      </c>
      <c r="E46" s="4">
        <f>Balance_Sheet2324[[#This Row],[FY 23]]/'Balance Sheet 2022-24'!E$67</f>
        <v>-3.0522368535798377E-4</v>
      </c>
      <c r="F46" s="4">
        <f>Balance_Sheet2324[[#This Row],[FY 22]]/'Balance Sheet 2022-24'!F$67</f>
        <v>-2.8491767914199078E-4</v>
      </c>
    </row>
    <row r="47" spans="2:6" x14ac:dyDescent="0.25">
      <c r="B47" s="15"/>
      <c r="C47" s="4">
        <f>Balance_Sheet2324[[#This Row],[FY 25]]/'Balance Sheet 2022-24'!C$67</f>
        <v>-0.35536127539213164</v>
      </c>
      <c r="D47" s="4">
        <f>Balance_Sheet2324[[#This Row],[FY 24]]/'Balance Sheet 2022-24'!D$67</f>
        <v>-0.43521333361678605</v>
      </c>
      <c r="E47" s="4">
        <f>Balance_Sheet2324[[#This Row],[FY 23]]/'Balance Sheet 2022-24'!E$67</f>
        <v>-0.38392779279672101</v>
      </c>
      <c r="F47" s="4">
        <f>Balance_Sheet2324[[#This Row],[FY 22]]/'Balance Sheet 2022-24'!F$67</f>
        <v>-0.32486720801025704</v>
      </c>
    </row>
    <row r="48" spans="2:6" x14ac:dyDescent="0.25">
      <c r="B48" s="6" t="s">
        <v>337</v>
      </c>
      <c r="C48" s="4"/>
      <c r="D48" s="4"/>
      <c r="E48" s="4"/>
      <c r="F48" s="4"/>
    </row>
    <row r="49" spans="2:6" x14ac:dyDescent="0.25">
      <c r="B49" s="6" t="s">
        <v>304</v>
      </c>
      <c r="C49" s="4">
        <f>Balance_Sheet2324[[#This Row],[FY 25]]/'Balance Sheet 2022-24'!C$67</f>
        <v>-1.0285420416559527E-3</v>
      </c>
      <c r="D49" s="4">
        <f>Balance_Sheet2324[[#This Row],[FY 24]]/'Balance Sheet 2022-24'!D$67</f>
        <v>-8.290992580624588E-4</v>
      </c>
      <c r="E49" s="4">
        <f>Balance_Sheet2324[[#This Row],[FY 23]]/'Balance Sheet 2022-24'!E$67</f>
        <v>-1.1772913578093659E-3</v>
      </c>
      <c r="F49" s="4">
        <f>Balance_Sheet2324[[#This Row],[FY 22]]/'Balance Sheet 2022-24'!F$67</f>
        <v>-1.0989681909762501E-3</v>
      </c>
    </row>
    <row r="50" spans="2:6" x14ac:dyDescent="0.25">
      <c r="B50" s="6" t="s">
        <v>305</v>
      </c>
      <c r="C50" s="4">
        <f>Balance_Sheet2324[[#This Row],[FY 25]]/'Balance Sheet 2022-24'!C$67</f>
        <v>-0.13085626124967858</v>
      </c>
      <c r="D50" s="4">
        <f>Balance_Sheet2324[[#This Row],[FY 24]]/'Balance Sheet 2022-24'!D$67</f>
        <v>-0.12081464316843471</v>
      </c>
      <c r="E50" s="4">
        <f>Balance_Sheet2324[[#This Row],[FY 23]]/'Balance Sheet 2022-24'!E$67</f>
        <v>-0.1216752419987791</v>
      </c>
      <c r="F50" s="4">
        <f>Balance_Sheet2324[[#This Row],[FY 22]]/'Balance Sheet 2022-24'!F$67</f>
        <v>-0.13582432789954615</v>
      </c>
    </row>
    <row r="51" spans="2:6" x14ac:dyDescent="0.25">
      <c r="B51" s="6" t="s">
        <v>309</v>
      </c>
      <c r="C51" s="4">
        <f>Balance_Sheet2324[[#This Row],[FY 25]]/'Balance Sheet 2022-24'!C$67</f>
        <v>-0.18251478529184881</v>
      </c>
      <c r="D51" s="4">
        <f>Balance_Sheet2324[[#This Row],[FY 24]]/'Balance Sheet 2022-24'!D$67</f>
        <v>-0.14962052764727141</v>
      </c>
      <c r="E51" s="4">
        <f>Balance_Sheet2324[[#This Row],[FY 23]]/'Balance Sheet 2022-24'!E$67</f>
        <v>-0.15548966599808145</v>
      </c>
      <c r="F51" s="4">
        <f>Balance_Sheet2324[[#This Row],[FY 22]]/'Balance Sheet 2022-24'!F$67</f>
        <v>-0.1508232085800924</v>
      </c>
    </row>
    <row r="52" spans="2:6" x14ac:dyDescent="0.25">
      <c r="B52" s="6" t="s">
        <v>313</v>
      </c>
      <c r="C52" s="4">
        <f>Balance_Sheet2324[[#This Row],[FY 25]]/'Balance Sheet 2022-24'!C$67</f>
        <v>-4.2684494728722037E-3</v>
      </c>
      <c r="D52" s="4">
        <f>Balance_Sheet2324[[#This Row],[FY 24]]/'Balance Sheet 2022-24'!D$67</f>
        <v>-3.7203171836135973E-3</v>
      </c>
      <c r="E52" s="4">
        <f>Balance_Sheet2324[[#This Row],[FY 23]]/'Balance Sheet 2022-24'!E$67</f>
        <v>-4.2295282113892036E-3</v>
      </c>
      <c r="F52" s="4">
        <f>Balance_Sheet2324[[#This Row],[FY 22]]/'Balance Sheet 2022-24'!F$67</f>
        <v>-3.7242810916417362E-3</v>
      </c>
    </row>
    <row r="53" spans="2:6" x14ac:dyDescent="0.25">
      <c r="B53" s="6" t="s">
        <v>321</v>
      </c>
      <c r="C53" s="4">
        <f>Balance_Sheet2324[[#This Row],[FY 25]]/'Balance Sheet 2022-24'!C$67</f>
        <v>0</v>
      </c>
      <c r="D53" s="4">
        <f>Balance_Sheet2324[[#This Row],[FY 24]]/'Balance Sheet 2022-24'!D$67</f>
        <v>-1.7007164267947874E-2</v>
      </c>
      <c r="E53" s="4">
        <f>Balance_Sheet2324[[#This Row],[FY 23]]/'Balance Sheet 2022-24'!E$67</f>
        <v>-4.9380831952559517E-2</v>
      </c>
      <c r="F53" s="4">
        <f>Balance_Sheet2324[[#This Row],[FY 22]]/'Balance Sheet 2022-24'!F$67</f>
        <v>-3.3579583613163197E-2</v>
      </c>
    </row>
    <row r="54" spans="2:6" x14ac:dyDescent="0.25">
      <c r="B54" s="6" t="s">
        <v>260</v>
      </c>
      <c r="C54" s="4">
        <f>Balance_Sheet2324[[#This Row],[FY 25]]/'Balance Sheet 2022-24'!C$67</f>
        <v>-5.2712779634867578E-3</v>
      </c>
      <c r="D54" s="4">
        <f>Balance_Sheet2324[[#This Row],[FY 24]]/'Balance Sheet 2022-24'!D$67</f>
        <v>-5.1234082357192968E-3</v>
      </c>
      <c r="E54" s="4">
        <f>Balance_Sheet2324[[#This Row],[FY 23]]/'Balance Sheet 2022-24'!E$67</f>
        <v>-6.2788872416499521E-3</v>
      </c>
      <c r="F54" s="4">
        <f>Balance_Sheet2324[[#This Row],[FY 22]]/'Balance Sheet 2022-24'!F$67</f>
        <v>-7.2654008181207647E-3</v>
      </c>
    </row>
    <row r="55" spans="2:6" x14ac:dyDescent="0.25">
      <c r="B55" s="6" t="s">
        <v>354</v>
      </c>
      <c r="C55" s="4">
        <f>Balance_Sheet2324[[#This Row],[FY 25]]/'Balance Sheet 2022-24'!C$67</f>
        <v>-7.8940601697094371E-3</v>
      </c>
      <c r="D55" s="4">
        <f>Balance_Sheet2324[[#This Row],[FY 24]]/'Balance Sheet 2022-24'!D$67</f>
        <v>-1.3967133655052191E-2</v>
      </c>
      <c r="E55" s="4">
        <f>Balance_Sheet2324[[#This Row],[FY 23]]/'Balance Sheet 2022-24'!E$67</f>
        <v>-8.7206767245138223E-3</v>
      </c>
      <c r="F55" s="4">
        <f>Balance_Sheet2324[[#This Row],[FY 22]]/'Balance Sheet 2022-24'!F$67</f>
        <v>-6.1664326271445146E-3</v>
      </c>
    </row>
    <row r="56" spans="2:6" x14ac:dyDescent="0.25">
      <c r="B56" s="6" t="s">
        <v>358</v>
      </c>
      <c r="C56" s="4">
        <f>Balance_Sheet2324[[#This Row],[FY 25]]/'Balance Sheet 2022-24'!C$67</f>
        <v>-1.2933916173823605E-2</v>
      </c>
      <c r="D56" s="4">
        <f>Balance_Sheet2324[[#This Row],[FY 24]]/'Balance Sheet 2022-24'!D$67</f>
        <v>-5.7186589850974721E-3</v>
      </c>
      <c r="E56" s="4">
        <f>Balance_Sheet2324[[#This Row],[FY 23]]/'Balance Sheet 2022-24'!E$67</f>
        <v>-2.5944013255428623E-3</v>
      </c>
      <c r="F56" s="4">
        <f>Balance_Sheet2324[[#This Row],[FY 22]]/'Balance Sheet 2022-24'!F$67</f>
        <v>-1.8519649144229398E-2</v>
      </c>
    </row>
    <row r="57" spans="2:6" x14ac:dyDescent="0.25">
      <c r="B57" s="15" t="s">
        <v>4</v>
      </c>
      <c r="C57" s="4">
        <f>Balance_Sheet2324[[#This Row],[FY 25]]/'Balance Sheet 2022-24'!C$67</f>
        <v>-0.34476729236307535</v>
      </c>
      <c r="D57" s="4">
        <f>Balance_Sheet2324[[#This Row],[FY 24]]/'Balance Sheet 2022-24'!D$67</f>
        <v>-0.31680095240119899</v>
      </c>
      <c r="E57" s="4">
        <f>Balance_Sheet2324[[#This Row],[FY 23]]/'Balance Sheet 2022-24'!E$67</f>
        <v>-0.34954652481032528</v>
      </c>
      <c r="F57" s="4">
        <f>Balance_Sheet2324[[#This Row],[FY 22]]/'Balance Sheet 2022-24'!F$67</f>
        <v>-0.35700185196491441</v>
      </c>
    </row>
    <row r="58" spans="2:6" x14ac:dyDescent="0.25">
      <c r="B58" s="17" t="s">
        <v>442</v>
      </c>
      <c r="C58" s="32">
        <f>Balance_Sheet2324[[#This Row],[FY 25]]/'Balance Sheet 2022-24'!C$67</f>
        <v>-0.70012856775520704</v>
      </c>
      <c r="D58" s="32">
        <f>Balance_Sheet2324[[#This Row],[FY 24]]/'Balance Sheet 2022-24'!D$67</f>
        <v>-0.75201428601798503</v>
      </c>
      <c r="E58" s="32">
        <f>Balance_Sheet2324[[#This Row],[FY 23]]/'Balance Sheet 2022-24'!E$67</f>
        <v>-0.73347431760704629</v>
      </c>
      <c r="F58" s="32">
        <f>Balance_Sheet2324[[#This Row],[FY 22]]/'Balance Sheet 2022-24'!F$67</f>
        <v>-0.68186905997517144</v>
      </c>
    </row>
    <row r="59" spans="2:6" x14ac:dyDescent="0.25">
      <c r="B59" s="6" t="s">
        <v>368</v>
      </c>
      <c r="C59" s="4"/>
      <c r="D59" s="4"/>
      <c r="E59" s="4"/>
      <c r="F59" s="4"/>
    </row>
    <row r="60" spans="2:6" x14ac:dyDescent="0.25">
      <c r="B60" s="6" t="s">
        <v>369</v>
      </c>
      <c r="C60" s="4">
        <f>Balance_Sheet2324[[#This Row],[FY 25]]/'Balance Sheet 2022-24'!C$67</f>
        <v>1.0953972743635897E-2</v>
      </c>
      <c r="D60" s="4">
        <f>Balance_Sheet2324[[#This Row],[FY 24]]/'Balance Sheet 2022-24'!D$67</f>
        <v>9.4602351240460052E-3</v>
      </c>
      <c r="E60" s="4">
        <f>Balance_Sheet2324[[#This Row],[FY 23]]/'Balance Sheet 2022-24'!E$67</f>
        <v>1.0094183308624749E-2</v>
      </c>
      <c r="F60" s="4">
        <f>Balance_Sheet2324[[#This Row],[FY 22]]/'Balance Sheet 2022-24'!F$67</f>
        <v>9.8500111931945373E-3</v>
      </c>
    </row>
    <row r="61" spans="2:6" x14ac:dyDescent="0.25">
      <c r="B61" s="6" t="s">
        <v>373</v>
      </c>
      <c r="C61" s="4">
        <f>Balance_Sheet2324[[#This Row],[FY 25]]/'Balance Sheet 2022-24'!C$67</f>
        <v>0.1328104911288249</v>
      </c>
      <c r="D61" s="4">
        <f>Balance_Sheet2324[[#This Row],[FY 24]]/'Balance Sheet 2022-24'!D$67</f>
        <v>0.10980250430493846</v>
      </c>
      <c r="E61" s="4">
        <f>Balance_Sheet2324[[#This Row],[FY 23]]/'Balance Sheet 2022-24'!E$67</f>
        <v>0.11260573820528473</v>
      </c>
      <c r="F61" s="4">
        <f>Balance_Sheet2324[[#This Row],[FY 22]]/'Balance Sheet 2022-24'!F$67</f>
        <v>0.10511427234059874</v>
      </c>
    </row>
    <row r="62" spans="2:6" x14ac:dyDescent="0.25">
      <c r="B62" s="6" t="s">
        <v>375</v>
      </c>
      <c r="C62" s="4">
        <f>Balance_Sheet2324[[#This Row],[FY 25]]/'Balance Sheet 2022-24'!C$67</f>
        <v>8.0740550269992287E-2</v>
      </c>
      <c r="D62" s="4">
        <f>Balance_Sheet2324[[#This Row],[FY 24]]/'Balance Sheet 2022-24'!D$67</f>
        <v>6.6561789153680995E-2</v>
      </c>
      <c r="E62" s="4">
        <f>Balance_Sheet2324[[#This Row],[FY 23]]/'Balance Sheet 2022-24'!E$67</f>
        <v>6.8435510595622223E-2</v>
      </c>
      <c r="F62" s="4">
        <f>Balance_Sheet2324[[#This Row],[FY 22]]/'Balance Sheet 2022-24'!F$67</f>
        <v>6.2681889411237965E-2</v>
      </c>
    </row>
    <row r="63" spans="2:6" x14ac:dyDescent="0.25">
      <c r="B63" s="6" t="s">
        <v>379</v>
      </c>
      <c r="C63" s="4">
        <f>Balance_Sheet2324[[#This Row],[FY 25]]/'Balance Sheet 2022-24'!C$67</f>
        <v>7.5469272306505533E-2</v>
      </c>
      <c r="D63" s="4">
        <f>Balance_Sheet2324[[#This Row],[FY 24]]/'Balance Sheet 2022-24'!D$67</f>
        <v>6.2288739131359086E-2</v>
      </c>
      <c r="E63" s="4">
        <f>Balance_Sheet2324[[#This Row],[FY 23]]/'Balance Sheet 2022-24'!E$67</f>
        <v>7.5630068893346128E-2</v>
      </c>
      <c r="F63" s="4">
        <f>Balance_Sheet2324[[#This Row],[FY 22]]/'Balance Sheet 2022-24'!F$67</f>
        <v>0.14081038728453102</v>
      </c>
    </row>
    <row r="64" spans="2:6" x14ac:dyDescent="0.25">
      <c r="B64" s="6" t="s">
        <v>383</v>
      </c>
      <c r="C64" s="4">
        <f>Balance_Sheet2324[[#This Row],[FY 25]]/'Balance Sheet 2022-24'!C$67</f>
        <v>0.29997428644895863</v>
      </c>
      <c r="D64" s="4">
        <f>Balance_Sheet2324[[#This Row],[FY 24]]/'Balance Sheet 2022-24'!D$67</f>
        <v>0.24811326771402453</v>
      </c>
      <c r="E64" s="4">
        <f>Balance_Sheet2324[[#This Row],[FY 23]]/'Balance Sheet 2022-24'!E$67</f>
        <v>0.26676550100287783</v>
      </c>
      <c r="F64" s="4">
        <f>Balance_Sheet2324[[#This Row],[FY 22]]/'Balance Sheet 2022-24'!F$67</f>
        <v>0.31845656022956226</v>
      </c>
    </row>
    <row r="65" spans="2:15" x14ac:dyDescent="0.25">
      <c r="B65" s="6" t="s">
        <v>58</v>
      </c>
      <c r="C65" s="4">
        <f>Balance_Sheet2324[[#This Row],[FY 25]]/'Balance Sheet 2022-24'!C$67</f>
        <v>-1.0285420416559527E-4</v>
      </c>
      <c r="D65" s="4">
        <f>Balance_Sheet2324[[#This Row],[FY 24]]/'Balance Sheet 2022-24'!D$67</f>
        <v>-1.2755373200960905E-4</v>
      </c>
      <c r="E65" s="4">
        <f>Balance_Sheet2324[[#This Row],[FY 23]]/'Balance Sheet 2022-24'!E$67</f>
        <v>-2.3981860992413012E-4</v>
      </c>
      <c r="F65" s="4">
        <f>Balance_Sheet2324[[#This Row],[FY 22]]/'Balance Sheet 2022-24'!F$67</f>
        <v>-3.2562020473370372E-4</v>
      </c>
    </row>
    <row r="66" spans="2:15" s="1" customFormat="1" x14ac:dyDescent="0.25">
      <c r="B66" s="18" t="s">
        <v>388</v>
      </c>
      <c r="C66" s="32">
        <f>Balance_Sheet2324[[#This Row],[FY 25]]/'Balance Sheet 2022-24'!C$67</f>
        <v>0.29987143224479301</v>
      </c>
      <c r="D66" s="32">
        <f>Balance_Sheet2324[[#This Row],[FY 24]]/'Balance Sheet 2022-24'!D$67</f>
        <v>0.24798571398201491</v>
      </c>
      <c r="E66" s="32">
        <f>Balance_Sheet2324[[#This Row],[FY 23]]/'Balance Sheet 2022-24'!E$67</f>
        <v>0.26652568239295371</v>
      </c>
      <c r="F66" s="32">
        <f>Balance_Sheet2324[[#This Row],[FY 22]]/'Balance Sheet 2022-24'!F$67</f>
        <v>0.31813094002482856</v>
      </c>
      <c r="H66"/>
      <c r="I66"/>
      <c r="J66"/>
      <c r="K66"/>
      <c r="L66"/>
      <c r="M66"/>
      <c r="N66"/>
      <c r="O66"/>
    </row>
    <row r="67" spans="2:15" ht="15.75" thickBot="1" x14ac:dyDescent="0.3">
      <c r="B67" s="16" t="s">
        <v>474</v>
      </c>
      <c r="C67" s="33">
        <f>Balance_Sheet2324[[#This Row],[FY 25]]/'Balance Sheet 2022-24'!C$67</f>
        <v>1</v>
      </c>
      <c r="D67" s="33">
        <f>Balance_Sheet2324[[#This Row],[FY 24]]/'Balance Sheet 2022-24'!D$67</f>
        <v>1</v>
      </c>
      <c r="E67" s="33">
        <f>Balance_Sheet2324[[#This Row],[FY 23]]/'Balance Sheet 2022-24'!E$67</f>
        <v>1</v>
      </c>
      <c r="F67" s="33">
        <f>Balance_Sheet2324[[#This Row],[FY 22]]/'Balance Sheet 2022-24'!F$67</f>
        <v>1</v>
      </c>
    </row>
    <row r="70" spans="2:15" x14ac:dyDescent="0.25">
      <c r="B70" s="6" t="s">
        <v>443</v>
      </c>
    </row>
    <row r="72" spans="2:15" x14ac:dyDescent="0.25">
      <c r="B72" s="6" t="s">
        <v>444</v>
      </c>
    </row>
    <row r="73" spans="2:15" x14ac:dyDescent="0.25">
      <c r="B73" s="6" t="s">
        <v>445</v>
      </c>
    </row>
  </sheetData>
  <mergeCells count="2">
    <mergeCell ref="B1:F2"/>
    <mergeCell ref="B3:F3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b d 6 e d b - 6 4 8 b - 4 a 2 3 - b c e 7 - 4 f 7 2 3 b e 3 9 f f 0 "   x m l n s = " h t t p : / / s c h e m a s . m i c r o s o f t . c o m / D a t a M a s h u p " > A A A A A O E H A A B Q S w M E F A A C A A g A J J A H W 1 i 5 o R i m A A A A 9 w A A A B I A H A B D b 2 5 m a W c v U G F j a 2 F n Z S 5 4 b W w g o h g A K K A U A A A A A A A A A A A A A A A A A A A A A A A A A A A A h Y 8 x D o I w G I W v Q r r T l q r R k J + S 6 O A i i Y m J c W 1 K h U Y o h h b L 3 R w 8 k l c Q o 6 i b 4 / v e N 7 x 3 v 9 4 g 7 e s q u K j W 6 s Y k K M I U B c r I J t e m S F D n j u E C p R y 2 Q p 5 E o Y J B N j b u b Z 6 g 0 r l z T I j 3 H v s J b t q C M E o j c s g 2 O 1 m q W q C P r P / L o T b W C S M V 4 r B / j e E M R 9 M Z j i i b Y w p k p J B p 8 z X Y M P j Z / k B Y d Z X r W s W V C d d L I G M E 8 j 7 B H 1 B L A w Q U A A I A C A A k k A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A H W 2 Y R V D z Z B A A A a C 8 A A B M A H A B G b 3 J t d W x h c y 9 T Z W N 0 a W 9 u M S 5 t I K I Y A C i g F A A A A A A A A A A A A A A A A A A A A A A A A A A A A O 1 a b W / b N h D + H i D / g W C + 2 I B s V 5 Q c L x v y I f U W 1 E D R F r G x Y Q i y g J H o 2 a g s q R I V J z D 8 3 3 d 6 s 9 4 o W X L c b F l V F A h w p O 6 e O / K 5 O 9 J 0 m c a X l o m m 4 V / 5 l 9 O T 0 x N 3 Q R 2 m o z M 8 M T V r x d C U U 8 5 W z O R E I S p G l 8 h g / P Q E w b + p 5 T k a A 8 k X f d 6 f 0 Q e D u Z 0 / 2 E N / b J k c 5 r s d v O D c d n 8 e D N b r d Z + a p k c N h 9 m W w 9 0 + q B 5 8 s F z O 9 F 8 p p 4 O r Y P A m G L x y t M X y k Q 3 4 4 O P 0 t / v Z d P z 5 n r w j a t / W 5 7 g r o d v J y j Y C Q N Q H f Y n l v o L v u l K I K Y C h K u 8 A V Q h v c z v R L 3 E s x n f b W 9 / g X T T 9 D H 9 x r J U F M N A H R n X m u L 6 H w e x + N B L J O 7 E K Q B C N X B n G V K M G d d x L 7 n h s h + E M j x f U / B t 0 z p 5 t l i i c O d R 0 5 5 a z G l u G t z L 9 Q b c j Q C B t N j i c I m M J c Z i G O H v i W w n F c g L y i c n P 1 b 6 v J D W g F D 4 Y E r R m 7 K u L m K k z v U T f s E R + v k f d f R n A n z L y b R K Z G 2 b S F f g a T k t F O x y I x J 1 c C P 2 I F B z B R E X X 7 M H x q P O M / B 2 C c 8 g x G W Y m K D i L Z G U 9 + g Y s G 9 1 Y 6 x S U 6 d e l 3 S l C l e R S N + R y P w p m k t X 1 o 4 6 v / 4 y w C 6 A J g u Q P p J X n Y E j p j V A M E M j i D V S + J m S / M 7 u Q b N I L H v k i D r M o U p X O E N + Z w g q C l c I W z F i z D a q B k t + p 4 b G 0 r U A e S I t + Q N x M z z A k j K V o o p P 5 A o D E y 5 T 2 s s y s X G E 3 A 2 + v 1 T g L l J o i N U 2 B h 5 D P X Q 8 y E G R s h z 0 y 0 2 N / b T o P 3 a 1 o p I h o B j y u A 0 i p C Y h k z L r M e V z C X / Z k M 9 N l r g B Z f k o T i O / B r 2 D B a 4 K D b Y Y / M b 6 z h e a Q o k H H c o d G g x L n U I 2 7 a M E M f Q e 3 y U f N Y p y h h l L O 0 M T V b B X B n 6 D E u D l m p n 1 W K 2 K T M y 5 F y k Q 7 N / I h s p Y Y u 9 K B q 1 C z d P a U G A J h I A k 1 F 5 Y h Y F v 4 i Y T k 4 H 9 S 9 N J + W A 7 U T X G + D I a S 8 K R h A M x Y e e w Q 2 s v z T N 4 g V c k s D 2 p n b t s 9 P V m a p S q z T d h 7 6 C / 8 v T N d M P a m O j A i 7 s B I s Q N r 0 C z F S u p 1 S C J 5 s U E K 5 W q t z u g o j U y q Q O + K f x Z I I F d w D k Y g J U d p F J I + g b y 8 e v r 5 A O p Y V T p I 5 a E c w Z S U Y 6 9 X T + v j 2 N s j 5 q q s L C T 3 7 v s 0 u c f X P p / f C J 1 V M Z 3 V Y 9 B Z / d 5 0 P o Q x O d o e k y 4 N d m k q V 8 S O H Z K D 8 j y p n 4 V e f m o i 9 R k h u n P o E f K C k g d V X b N s Q w v o A b C W d O D J a + M b + T Y f B G M 9 G O y F T O q F V O r 5 P j f h x m g o 5 M Z o e A R u j I b / V q m r u g Q I 5 a P X O / t n i m D 1 A f O g G t i U a T X O + 2 V H 5 O f q E l 7 / f J w 6 7 J 8 n q E c N y 1 f + H K w e n N 6 S C 4 5 G V T i q v M / V h V f e U 3 k z l z N 1 z x p 5 E 6 9 2 2 j g g A E Q Q g M I J o 7 r 5 K B w t p t D t D I j y X 0 + v I 3 F 6 H R 0 j v Y 5 e t f W o x a d s 8 m v c K 9 R K Z o 2 6 2 g y 3 a l + X i x J D w 5 t z e c 8 a l l y d F 9 Z F c E s d 3 S U W h K R 8 8 f Y l p C z y i s v i + n f F c u w P / r g 0 G Z p w R l f 5 O 5 z D i 1 9 w c 1 p x F Z F L F 3 B c e Q v Z 4 k K c L S 6 O k S 0 u 2 m z x Y 2 a L 4 q 8 Q u Q n n m Q n f K Y v U p n o x i x x I d t Q h 3 Z b w L e F b w v / f C S 9 6 7 P F C 9 r c P P t o H H + 2 D j / b B R / v g o / k P V O 2 D j / b B R / v g o 3 3 w 8 c a 6 s P b R R / U v W O 2 j j x / y 0 c c / U E s B A i 0 A F A A C A A g A J J A H W 1 i 5 o R i m A A A A 9 w A A A B I A A A A A A A A A A A A A A A A A A A A A A E N v b m Z p Z y 9 Q Y W N r Y W d l L n h t b F B L A Q I t A B Q A A g A I A C S Q B 1 s P y u m r p A A A A O k A A A A T A A A A A A A A A A A A A A A A A P I A A A B b Q 2 9 u d G V u d F 9 U e X B l c 1 0 u e G 1 s U E s B A i 0 A F A A C A A g A J J A H W 2 Y R V D z Z B A A A a C 8 A A B M A A A A A A A A A A A A A A A A A 4 w E A A E Z v c m 1 1 b G F z L 1 N l Y 3 R p b 2 4 x L m 1 Q S w U G A A A A A A M A A w D C A A A A C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o E A A A A A A A B A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Y 2 9 t Z S U y M F N 0 Y X R l b W V u d D I z L T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3 Z G Y z M D M t Z D J m Y i 0 0 M m I 2 L W I y O T Q t N D l i M G M x Z T J j M z h j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V Q y M T o z N j o 0 M i 4 4 O T A 5 M z I 2 W i I g L z 4 8 R W 5 0 c n k g V H l w Z T 0 i R m l s b E N v b H V t b l R 5 c G V z I i B W Y W x 1 Z T 0 i c 0 F 3 W U d C Z z 0 9 I i A v P j x F b n R y e S B U e X B l P S J G a W x s Q 2 9 s d W 1 u T m F t Z X M i I F Z h b H V l P S J z W y Z x d W 9 0 O 0 l u Z G V 4 J n F 1 b 3 Q 7 L C Z x d W 9 0 O 0 N v b H V t b j E m c X V v d D s s J n F 1 b 3 Q 7 R l k y M y Z x d W 9 0 O y w m c X V v d D t G e T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b 2 1 l I F N 0 Y X R l b W V u d D I z L T I y L 0 F 1 d G 9 S Z W 1 v d m V k Q 2 9 s d W 1 u c z E u e 0 l u Z G V 4 L D B 9 J n F 1 b 3 Q 7 L C Z x d W 9 0 O 1 N l Y 3 R p b 2 4 x L 0 l u Y 2 9 t Z S B T d G F 0 Z W 1 l b n Q y M y 0 y M i 9 B d X R v U m V t b 3 Z l Z E N v b H V t b n M x L n t D b 2 x 1 b W 4 x L D F 9 J n F 1 b 3 Q 7 L C Z x d W 9 0 O 1 N l Y 3 R p b 2 4 x L 0 l u Y 2 9 t Z S B T d G F 0 Z W 1 l b n Q y M y 0 y M i 9 B d X R v U m V t b 3 Z l Z E N v b H V t b n M x L n t G W T I z L D J 9 J n F 1 b 3 Q 7 L C Z x d W 9 0 O 1 N l Y 3 R p b 2 4 x L 0 l u Y 2 9 t Z S B T d G F 0 Z W 1 l b n Q y M y 0 y M i 9 B d X R v U m V t b 3 Z l Z E N v b H V t b n M x L n t G e T I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u Y 2 9 t Z S B T d G F 0 Z W 1 l b n Q y M y 0 y M i 9 B d X R v U m V t b 3 Z l Z E N v b H V t b n M x L n t J b m R l e C w w f S Z x d W 9 0 O y w m c X V v d D t T Z W N 0 a W 9 u M S 9 J b m N v b W U g U 3 R h d G V t Z W 5 0 M j M t M j I v Q X V 0 b 1 J l b W 9 2 Z W R D b 2 x 1 b W 5 z M S 5 7 Q 2 9 s d W 1 u M S w x f S Z x d W 9 0 O y w m c X V v d D t T Z W N 0 a W 9 u M S 9 J b m N v b W U g U 3 R h d G V t Z W 5 0 M j M t M j I v Q X V 0 b 1 J l b W 9 2 Z W R D b 2 x 1 b W 5 z M S 5 7 R l k y M y w y f S Z x d W 9 0 O y w m c X V v d D t T Z W N 0 a W 9 u M S 9 J b m N v b W U g U 3 R h d G V t Z W 5 0 M j M t M j I v Q X V 0 b 1 J l b W 9 2 Z W R D b 2 x 1 b W 5 z M S 5 7 R n k y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j b 2 1 l J T I w U 3 R h d G V t Z W 5 0 M j M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t M j I v V G F i b G U 0 N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y 0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L T I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t M j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y 0 y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y 0 y M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y 0 y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L T I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y 0 y M i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y 0 y M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t M j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J T I w M j I l M k Y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Y j k 4 N j g 1 L W E z O W M t N G E y O S 1 i M D A 3 L T B m N j R i Y z A w N T U 0 M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V U M j E 6 M z Y 6 N D g u N T A 1 M T c 3 M F o i I C 8 + P E V u d H J 5 I F R 5 c G U 9 I k Z p b G x D b 2 x 1 b W 5 U e X B l c y I g V m F s d W U 9 I n N C Z 1 l H I i A v P j x F b n R y e S B U e X B l P S J G a W x s Q 2 9 s d W 1 u T m F t Z X M i I F Z h b H V l P S J z W y Z x d W 9 0 O 0 x p b m U g S X R l Y W 1 z J n F 1 b 3 Q 7 L C Z x d W 9 0 O z I w M j M m c X V v d D s s J n F 1 b 3 Q 7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T I D I y X F w v M j M v Q X V 0 b 1 J l b W 9 2 Z W R D b 2 x 1 b W 5 z M S 5 7 T G l u Z S B J d G V h b X M s M H 0 m c X V v d D s s J n F 1 b 3 Q 7 U 2 V j d G l v b j E v Q l M g M j J c X C 8 y M y 9 B d X R v U m V t b 3 Z l Z E N v b H V t b n M x L n s y M D I z L D F 9 J n F 1 b 3 Q 7 L C Z x d W 9 0 O 1 N l Y 3 R p b 2 4 x L 0 J T I D I y X F w v M j M v Q X V 0 b 1 J l b W 9 2 Z W R D b 2 x 1 b W 5 z M S 5 7 M j A y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U y A y M l x c L z I z L 0 F 1 d G 9 S Z W 1 v d m V k Q 2 9 s d W 1 u c z E u e 0 x p b m U g S X R l Y W 1 z L D B 9 J n F 1 b 3 Q 7 L C Z x d W 9 0 O 1 N l Y 3 R p b 2 4 x L 0 J T I D I y X F w v M j M v Q X V 0 b 1 J l b W 9 2 Z W R D b 2 x 1 b W 5 z M S 5 7 M j A y M y w x f S Z x d W 9 0 O y w m c X V v d D t T Z W N 0 a W 9 u M S 9 C U y A y M l x c L z I z L 0 F 1 d G 9 S Z W 1 v d m V k Q 2 9 s d W 1 u c z E u e z I w M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T J T I w M j I l M k Y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y U y M D I y J T J G M j M v V G F i b G U 0 N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y U y M D I y J T J G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j I y J T J G M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k y Z T g w Y i 0 4 M D I 0 L T Q z N j k t O T N l M C 1 j N m E 0 N j Y w Y z c 2 N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1 V D I x O j M 2 O j Q 2 L j I y N z k z N j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z I 1 I E Z l Y n J 1 Y X J 5 I D I w M j M m c X V v d D s s J n F 1 b 3 Q 7 M j Y g R m V i c n V h c n k g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G M j J c X C 8 y M y 9 B d X R v U m V t b 3 Z l Z E N v b H V t b n M x L n t D b 2 x 1 b W 4 x L D B 9 J n F 1 b 3 Q 7 L C Z x d W 9 0 O 1 N l Y 3 R p b 2 4 x L 0 N G M j J c X C 8 y M y 9 B d X R v U m V t b 3 Z l Z E N v b H V t b n M x L n s y N S B G Z W J y d W F y e S A y M D I z L D F 9 J n F 1 b 3 Q 7 L C Z x d W 9 0 O 1 N l Y 3 R p b 2 4 x L 0 N G M j J c X C 8 y M y 9 B d X R v U m V t b 3 Z l Z E N v b H V t b n M x L n s y N i B G Z W J y d W F y e S A y M D I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G M j J c X C 8 y M y 9 B d X R v U m V t b 3 Z l Z E N v b H V t b n M x L n t D b 2 x 1 b W 4 x L D B 9 J n F 1 b 3 Q 7 L C Z x d W 9 0 O 1 N l Y 3 R p b 2 4 x L 0 N G M j J c X C 8 y M y 9 B d X R v U m V t b 3 Z l Z E N v b H V t b n M x L n s y N S B G Z W J y d W F y e S A y M D I z L D F 9 J n F 1 b 3 Q 7 L C Z x d W 9 0 O 1 N l Y 3 R p b 2 4 x L 0 N G M j J c X C 8 y M y 9 B d X R v U m V t b 3 Z l Z E N v b H V t b n M x L n s y N i B G Z W J y d W F y e S A y M D I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R j I y J T J G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Y y M i U y R j I z L 1 R h Y m x l N D c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Y y M i U y R j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N z J i N T R m L T Q z Y T E t N D B l Y i 1 h Z T J j L W N k N W I z N j Z i O D V k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W 5 j b 2 1 l X 1 N 0 Y X R l b W V u d D I z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V U M j E 6 M z g 6 N T g u M D Y 5 M T A 1 M 1 o i I C 8 + P E V u d H J 5 I F R 5 c G U 9 I k Z p b G x D b 2 x 1 b W 5 U e X B l c y I g V m F s d W U 9 I n N C Z 1 l H I i A v P j x F b n R y e S B U e X B l P S J G a W x s Q 2 9 s d W 1 u T m F t Z X M i I F Z h b H V l P S J z W y Z x d W 9 0 O 0 5 v d G V z J n F 1 b 3 Q 7 L C Z x d W 9 0 O 0 Z Z I D I w M j Q m c X V v d D s s J n F 1 b 3 Q 7 R l k g M j A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Y 2 9 t Z S B T d G F 0 Z W 1 l b n Q y M z I 0 L 0 F 1 d G 9 S Z W 1 v d m V k Q 2 9 s d W 1 u c z E u e 0 5 v d G V z L D B 9 J n F 1 b 3 Q 7 L C Z x d W 9 0 O 1 N l Y 3 R p b 2 4 x L 0 l u Y 2 9 t Z S B T d G F 0 Z W 1 l b n Q y M z I 0 L 0 F 1 d G 9 S Z W 1 v d m V k Q 2 9 s d W 1 u c z E u e 0 Z Z I D I w M j Q s M X 0 m c X V v d D s s J n F 1 b 3 Q 7 U 2 V j d G l v b j E v S W 5 j b 2 1 l I F N 0 Y X R l b W V u d D I z M j Q v Q X V 0 b 1 J l b W 9 2 Z W R D b 2 x 1 b W 5 z M S 5 7 R l k g M j A y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m N v b W U g U 3 R h d G V t Z W 5 0 M j M y N C 9 B d X R v U m V t b 3 Z l Z E N v b H V t b n M x L n t O b 3 R l c y w w f S Z x d W 9 0 O y w m c X V v d D t T Z W N 0 a W 9 u M S 9 J b m N v b W U g U 3 R h d G V t Z W 5 0 M j M y N C 9 B d X R v U m V t b 3 Z l Z E N v b H V t b n M x L n t G W S A y M D I 0 L D F 9 J n F 1 b 3 Q 7 L C Z x d W 9 0 O 1 N l Y 3 R p b 2 4 x L 0 l u Y 2 9 t Z S B T d G F 0 Z W 1 l b n Q y M z I 0 L 0 F 1 d G 9 S Z W 1 v d m V k Q 2 9 s d W 1 u c z E u e 0 Z Z I D I w M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Y 2 9 t Z S U y M F N 0 Y X R l b W V u d D I z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9 U Y W J s Z T Q z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v Q i U y M H J l b W 9 2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y M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g x O D l j N z M t N T Z h M y 0 0 Y T A 1 L T l m M T E t Z W M 5 Z j g z Y z V m Y z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Y W x h b m N l X 1 N o Z W V 0 M j M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V Q x O T o 1 N D o y M y 4 4 N T A 1 N j c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R l k g M j A y N C Z x d W 9 0 O y w m c X V v d D t G W S A y M y Z x d W 9 0 O y w m c X V v d D t G W S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b G F u Y 2 U g U 2 h l Z X Q v Q X V 0 b 1 J l b W 9 2 Z W R D b 2 x 1 b W 5 z M S 5 7 Q 2 9 s d W 1 u M S w w f S Z x d W 9 0 O y w m c X V v d D t T Z W N 0 a W 9 u M S 9 C Y W x h b m N l I F N o Z W V 0 L 0 F 1 d G 9 S Z W 1 v d m V k Q 2 9 s d W 1 u c z E u e 0 Z Z I D I w M j Q s M X 0 m c X V v d D s s J n F 1 b 3 Q 7 U 2 V j d G l v b j E v Q m F s Y W 5 j Z S B T a G V l d C 9 B d X R v U m V t b 3 Z l Z E N v b H V t b n M x L n t G W S A y M y w y f S Z x d W 9 0 O y w m c X V v d D t T Z W N 0 a W 9 u M S 9 C Y W x h b m N l I F N o Z W V 0 L 0 F 1 d G 9 S Z W 1 v d m V k Q 2 9 s d W 1 u c z E u e 0 Z Z I D I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h b G F u Y 2 U g U 2 h l Z X Q v Q X V 0 b 1 J l b W 9 2 Z W R D b 2 x 1 b W 5 z M S 5 7 Q 2 9 s d W 1 u M S w w f S Z x d W 9 0 O y w m c X V v d D t T Z W N 0 a W 9 u M S 9 C Y W x h b m N l I F N o Z W V 0 L 0 F 1 d G 9 S Z W 1 v d m V k Q 2 9 s d W 1 u c z E u e 0 Z Z I D I w M j Q s M X 0 m c X V v d D s s J n F 1 b 3 Q 7 U 2 V j d G l v b j E v Q m F s Y W 5 j Z S B T a G V l d C 9 B d X R v U m V t b 3 Z l Z E N v b H V t b n M x L n t G W S A y M y w y f S Z x d W 9 0 O y w m c X V v d D t T Z W N 0 a W 9 u M S 9 C Y W x h b m N l I F N o Z W V 0 L 0 F 1 d G 9 S Z W 1 v d m V k Q 2 9 s d W 1 u c z E u e 0 Z Z I D I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x h b m N l J T I w U 2 h l Z X Q y M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D I z M j Q v V G F i b G U 0 M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y M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M j M y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D I z M j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y M z I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y M z I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M j M y N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M j M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M m J l Z D c y L T Z m N j Y t N D I 1 M S 1 h N 2 N m L W E 3 N m Z h Z T g x Y T h i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0 N G M j M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V Q x O T o 1 N D o w M y 4 w N T E 3 M z g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G W S A y M D I 0 J n F 1 b 3 Q 7 L C Z x d W 9 0 O 0 Z Z I D I w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i 9 B d X R v U m V t b 3 Z l Z E N v b H V t b n M x L n t D b 2 x 1 b W 4 x L D B 9 J n F 1 b 3 Q 7 L C Z x d W 9 0 O 1 N l Y 3 R p b 2 4 x L 0 N G L 0 F 1 d G 9 S Z W 1 v d m V k Q 2 9 s d W 1 u c z E u e 0 Z Z I D I w M j Q s M X 0 m c X V v d D s s J n F 1 b 3 Q 7 U 2 V j d G l v b j E v Q 0 Y v Q X V 0 b 1 J l b W 9 2 Z W R D b 2 x 1 b W 5 z M S 5 7 R l k g M j A y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R i 9 B d X R v U m V t b 3 Z l Z E N v b H V t b n M x L n t D b 2 x 1 b W 4 x L D B 9 J n F 1 b 3 Q 7 L C Z x d W 9 0 O 1 N l Y 3 R p b 2 4 x L 0 N G L 0 F 1 d G 9 S Z W 1 v d m V k Q 2 9 s d W 1 u c z E u e 0 Z Z I D I w M j Q s M X 0 m c X V v d D s s J n F 1 b 3 Q 7 U 2 V j d G l v b j E v Q 0 Y v Q X V 0 b 1 J l b W 9 2 Z W R D b 2 x 1 b W 5 z M S 5 7 R l k g M j A y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Y y M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M j M y N C 9 U Y W J s Z T Q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M j M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M j M y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M j M y N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Y y M z I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Y y M z I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M l M j A y M i U y R j I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y U y M D I y J T J G M j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y U y M D I y J T J G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M l M j A y M i U y R j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J T I w M j I l M k Y y M y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y U y M D I y J T J G M j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j I y J T J G M j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M j I l M k Y y M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M j I l M k Y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j I y J T J G M j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Y y M i U y R j I z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M j I l M k Y y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J T I w M j I l M k Y y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L T I y L 1 J l b W 9 2 Z W Q l M j B U b 3 A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Y y M i U y R j I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V h Y j U 1 M W I t M D Q 4 O S 0 0 Y z l j L W J l O T A t M j A 3 Y T h h Y j Q z N T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V U M j E 6 M z Y 6 N D Y u M j I 3 O T M 2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M j U g R m V i c n V h c n k g M j A y M y Z x d W 9 0 O y w m c X V v d D s y N i B G Z W J y d W F y e S A y M D I y J n F 1 b 3 Q 7 X S I g L z 4 8 R W 5 0 c n k g V H l w Z T 0 i R m l s b F N 0 Y X R 1 c y I g V m F s d W U 9 I n N D b 2 1 w b G V 0 Z S I g L z 4 8 R W 5 0 c n k g V H l w Z T 0 i R m l s b E N v d W 5 0 I i B W Y W x 1 Z T 0 i b D Y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j I y X F w v M j M v Q X V 0 b 1 J l b W 9 2 Z W R D b 2 x 1 b W 5 z M S 5 7 Q 2 9 s d W 1 u M S w w f S Z x d W 9 0 O y w m c X V v d D t T Z W N 0 a W 9 u M S 9 D R j I y X F w v M j M v Q X V 0 b 1 J l b W 9 2 Z W R D b 2 x 1 b W 5 z M S 5 7 M j U g R m V i c n V h c n k g M j A y M y w x f S Z x d W 9 0 O y w m c X V v d D t T Z W N 0 a W 9 u M S 9 D R j I y X F w v M j M v Q X V 0 b 1 J l b W 9 2 Z W R D b 2 x 1 b W 5 z M S 5 7 M j Y g R m V i c n V h c n k g M j A y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R j I y X F w v M j M v Q X V 0 b 1 J l b W 9 2 Z W R D b 2 x 1 b W 5 z M S 5 7 Q 2 9 s d W 1 u M S w w f S Z x d W 9 0 O y w m c X V v d D t T Z W N 0 a W 9 u M S 9 D R j I y X F w v M j M v Q X V 0 b 1 J l b W 9 2 Z W R D b 2 x 1 b W 5 z M S 5 7 M j U g R m V i c n V h c n k g M j A y M y w x f S Z x d W 9 0 O y w m c X V v d D t T Z W N 0 a W 9 u M S 9 D R j I y X F w v M j M v Q X V 0 b 1 J l b W 9 2 Z W R D b 2 x 1 b W 5 z M S 5 7 M j Y g R m V i c n V h c n k g M j A y M i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G M j I l M k Y y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j I y J T J G M j M l M j A o M i k v V G F i b G U 0 N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j I y J T J G M j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j I y J T J G M j M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M j I l M k Y y M y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M j I l M k Y y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j I y J T J G M j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Y y M i U y R j I z J T I w K D I p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G M j I l M k Y y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T E z N j N j O S 1 l N D k y L T Q z Y z A t Y m Q z Z C 1 m N j R j M G Q w Z W M 0 N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0 l u Y 2 9 t Z V 9 T d G F 0 Z W 1 l b n Q y M z I 0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1 V D I x O j M 4 O j U 4 L j A 2 O T E w N T N a I i A v P j x F b n R y e S B U e X B l P S J G a W x s Q 2 9 s d W 1 u V H l w Z X M i I F Z h b H V l P S J z Q m d Z R y I g L z 4 8 R W 5 0 c n k g V H l w Z T 0 i R m l s b E N v b H V t b k 5 h b W V z I i B W Y W x 1 Z T 0 i c 1 s m c X V v d D t O b 3 R l c y Z x d W 9 0 O y w m c X V v d D t G W S A y M D I 0 J n F 1 b 3 Q 7 L C Z x d W 9 0 O 0 Z Z I D I w M j M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Y 2 9 t Z S B T d G F 0 Z W 1 l b n Q y M z I 0 L 0 F 1 d G 9 S Z W 1 v d m V k Q 2 9 s d W 1 u c z E u e 0 5 v d G V z L D B 9 J n F 1 b 3 Q 7 L C Z x d W 9 0 O 1 N l Y 3 R p b 2 4 x L 0 l u Y 2 9 t Z S B T d G F 0 Z W 1 l b n Q y M z I 0 L 0 F 1 d G 9 S Z W 1 v d m V k Q 2 9 s d W 1 u c z E u e 0 Z Z I D I w M j Q s M X 0 m c X V v d D s s J n F 1 b 3 Q 7 U 2 V j d G l v b j E v S W 5 j b 2 1 l I F N 0 Y X R l b W V u d D I z M j Q v Q X V 0 b 1 J l b W 9 2 Z W R D b 2 x 1 b W 5 z M S 5 7 R l k g M j A y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m N v b W U g U 3 R h d G V t Z W 5 0 M j M y N C 9 B d X R v U m V t b 3 Z l Z E N v b H V t b n M x L n t O b 3 R l c y w w f S Z x d W 9 0 O y w m c X V v d D t T Z W N 0 a W 9 u M S 9 J b m N v b W U g U 3 R h d G V t Z W 5 0 M j M y N C 9 B d X R v U m V t b 3 Z l Z E N v b H V t b n M x L n t G W S A y M D I 0 L D F 9 J n F 1 b 3 Q 7 L C Z x d W 9 0 O 1 N l Y 3 R p b 2 4 x L 0 l u Y 2 9 t Z S B T d G F 0 Z W 1 l b n Q y M z I 0 L 0 F 1 d G 9 S Z W 1 v d m V k Q 2 9 s d W 1 u c z E u e 0 Z Z I D I w M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m N v b W U l M j B T d G F 0 Z W 1 l b n Q y M z I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l M j A o M i k v V G F i b G U 0 M z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l M j A o M i k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J T I w K D I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U y M C g y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U y M F N 0 Y X R l b W V u d D I z M j Q l M j A o M i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J T I w K D I p L 0 I l M j B y Z W 1 v d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U y M C g y K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l M j B T d G F 0 Z W 1 l b n Q y M z I 0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U y M C g y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J T I w U 3 R h d G V t Z W 5 0 M j M y N C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y M z I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A y Z T d j Y z I t M z l m Z S 0 0 M D V m L W E 1 N m U t Y z Y w N D U z N 2 V i O T g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C Y W x h b m N l X 1 N o Z W V 0 M j M y N D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V Q x O T o 1 N D o y M y 4 4 N T A 1 N j c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R l k g M j A y N C Z x d W 9 0 O y w m c X V v d D t G W S A y M y Z x d W 9 0 O y w m c X V v d D t G W S A y M i Z x d W 9 0 O 1 0 i I C 8 + P E V u d H J 5 I F R 5 c G U 9 I k Z p b G x T d G F 0 d X M i I F Z h b H V l P S J z Q 2 9 t c G x l d G U i I C 8 + P E V u d H J 5 I F R 5 c G U 9 I k Z p b G x D b 3 V u d C I g V m F s d W U 9 I m w 1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5 j Z S B T a G V l d C 9 B d X R v U m V t b 3 Z l Z E N v b H V t b n M x L n t D b 2 x 1 b W 4 x L D B 9 J n F 1 b 3 Q 7 L C Z x d W 9 0 O 1 N l Y 3 R p b 2 4 x L 0 J h b G F u Y 2 U g U 2 h l Z X Q v Q X V 0 b 1 J l b W 9 2 Z W R D b 2 x 1 b W 5 z M S 5 7 R l k g M j A y N C w x f S Z x d W 9 0 O y w m c X V v d D t T Z W N 0 a W 9 u M S 9 C Y W x h b m N l I F N o Z W V 0 L 0 F 1 d G 9 S Z W 1 v d m V k Q 2 9 s d W 1 u c z E u e 0 Z Z I D I z L D J 9 J n F 1 b 3 Q 7 L C Z x d W 9 0 O 1 N l Y 3 R p b 2 4 x L 0 J h b G F u Y 2 U g U 2 h l Z X Q v Q X V 0 b 1 J l b W 9 2 Z W R D b 2 x 1 b W 5 z M S 5 7 R l k g M j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F s Y W 5 j Z S B T a G V l d C 9 B d X R v U m V t b 3 Z l Z E N v b H V t b n M x L n t D b 2 x 1 b W 4 x L D B 9 J n F 1 b 3 Q 7 L C Z x d W 9 0 O 1 N l Y 3 R p b 2 4 x L 0 J h b G F u Y 2 U g U 2 h l Z X Q v Q X V 0 b 1 J l b W 9 2 Z W R D b 2 x 1 b W 5 z M S 5 7 R l k g M j A y N C w x f S Z x d W 9 0 O y w m c X V v d D t T Z W N 0 a W 9 u M S 9 C Y W x h b m N l I F N o Z W V 0 L 0 F 1 d G 9 S Z W 1 v d m V k Q 2 9 s d W 1 u c z E u e 0 Z Z I D I z L D J 9 J n F 1 b 3 Q 7 L C Z x d W 9 0 O 1 N l Y 3 R p b 2 4 x L 0 J h b G F u Y 2 U g U 2 h l Z X Q v Q X V 0 b 1 J l b W 9 2 Z W R D b 2 x 1 b W 5 z M S 5 7 R l k g M j I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b G F u Y 2 U l M j B T a G V l d D I z M j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M j M y N C U y M C g y K S 9 U Y W J s Z T Q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D I z M j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y M z I 0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M j M y N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D I z M j Q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D I z M j Q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y M z I 0 J T I w K D I p L 1 J l b W 9 2 Z W Q l M j B U b 3 A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r U d G a d 1 b d E r l w g x e z k o D M A A A A A A g A A A A A A E G Y A A A A B A A A g A A A A T i j y w t D 6 + o 2 p U 2 J G x 1 c T f B P y v t b e m 5 n 7 Q h w U w P l v z 3 4 A A A A A D o A A A A A C A A A g A A A A k e 8 y + V 0 7 K H d w d n Z 1 B Y G Y r B Q J k x c r 3 i x N 4 I i 6 G t d 0 P d 5 Q A A A A y O 3 L S K 3 1 Y H h x H 5 a v r q Y S t 5 M d F w D K 1 A m o N K x 0 K 2 K f 6 p k g k 9 Q s o s N J e Z A Y b l W 3 z A y f 4 b / p b b R T L 0 p i E B w x y j V / S D w 7 T o k E K g K K E X D 9 M W 7 q d a F A A A A A O a V x H j u e P 3 c 0 B c G 8 a u q A 8 v 2 2 I G m A 1 w g D + K J M G u x x m j 5 q B 4 x K 3 i s h C 7 I t I I c v 9 I p E D V M w i c y w j e A b I W C f u 9 Y h Z Q = = < / D a t a M a s h u p > 
</file>

<file path=customXml/itemProps1.xml><?xml version="1.0" encoding="utf-8"?>
<ds:datastoreItem xmlns:ds="http://schemas.openxmlformats.org/officeDocument/2006/customXml" ds:itemID="{5CCA5387-6A8B-45AB-94A5-E854A3FBEF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P&amp;L 2022-25</vt:lpstr>
      <vt:lpstr>P&amp;L 2025</vt:lpstr>
      <vt:lpstr>Balance Sheet 2022-24</vt:lpstr>
      <vt:lpstr>BS 25</vt:lpstr>
      <vt:lpstr>CF 2022-24</vt:lpstr>
      <vt:lpstr>Ratio Analysis</vt:lpstr>
      <vt:lpstr>DashBoard</vt:lpstr>
      <vt:lpstr>P&amp;L 2022-24 Veritical Analysis</vt:lpstr>
      <vt:lpstr>BalanceSheet Verticle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Ferdous</dc:creator>
  <cp:lastModifiedBy>Fardous Mahmud Shuvo</cp:lastModifiedBy>
  <dcterms:created xsi:type="dcterms:W3CDTF">2015-06-05T18:17:20Z</dcterms:created>
  <dcterms:modified xsi:type="dcterms:W3CDTF">2025-08-07T20:55:16Z</dcterms:modified>
</cp:coreProperties>
</file>