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\3eme année civil\Construction Métalique\Mémoire\"/>
    </mc:Choice>
  </mc:AlternateContent>
  <xr:revisionPtr revIDLastSave="0" documentId="13_ncr:1_{B45693AE-CE45-40A9-B36A-4E9139BCDBC8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Calcul du vent" sheetId="1" r:id="rId1"/>
    <sheet name="Dimensionnement panne" sheetId="2" r:id="rId2"/>
    <sheet name="Dimensionnement poteau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4" i="1" l="1"/>
  <c r="H89" i="1"/>
  <c r="H99" i="1"/>
  <c r="D103" i="1" l="1"/>
  <c r="D104" i="1"/>
  <c r="D99" i="1"/>
  <c r="D98" i="1"/>
  <c r="D89" i="1"/>
  <c r="H57" i="3"/>
  <c r="K57" i="3" s="1"/>
  <c r="E72" i="3"/>
  <c r="N67" i="3"/>
  <c r="O21" i="3"/>
  <c r="H64" i="3"/>
  <c r="E64" i="3"/>
  <c r="K62" i="3"/>
  <c r="H62" i="3"/>
  <c r="E52" i="3"/>
  <c r="E50" i="3"/>
  <c r="K42" i="3"/>
  <c r="H42" i="3"/>
  <c r="L21" i="3"/>
  <c r="H37" i="3"/>
  <c r="I21" i="3"/>
  <c r="D20" i="3"/>
  <c r="D19" i="3" l="1"/>
  <c r="L19" i="3" s="1"/>
  <c r="E42" i="3" s="1"/>
  <c r="H72" i="3" s="1"/>
  <c r="O19" i="3"/>
  <c r="K67" i="3" s="1"/>
  <c r="E32" i="3"/>
  <c r="I19" i="3"/>
  <c r="E37" i="3" s="1"/>
  <c r="J37" i="3" s="1"/>
  <c r="E67" i="3"/>
  <c r="E59" i="3"/>
  <c r="H59" i="3" s="1"/>
  <c r="K64" i="3" s="1"/>
  <c r="D21" i="2"/>
  <c r="H66" i="2" s="1"/>
  <c r="D35" i="3" l="1"/>
  <c r="M42" i="3"/>
  <c r="D40" i="3"/>
  <c r="H67" i="3"/>
  <c r="E70" i="3" s="1"/>
  <c r="K75" i="2"/>
  <c r="N75" i="2" s="1"/>
  <c r="E77" i="2" s="1"/>
  <c r="H77" i="2" s="1"/>
  <c r="K77" i="2" s="1"/>
  <c r="H75" i="2"/>
  <c r="E69" i="2"/>
  <c r="E66" i="2"/>
  <c r="E59" i="2"/>
  <c r="E57" i="2"/>
  <c r="E46" i="2"/>
  <c r="E44" i="2"/>
  <c r="H41" i="2"/>
  <c r="H39" i="2"/>
  <c r="E41" i="2"/>
  <c r="E39" i="2"/>
  <c r="E55" i="3" l="1"/>
  <c r="J41" i="2"/>
  <c r="J39" i="2"/>
  <c r="H11" i="2"/>
  <c r="H10" i="2"/>
  <c r="D20" i="2"/>
  <c r="D19" i="2"/>
  <c r="I24" i="2" s="1"/>
  <c r="D18" i="2"/>
  <c r="I22" i="2" s="1"/>
  <c r="E73" i="2" s="1"/>
  <c r="E36" i="2" l="1"/>
  <c r="J66" i="2"/>
  <c r="H69" i="2"/>
  <c r="J69" i="2" s="1"/>
  <c r="I18" i="2"/>
  <c r="D49" i="2" s="1"/>
  <c r="F49" i="2" s="1"/>
  <c r="M18" i="2"/>
  <c r="G57" i="2" s="1"/>
  <c r="M22" i="2"/>
  <c r="G59" i="2" s="1"/>
  <c r="E55" i="2" s="1"/>
  <c r="M20" i="2"/>
  <c r="M24" i="2"/>
  <c r="I20" i="2"/>
  <c r="D64" i="1"/>
  <c r="D62" i="1"/>
  <c r="D66" i="1"/>
  <c r="D50" i="1"/>
  <c r="D43" i="1"/>
  <c r="D44" i="1" s="1"/>
  <c r="C42" i="1"/>
  <c r="D16" i="1"/>
  <c r="D78" i="1" l="1"/>
  <c r="D80" i="1"/>
  <c r="E63" i="2"/>
  <c r="D51" i="2"/>
  <c r="F51" i="2" s="1"/>
  <c r="E30" i="2" s="1"/>
  <c r="M77" i="2"/>
</calcChain>
</file>

<file path=xl/sharedStrings.xml><?xml version="1.0" encoding="utf-8"?>
<sst xmlns="http://schemas.openxmlformats.org/spreadsheetml/2006/main" count="229" uniqueCount="175">
  <si>
    <t>CALCUL DU VENT</t>
  </si>
  <si>
    <t>Données</t>
  </si>
  <si>
    <t>h(m)</t>
  </si>
  <si>
    <t>Emplacement</t>
  </si>
  <si>
    <t>Zaghouan</t>
  </si>
  <si>
    <t>Nature site</t>
  </si>
  <si>
    <t>normal</t>
  </si>
  <si>
    <t>a(m)</t>
  </si>
  <si>
    <t>m(%)</t>
  </si>
  <si>
    <t>b(m)</t>
  </si>
  <si>
    <t>Inclinaison(°)</t>
  </si>
  <si>
    <t>Pression dynamique agissant à la hauteur h</t>
  </si>
  <si>
    <t>Normale</t>
  </si>
  <si>
    <t>Extrême</t>
  </si>
  <si>
    <t>Région I</t>
  </si>
  <si>
    <t>Région II</t>
  </si>
  <si>
    <t>Région III</t>
  </si>
  <si>
    <t>Site protégé</t>
  </si>
  <si>
    <t>Site normal</t>
  </si>
  <si>
    <t>Site exposé</t>
  </si>
  <si>
    <t>q10(daN/m2)</t>
  </si>
  <si>
    <t>II</t>
  </si>
  <si>
    <t xml:space="preserve">&gt;&gt;&gt;&gt; région </t>
  </si>
  <si>
    <t>qh(daN/m2)</t>
  </si>
  <si>
    <t>Ks</t>
  </si>
  <si>
    <t>Le coefficient de site</t>
  </si>
  <si>
    <t>Le coefficient de masque</t>
  </si>
  <si>
    <t>Km</t>
  </si>
  <si>
    <t>Suivant "a" (m)</t>
  </si>
  <si>
    <t>&gt;&gt;&gt;&gt;</t>
  </si>
  <si>
    <t>d</t>
  </si>
  <si>
    <t>Suivant "b" (m)</t>
  </si>
  <si>
    <r>
      <t>d</t>
    </r>
    <r>
      <rPr>
        <sz val="11"/>
        <color theme="1"/>
        <rFont val="Calibri"/>
        <family val="2"/>
        <scheme val="minor"/>
      </rPr>
      <t>a</t>
    </r>
  </si>
  <si>
    <r>
      <t>d</t>
    </r>
    <r>
      <rPr>
        <sz val="11"/>
        <color theme="1"/>
        <rFont val="Calibri"/>
        <family val="2"/>
        <scheme val="minor"/>
      </rPr>
      <t>b</t>
    </r>
  </si>
  <si>
    <t>Le coefficient de réduction des pressions</t>
  </si>
  <si>
    <t>Le coefficient d’amplification dynamique</t>
  </si>
  <si>
    <t>b</t>
  </si>
  <si>
    <t>Le coefficient résultant</t>
  </si>
  <si>
    <t>DIMENSIONNEMENT PANNE</t>
  </si>
  <si>
    <r>
      <t>Charges (kN/m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</t>
    </r>
  </si>
  <si>
    <r>
      <t>G</t>
    </r>
    <r>
      <rPr>
        <vertAlign val="subscript"/>
        <sz val="11"/>
        <color theme="1"/>
        <rFont val="Calibri"/>
        <family val="2"/>
        <scheme val="minor"/>
      </rPr>
      <t>couv</t>
    </r>
  </si>
  <si>
    <t>V</t>
  </si>
  <si>
    <r>
      <t>G</t>
    </r>
    <r>
      <rPr>
        <vertAlign val="subscript"/>
        <sz val="11"/>
        <color theme="1"/>
        <rFont val="Calibri"/>
        <family val="2"/>
        <scheme val="minor"/>
      </rPr>
      <t>second</t>
    </r>
  </si>
  <si>
    <r>
      <t>Q</t>
    </r>
    <r>
      <rPr>
        <vertAlign val="subscript"/>
        <sz val="11"/>
        <color theme="1"/>
        <rFont val="Calibri"/>
        <family val="2"/>
        <scheme val="minor"/>
      </rPr>
      <t>entretien</t>
    </r>
  </si>
  <si>
    <r>
      <t>Q</t>
    </r>
    <r>
      <rPr>
        <vertAlign val="subscript"/>
        <sz val="11"/>
        <color theme="1"/>
        <rFont val="Calibri"/>
        <family val="2"/>
        <scheme val="minor"/>
      </rPr>
      <t>poussière</t>
    </r>
  </si>
  <si>
    <t>a(°)</t>
  </si>
  <si>
    <r>
      <t>P</t>
    </r>
    <r>
      <rPr>
        <vertAlign val="subscript"/>
        <sz val="11"/>
        <color theme="1"/>
        <rFont val="Calibri"/>
        <family val="2"/>
        <scheme val="minor"/>
      </rPr>
      <t>u1</t>
    </r>
  </si>
  <si>
    <r>
      <t>P</t>
    </r>
    <r>
      <rPr>
        <vertAlign val="subscript"/>
        <sz val="11"/>
        <color theme="1"/>
        <rFont val="Calibri"/>
        <family val="2"/>
        <scheme val="minor"/>
      </rPr>
      <t>u2</t>
    </r>
  </si>
  <si>
    <r>
      <t>P</t>
    </r>
    <r>
      <rPr>
        <vertAlign val="subscript"/>
        <sz val="11"/>
        <color theme="1"/>
        <rFont val="Calibri"/>
        <family val="2"/>
        <scheme val="minor"/>
      </rPr>
      <t>s2</t>
    </r>
  </si>
  <si>
    <r>
      <t>P</t>
    </r>
    <r>
      <rPr>
        <vertAlign val="subscript"/>
        <sz val="11"/>
        <color theme="1"/>
        <rFont val="Calibri"/>
        <family val="2"/>
        <scheme val="minor"/>
      </rPr>
      <t>s1</t>
    </r>
  </si>
  <si>
    <r>
      <t>Combinaisons de charges (kN/m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/ml)</t>
    </r>
  </si>
  <si>
    <t>Calcul des sollicitations</t>
  </si>
  <si>
    <r>
      <t>M</t>
    </r>
    <r>
      <rPr>
        <vertAlign val="subscript"/>
        <sz val="11"/>
        <color theme="1"/>
        <rFont val="Calibri"/>
        <family val="2"/>
        <scheme val="minor"/>
      </rPr>
      <t>u1,Ed,y</t>
    </r>
  </si>
  <si>
    <r>
      <t>M</t>
    </r>
    <r>
      <rPr>
        <vertAlign val="subscript"/>
        <sz val="11"/>
        <color theme="1"/>
        <rFont val="Calibri"/>
        <family val="2"/>
        <scheme val="minor"/>
      </rPr>
      <t>u2,Ed,y</t>
    </r>
  </si>
  <si>
    <r>
      <t>cos(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>)</t>
    </r>
  </si>
  <si>
    <r>
      <t>sin(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>)</t>
    </r>
  </si>
  <si>
    <t>e(m)</t>
  </si>
  <si>
    <t>L(m)</t>
  </si>
  <si>
    <r>
      <t>M</t>
    </r>
    <r>
      <rPr>
        <vertAlign val="subscript"/>
        <sz val="11"/>
        <color theme="1"/>
        <rFont val="Calibri"/>
        <family val="2"/>
        <scheme val="minor"/>
      </rPr>
      <t>u1,Ed,z</t>
    </r>
  </si>
  <si>
    <r>
      <t>M</t>
    </r>
    <r>
      <rPr>
        <vertAlign val="subscript"/>
        <sz val="11"/>
        <color theme="1"/>
        <rFont val="Calibri"/>
        <family val="2"/>
        <scheme val="minor"/>
      </rPr>
      <t>u2,Ed,z</t>
    </r>
  </si>
  <si>
    <r>
      <t>V</t>
    </r>
    <r>
      <rPr>
        <vertAlign val="subscript"/>
        <sz val="11"/>
        <color theme="1"/>
        <rFont val="Calibri"/>
        <family val="2"/>
        <scheme val="minor"/>
      </rPr>
      <t>u1,Ed,y</t>
    </r>
  </si>
  <si>
    <r>
      <t>V</t>
    </r>
    <r>
      <rPr>
        <vertAlign val="subscript"/>
        <sz val="11"/>
        <color theme="1"/>
        <rFont val="Calibri"/>
        <family val="2"/>
        <scheme val="minor"/>
      </rPr>
      <t>u1,Ed,z</t>
    </r>
  </si>
  <si>
    <r>
      <t>V</t>
    </r>
    <r>
      <rPr>
        <vertAlign val="subscript"/>
        <sz val="11"/>
        <color theme="1"/>
        <rFont val="Calibri"/>
        <family val="2"/>
        <scheme val="minor"/>
      </rPr>
      <t>u2,Ed,y</t>
    </r>
  </si>
  <si>
    <r>
      <t>V</t>
    </r>
    <r>
      <rPr>
        <vertAlign val="subscript"/>
        <sz val="11"/>
        <color theme="1"/>
        <rFont val="Calibri"/>
        <family val="2"/>
        <scheme val="minor"/>
      </rPr>
      <t>u2,Ed,z</t>
    </r>
  </si>
  <si>
    <t>Paramétres IPE120</t>
  </si>
  <si>
    <t>h (mm)</t>
  </si>
  <si>
    <t>b (mm)</t>
  </si>
  <si>
    <t>d (mm)</t>
  </si>
  <si>
    <r>
      <t>t</t>
    </r>
    <r>
      <rPr>
        <vertAlign val="sub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 (mm) </t>
    </r>
  </si>
  <si>
    <r>
      <t>t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(mm)</t>
    </r>
  </si>
  <si>
    <r>
      <t>A (cm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</si>
  <si>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I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(cm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</si>
  <si>
    <r>
      <t>W</t>
    </r>
    <r>
      <rPr>
        <vertAlign val="subscript"/>
        <sz val="11"/>
        <color theme="1"/>
        <rFont val="Calibri"/>
        <family val="2"/>
        <scheme val="minor"/>
      </rPr>
      <t>el,y</t>
    </r>
    <r>
      <rPr>
        <sz val="11"/>
        <color theme="1"/>
        <rFont val="Calibri"/>
        <family val="2"/>
        <scheme val="minor"/>
      </rPr>
      <t xml:space="preserve"> (cm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</si>
  <si>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i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(cm)</t>
    </r>
  </si>
  <si>
    <r>
      <t>W</t>
    </r>
    <r>
      <rPr>
        <vertAlign val="subscript"/>
        <sz val="11"/>
        <color theme="1"/>
        <rFont val="Calibri"/>
        <family val="2"/>
        <scheme val="minor"/>
      </rPr>
      <t>pl,y</t>
    </r>
    <r>
      <rPr>
        <sz val="11"/>
        <color theme="1"/>
        <rFont val="Calibri"/>
        <family val="2"/>
        <scheme val="minor"/>
      </rPr>
      <t xml:space="preserve"> (cm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</si>
  <si>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A</t>
    </r>
    <r>
      <rPr>
        <vertAlign val="subscript"/>
        <sz val="11"/>
        <color theme="1"/>
        <rFont val="Calibri"/>
        <family val="2"/>
        <scheme val="minor"/>
      </rPr>
      <t>vz</t>
    </r>
    <r>
      <rPr>
        <sz val="11"/>
        <color theme="1"/>
        <rFont val="Calibri"/>
        <family val="2"/>
        <scheme val="minor"/>
      </rPr>
      <t xml:space="preserve"> (cm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</si>
  <si>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I</t>
    </r>
    <r>
      <rPr>
        <vertAlign val="subscript"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(cm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</si>
  <si>
    <r>
      <t>W</t>
    </r>
    <r>
      <rPr>
        <vertAlign val="subscript"/>
        <sz val="11"/>
        <color theme="1"/>
        <rFont val="Calibri"/>
        <family val="2"/>
        <scheme val="minor"/>
      </rPr>
      <t>el,z</t>
    </r>
    <r>
      <rPr>
        <sz val="11"/>
        <color theme="1"/>
        <rFont val="Calibri"/>
        <family val="2"/>
        <scheme val="minor"/>
      </rPr>
      <t xml:space="preserve"> (cm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</si>
  <si>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A</t>
    </r>
    <r>
      <rPr>
        <vertAlign val="subscript"/>
        <sz val="11"/>
        <color theme="1"/>
        <rFont val="Calibri"/>
        <family val="2"/>
        <scheme val="minor"/>
      </rPr>
      <t>vy</t>
    </r>
    <r>
      <rPr>
        <sz val="11"/>
        <color theme="1"/>
        <rFont val="Calibri"/>
        <family val="2"/>
        <scheme val="minor"/>
      </rPr>
      <t xml:space="preserve"> (cm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</si>
  <si>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i</t>
    </r>
    <r>
      <rPr>
        <vertAlign val="subscript"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(cm)</t>
    </r>
  </si>
  <si>
    <r>
      <t>W</t>
    </r>
    <r>
      <rPr>
        <vertAlign val="subscript"/>
        <sz val="11"/>
        <color theme="1"/>
        <rFont val="Calibri"/>
        <family val="2"/>
        <scheme val="minor"/>
      </rPr>
      <t>pl,z</t>
    </r>
    <r>
      <rPr>
        <sz val="11"/>
        <color theme="1"/>
        <rFont val="Calibri"/>
        <family val="2"/>
        <scheme val="minor"/>
      </rPr>
      <t xml:space="preserve"> (cm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</si>
  <si>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Vérification à la flexion déviée</t>
  </si>
  <si>
    <t>a</t>
  </si>
  <si>
    <t>Vérification de la classe de section</t>
  </si>
  <si>
    <t xml:space="preserve">Vérification de la semelle </t>
  </si>
  <si>
    <r>
      <t>f</t>
    </r>
    <r>
      <rPr>
        <vertAlign val="subscript"/>
        <sz val="11"/>
        <color theme="1"/>
        <rFont val="Calibri"/>
        <family val="2"/>
        <scheme val="minor"/>
      </rPr>
      <t>y</t>
    </r>
  </si>
  <si>
    <r>
      <t>b</t>
    </r>
    <r>
      <rPr>
        <sz val="11"/>
        <color theme="1"/>
        <rFont val="Calibri"/>
        <family val="2"/>
        <scheme val="minor"/>
      </rPr>
      <t>/(2*t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)</t>
    </r>
  </si>
  <si>
    <t>10e</t>
  </si>
  <si>
    <t>Vérification de l’âme</t>
  </si>
  <si>
    <r>
      <t>d/t</t>
    </r>
    <r>
      <rPr>
        <vertAlign val="subscript"/>
        <sz val="11"/>
        <color theme="1"/>
        <rFont val="Calibri"/>
        <family val="2"/>
        <scheme val="minor"/>
      </rPr>
      <t>w</t>
    </r>
  </si>
  <si>
    <t>72e</t>
  </si>
  <si>
    <r>
      <t>g</t>
    </r>
    <r>
      <rPr>
        <vertAlign val="subscript"/>
        <sz val="11"/>
        <color theme="1"/>
        <rFont val="Calibri "/>
      </rPr>
      <t>M0</t>
    </r>
  </si>
  <si>
    <t xml:space="preserve">Condition </t>
  </si>
  <si>
    <t>Vérification au cisaillement</t>
  </si>
  <si>
    <t>Moments fléchissant (MN.m)</t>
  </si>
  <si>
    <t>Efforts tranchant  (MN)</t>
  </si>
  <si>
    <r>
      <t>M</t>
    </r>
    <r>
      <rPr>
        <vertAlign val="subscript"/>
        <sz val="11"/>
        <color theme="1"/>
        <rFont val="Calibri"/>
        <family val="2"/>
        <scheme val="minor"/>
      </rPr>
      <t xml:space="preserve">pl,y,Rd </t>
    </r>
    <r>
      <rPr>
        <sz val="11"/>
        <color theme="1"/>
        <rFont val="Calibri"/>
        <family val="2"/>
        <scheme val="minor"/>
      </rPr>
      <t>(MNm)</t>
    </r>
  </si>
  <si>
    <r>
      <t>M</t>
    </r>
    <r>
      <rPr>
        <vertAlign val="subscript"/>
        <sz val="11"/>
        <color theme="1"/>
        <rFont val="Calibri"/>
        <family val="2"/>
        <scheme val="minor"/>
      </rPr>
      <t xml:space="preserve">pl,z,Rd </t>
    </r>
    <r>
      <rPr>
        <sz val="11"/>
        <color theme="1"/>
        <rFont val="Calibri"/>
        <family val="2"/>
        <scheme val="minor"/>
      </rPr>
      <t>(MNm)</t>
    </r>
  </si>
  <si>
    <r>
      <t>V</t>
    </r>
    <r>
      <rPr>
        <vertAlign val="subscript"/>
        <sz val="11"/>
        <color theme="1"/>
        <rFont val="Calibri"/>
        <family val="2"/>
        <scheme val="minor"/>
      </rPr>
      <t>pl,z,Rd</t>
    </r>
    <r>
      <rPr>
        <sz val="11"/>
        <color theme="1"/>
        <rFont val="Calibri"/>
        <family val="2"/>
        <scheme val="minor"/>
      </rPr>
      <t xml:space="preserve"> (MN)</t>
    </r>
  </si>
  <si>
    <r>
      <t>V</t>
    </r>
    <r>
      <rPr>
        <vertAlign val="subscript"/>
        <sz val="11"/>
        <color theme="1"/>
        <rFont val="Calibri"/>
        <family val="2"/>
        <scheme val="minor"/>
      </rPr>
      <t>pl,y,Rd</t>
    </r>
    <r>
      <rPr>
        <sz val="11"/>
        <color theme="1"/>
        <rFont val="Calibri"/>
        <family val="2"/>
        <scheme val="minor"/>
      </rPr>
      <t xml:space="preserve"> (MN)</t>
    </r>
  </si>
  <si>
    <t>Vérification à la flèche</t>
  </si>
  <si>
    <t>Vérification à la flèche verticale</t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</si>
  <si>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z </t>
    </r>
    <r>
      <rPr>
        <sz val="11"/>
        <color theme="1"/>
        <rFont val="Calibri"/>
        <family val="2"/>
        <scheme val="minor"/>
      </rPr>
      <t>(cm)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</si>
  <si>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ad,z </t>
    </r>
    <r>
      <rPr>
        <sz val="11"/>
        <color theme="1"/>
        <rFont val="Calibri"/>
        <family val="2"/>
        <scheme val="minor"/>
      </rPr>
      <t>(cm)</t>
    </r>
  </si>
  <si>
    <t>Vérification à la flèche latérale</t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</si>
  <si>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y </t>
    </r>
    <r>
      <rPr>
        <sz val="11"/>
        <color theme="1"/>
        <rFont val="Calibri"/>
        <family val="2"/>
        <scheme val="minor"/>
      </rPr>
      <t>(cm)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</si>
  <si>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ad,y </t>
    </r>
    <r>
      <rPr>
        <sz val="11"/>
        <color theme="1"/>
        <rFont val="Calibri"/>
        <family val="2"/>
        <scheme val="minor"/>
      </rPr>
      <t>(cm)</t>
    </r>
  </si>
  <si>
    <t>Vérification au déversement</t>
  </si>
  <si>
    <r>
      <rPr>
        <sz val="11"/>
        <color theme="1"/>
        <rFont val="Symbol"/>
        <family val="1"/>
        <charset val="2"/>
      </rPr>
      <t>b</t>
    </r>
    <r>
      <rPr>
        <vertAlign val="subscript"/>
        <sz val="11"/>
        <color theme="1"/>
        <rFont val="Calibri"/>
        <family val="2"/>
        <scheme val="minor"/>
      </rPr>
      <t>w</t>
    </r>
  </si>
  <si>
    <r>
      <t>l</t>
    </r>
    <r>
      <rPr>
        <vertAlign val="subscript"/>
        <sz val="11"/>
        <color theme="1"/>
        <rFont val="Calibri"/>
        <family val="2"/>
        <scheme val="minor"/>
      </rPr>
      <t>1</t>
    </r>
  </si>
  <si>
    <r>
      <t>l</t>
    </r>
    <r>
      <rPr>
        <vertAlign val="subscript"/>
        <sz val="11"/>
        <color theme="1"/>
        <rFont val="Calibri"/>
        <family val="2"/>
        <scheme val="minor"/>
      </rPr>
      <t>LT</t>
    </r>
  </si>
  <si>
    <r>
      <rPr>
        <strike/>
        <sz val="11"/>
        <color theme="1"/>
        <rFont val="Symbol"/>
        <family val="1"/>
        <charset val="2"/>
      </rPr>
      <t>l</t>
    </r>
    <r>
      <rPr>
        <vertAlign val="subscript"/>
        <sz val="11"/>
        <color theme="1"/>
        <rFont val="Calibri"/>
        <family val="2"/>
        <scheme val="minor"/>
      </rPr>
      <t>LT</t>
    </r>
  </si>
  <si>
    <r>
      <t>f</t>
    </r>
    <r>
      <rPr>
        <vertAlign val="subscript"/>
        <sz val="11"/>
        <color theme="1"/>
        <rFont val="Calibri"/>
        <family val="2"/>
        <scheme val="minor"/>
      </rPr>
      <t>LT</t>
    </r>
  </si>
  <si>
    <r>
      <t>M</t>
    </r>
    <r>
      <rPr>
        <vertAlign val="subscript"/>
        <sz val="11"/>
        <color theme="1"/>
        <rFont val="Calibri"/>
        <family val="2"/>
        <scheme val="minor"/>
      </rPr>
      <t>b,Rd</t>
    </r>
  </si>
  <si>
    <r>
      <t>c</t>
    </r>
    <r>
      <rPr>
        <vertAlign val="subscript"/>
        <sz val="11"/>
        <color theme="1"/>
        <rFont val="Calibri"/>
        <family val="2"/>
        <scheme val="minor"/>
      </rPr>
      <t>LT</t>
    </r>
  </si>
  <si>
    <t>DIMENSIONNEMENT POTEAU</t>
  </si>
  <si>
    <r>
      <t>G</t>
    </r>
    <r>
      <rPr>
        <vertAlign val="subscript"/>
        <sz val="11"/>
        <color theme="1"/>
        <rFont val="Calibri"/>
        <family val="2"/>
        <scheme val="minor"/>
      </rPr>
      <t>bard</t>
    </r>
  </si>
  <si>
    <t>P(kg/m)</t>
  </si>
  <si>
    <t>G</t>
  </si>
  <si>
    <t>W</t>
  </si>
  <si>
    <t>Nbr lisse</t>
  </si>
  <si>
    <t>Prédimensionnement</t>
  </si>
  <si>
    <r>
      <t>I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(cm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 &gt;</t>
    </r>
  </si>
  <si>
    <t>0--&gt;</t>
  </si>
  <si>
    <t>HEA300</t>
  </si>
  <si>
    <t>Paramétres HEA300</t>
  </si>
  <si>
    <r>
      <t>V</t>
    </r>
    <r>
      <rPr>
        <vertAlign val="subscript"/>
        <sz val="11"/>
        <color theme="1"/>
        <rFont val="Calibri"/>
        <family val="2"/>
        <scheme val="minor"/>
      </rPr>
      <t>Sd</t>
    </r>
  </si>
  <si>
    <r>
      <t>V</t>
    </r>
    <r>
      <rPr>
        <vertAlign val="subscript"/>
        <sz val="11"/>
        <color theme="1"/>
        <rFont val="Calibri"/>
        <family val="2"/>
        <scheme val="minor"/>
      </rPr>
      <t>pl,Rd</t>
    </r>
  </si>
  <si>
    <t>Efforts tranchant  (kN)</t>
  </si>
  <si>
    <t>Vérification à l'effort tranchant</t>
  </si>
  <si>
    <r>
      <t>N</t>
    </r>
    <r>
      <rPr>
        <vertAlign val="subscript"/>
        <sz val="11"/>
        <color theme="1"/>
        <rFont val="Calibri"/>
        <family val="2"/>
        <scheme val="minor"/>
      </rPr>
      <t>Sd</t>
    </r>
  </si>
  <si>
    <r>
      <t>N</t>
    </r>
    <r>
      <rPr>
        <vertAlign val="subscript"/>
        <sz val="11"/>
        <color theme="1"/>
        <rFont val="Calibri"/>
        <family val="2"/>
        <scheme val="minor"/>
      </rPr>
      <t>pl,Rd</t>
    </r>
  </si>
  <si>
    <r>
      <t>Aw*Ay/</t>
    </r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M0</t>
    </r>
  </si>
  <si>
    <t>Vérification à l'effort normal</t>
  </si>
  <si>
    <t>Efforts normal  (kN)</t>
  </si>
  <si>
    <t>Vérification à la stabilité</t>
  </si>
  <si>
    <t>r (mm)</t>
  </si>
  <si>
    <t>33e</t>
  </si>
  <si>
    <t>Vérification au flambement</t>
  </si>
  <si>
    <r>
      <t>l</t>
    </r>
    <r>
      <rPr>
        <vertAlign val="subscript"/>
        <sz val="11"/>
        <color theme="1"/>
        <rFont val="Calibri"/>
        <family val="2"/>
        <scheme val="minor"/>
      </rPr>
      <t>y</t>
    </r>
  </si>
  <si>
    <r>
      <t>a</t>
    </r>
    <r>
      <rPr>
        <vertAlign val="subscript"/>
        <sz val="11"/>
        <color theme="1"/>
        <rFont val="Calibri"/>
        <family val="2"/>
        <scheme val="minor"/>
      </rPr>
      <t>y</t>
    </r>
  </si>
  <si>
    <r>
      <t>l</t>
    </r>
    <r>
      <rPr>
        <strike/>
        <vertAlign val="subscript"/>
        <sz val="11"/>
        <color theme="1"/>
        <rFont val="Calibri"/>
        <family val="2"/>
        <scheme val="minor"/>
      </rPr>
      <t>y</t>
    </r>
  </si>
  <si>
    <r>
      <t>Q</t>
    </r>
    <r>
      <rPr>
        <vertAlign val="subscript"/>
        <sz val="11"/>
        <color theme="1"/>
        <rFont val="Calibri"/>
        <family val="2"/>
        <scheme val="minor"/>
      </rPr>
      <t>y</t>
    </r>
  </si>
  <si>
    <r>
      <t>c</t>
    </r>
    <r>
      <rPr>
        <vertAlign val="subscript"/>
        <sz val="11"/>
        <color theme="1"/>
        <rFont val="Calibri"/>
        <family val="2"/>
        <scheme val="minor"/>
      </rPr>
      <t>y</t>
    </r>
  </si>
  <si>
    <r>
      <t>l</t>
    </r>
    <r>
      <rPr>
        <vertAlign val="subscript"/>
        <sz val="11"/>
        <color theme="1"/>
        <rFont val="Calibri"/>
        <family val="2"/>
        <scheme val="minor"/>
      </rPr>
      <t>z</t>
    </r>
  </si>
  <si>
    <r>
      <t>l</t>
    </r>
    <r>
      <rPr>
        <strike/>
        <vertAlign val="subscript"/>
        <sz val="11"/>
        <color theme="1"/>
        <rFont val="Calibri"/>
        <family val="2"/>
        <scheme val="minor"/>
      </rPr>
      <t>z</t>
    </r>
  </si>
  <si>
    <r>
      <t>a</t>
    </r>
    <r>
      <rPr>
        <vertAlign val="subscript"/>
        <sz val="11"/>
        <color theme="1"/>
        <rFont val="Calibri"/>
        <family val="2"/>
        <scheme val="minor"/>
      </rPr>
      <t>z</t>
    </r>
  </si>
  <si>
    <r>
      <t>Q</t>
    </r>
    <r>
      <rPr>
        <vertAlign val="subscript"/>
        <sz val="11"/>
        <color theme="1"/>
        <rFont val="Calibri"/>
        <family val="2"/>
        <scheme val="minor"/>
      </rPr>
      <t>z</t>
    </r>
  </si>
  <si>
    <r>
      <t>c</t>
    </r>
    <r>
      <rPr>
        <vertAlign val="subscript"/>
        <sz val="11"/>
        <color theme="1"/>
        <rFont val="Calibri"/>
        <family val="2"/>
        <scheme val="minor"/>
      </rPr>
      <t>z</t>
    </r>
  </si>
  <si>
    <r>
      <t>c</t>
    </r>
    <r>
      <rPr>
        <vertAlign val="subscript"/>
        <sz val="11"/>
        <color theme="1"/>
        <rFont val="Calibri"/>
        <family val="2"/>
        <scheme val="minor"/>
      </rPr>
      <t>min</t>
    </r>
  </si>
  <si>
    <r>
      <t>k</t>
    </r>
    <r>
      <rPr>
        <vertAlign val="subscript"/>
        <sz val="11"/>
        <color theme="1"/>
        <rFont val="Calibri"/>
        <family val="2"/>
        <scheme val="minor"/>
      </rPr>
      <t>y</t>
    </r>
  </si>
  <si>
    <r>
      <t>m</t>
    </r>
    <r>
      <rPr>
        <vertAlign val="subscript"/>
        <sz val="11"/>
        <color theme="1"/>
        <rFont val="Calibri"/>
        <family val="2"/>
        <scheme val="minor"/>
      </rPr>
      <t>y</t>
    </r>
  </si>
  <si>
    <t>Moment fléchissant (kN.m)</t>
  </si>
  <si>
    <r>
      <t>M</t>
    </r>
    <r>
      <rPr>
        <vertAlign val="subscript"/>
        <sz val="11"/>
        <color theme="1"/>
        <rFont val="Calibri"/>
        <family val="2"/>
        <scheme val="minor"/>
      </rPr>
      <t>pl,Rd,y</t>
    </r>
  </si>
  <si>
    <r>
      <t>M</t>
    </r>
    <r>
      <rPr>
        <vertAlign val="subscript"/>
        <sz val="11"/>
        <color theme="1"/>
        <rFont val="Calibri"/>
        <family val="2"/>
        <scheme val="minor"/>
      </rPr>
      <t>Sd</t>
    </r>
    <r>
      <rPr>
        <sz val="11"/>
        <color theme="1"/>
        <rFont val="Calibri"/>
        <family val="2"/>
        <scheme val="minor"/>
      </rPr>
      <t>,y</t>
    </r>
  </si>
  <si>
    <r>
      <t>M</t>
    </r>
    <r>
      <rPr>
        <vertAlign val="subscript"/>
        <sz val="11"/>
        <color theme="1"/>
        <rFont val="Calibri"/>
        <family val="2"/>
        <scheme val="minor"/>
      </rPr>
      <t>Sd,y</t>
    </r>
  </si>
  <si>
    <r>
      <t>k</t>
    </r>
    <r>
      <rPr>
        <vertAlign val="subscript"/>
        <sz val="11"/>
        <color theme="1"/>
        <rFont val="Calibri"/>
        <family val="2"/>
        <scheme val="minor"/>
      </rPr>
      <t>LT</t>
    </r>
  </si>
  <si>
    <r>
      <t>m</t>
    </r>
    <r>
      <rPr>
        <vertAlign val="subscript"/>
        <sz val="11"/>
        <color theme="1"/>
        <rFont val="Calibri"/>
        <family val="2"/>
        <scheme val="minor"/>
      </rPr>
      <t>LT</t>
    </r>
  </si>
  <si>
    <r>
      <t>l</t>
    </r>
    <r>
      <rPr>
        <vertAlign val="subscript"/>
        <sz val="11"/>
        <color theme="1"/>
        <rFont val="Calibri"/>
        <family val="2"/>
        <scheme val="minor"/>
      </rPr>
      <t>a</t>
    </r>
  </si>
  <si>
    <r>
      <t>l</t>
    </r>
    <r>
      <rPr>
        <vertAlign val="subscript"/>
        <sz val="11"/>
        <color theme="1"/>
        <rFont val="Calibri"/>
        <family val="2"/>
        <scheme val="minor"/>
      </rPr>
      <t>b</t>
    </r>
  </si>
  <si>
    <t>Vent long pan</t>
  </si>
  <si>
    <t>Vent pignon</t>
  </si>
  <si>
    <t>Ce</t>
  </si>
  <si>
    <t>Parois Verticales</t>
  </si>
  <si>
    <t>Face au vent</t>
  </si>
  <si>
    <t>Face sous le vent</t>
  </si>
  <si>
    <r>
      <t>g</t>
    </r>
    <r>
      <rPr>
        <vertAlign val="subscript"/>
        <sz val="11"/>
        <color theme="1"/>
        <rFont val="Calibri"/>
        <family val="2"/>
        <scheme val="minor"/>
      </rPr>
      <t>0b</t>
    </r>
  </si>
  <si>
    <r>
      <t>g</t>
    </r>
    <r>
      <rPr>
        <vertAlign val="subscript"/>
        <sz val="11"/>
        <color theme="1"/>
        <rFont val="Calibri"/>
        <family val="2"/>
        <scheme val="minor"/>
      </rPr>
      <t>0a</t>
    </r>
  </si>
  <si>
    <t>Toitures</t>
  </si>
  <si>
    <t>Ci</t>
  </si>
  <si>
    <t>Construction fermée</t>
  </si>
  <si>
    <t>Surpression</t>
  </si>
  <si>
    <t>Dépression</t>
  </si>
  <si>
    <t>Construction semi ouverte</t>
  </si>
  <si>
    <t>Construction ouverte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</si>
</sst>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theme="1"/>
      <name val="Symbol"/>
      <family val="1"/>
      <charset val="2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vertAlign val="subscript"/>
      <sz val="11"/>
      <color theme="1"/>
      <name val="Calibri "/>
    </font>
    <font>
      <strike/>
      <sz val="11"/>
      <color theme="1"/>
      <name val="Symbol"/>
      <family val="1"/>
      <charset val="2"/>
    </font>
    <font>
      <strike/>
      <vertAlign val="sub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/>
    <xf numFmtId="0" fontId="5" fillId="0" borderId="0" xfId="0" applyFont="1" applyBorder="1"/>
    <xf numFmtId="0" fontId="5" fillId="0" borderId="6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3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1295400</xdr:colOff>
      <xdr:row>18</xdr:row>
      <xdr:rowOff>53340</xdr:rowOff>
    </xdr:from>
    <xdr:to>
      <xdr:col>5</xdr:col>
      <xdr:colOff>519818</xdr:colOff>
      <xdr:row>36</xdr:row>
      <xdr:rowOff>102153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DDD42B6-2D26-49F8-A70B-55FCFFB07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7880" y="3413760"/>
          <a:ext cx="4766812" cy="33406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09"/>
  <sheetViews>
    <sheetView tabSelected="1" zoomScale="75" zoomScaleNormal="55" workbookViewId="0">
      <selection activeCell="F2" sqref="F2:J3"/>
    </sheetView>
  </sheetViews>
  <sheetFormatPr baseColWidth="10" defaultRowHeight="14.4"/>
  <cols>
    <col min="2" max="2" width="42.33203125" bestFit="1" customWidth="1"/>
    <col min="3" max="3" width="13" bestFit="1" customWidth="1"/>
    <col min="4" max="4" width="14" bestFit="1" customWidth="1"/>
    <col min="8" max="8" width="14" bestFit="1" customWidth="1"/>
    <col min="12" max="12" width="12.21875" bestFit="1" customWidth="1"/>
  </cols>
  <sheetData>
    <row r="1" spans="3:15" ht="14.4" customHeight="1" thickBot="1">
      <c r="H1" s="2"/>
      <c r="I1" s="2"/>
      <c r="J1" s="3"/>
    </row>
    <row r="2" spans="3:15" ht="14.4" customHeight="1">
      <c r="F2" s="37" t="s">
        <v>0</v>
      </c>
      <c r="G2" s="38"/>
      <c r="H2" s="38"/>
      <c r="I2" s="38"/>
      <c r="J2" s="39"/>
    </row>
    <row r="3" spans="3:15" ht="15" customHeight="1" thickBot="1">
      <c r="F3" s="40"/>
      <c r="G3" s="41"/>
      <c r="H3" s="41"/>
      <c r="I3" s="41"/>
      <c r="J3" s="42"/>
    </row>
    <row r="8" spans="3:15">
      <c r="C8" s="33" t="s">
        <v>1</v>
      </c>
      <c r="D8" s="34"/>
    </row>
    <row r="9" spans="3:15" ht="15.6">
      <c r="C9" s="35"/>
      <c r="D9" s="36"/>
      <c r="G9" s="1"/>
      <c r="H9" s="8" t="s">
        <v>12</v>
      </c>
      <c r="I9" s="8" t="s">
        <v>13</v>
      </c>
      <c r="L9" s="1"/>
      <c r="M9" s="8" t="s">
        <v>14</v>
      </c>
      <c r="N9" s="8" t="s">
        <v>15</v>
      </c>
      <c r="O9" s="8" t="s">
        <v>16</v>
      </c>
    </row>
    <row r="10" spans="3:15" ht="15.6">
      <c r="C10" s="7" t="s">
        <v>3</v>
      </c>
      <c r="D10" s="7" t="s">
        <v>4</v>
      </c>
      <c r="G10" s="8" t="s">
        <v>14</v>
      </c>
      <c r="H10" s="4">
        <v>50</v>
      </c>
      <c r="I10" s="4">
        <v>87.5</v>
      </c>
      <c r="L10" s="8" t="s">
        <v>17</v>
      </c>
      <c r="M10" s="4">
        <v>0.8</v>
      </c>
      <c r="N10" s="4">
        <v>0.8</v>
      </c>
      <c r="O10" s="4">
        <v>0.8</v>
      </c>
    </row>
    <row r="11" spans="3:15" ht="15.6">
      <c r="C11" s="4" t="s">
        <v>5</v>
      </c>
      <c r="D11" s="4" t="s">
        <v>6</v>
      </c>
      <c r="G11" s="8" t="s">
        <v>15</v>
      </c>
      <c r="H11" s="4">
        <v>70</v>
      </c>
      <c r="I11" s="4">
        <v>122.5</v>
      </c>
      <c r="L11" s="8" t="s">
        <v>18</v>
      </c>
      <c r="M11" s="4">
        <v>1</v>
      </c>
      <c r="N11" s="4">
        <v>1</v>
      </c>
      <c r="O11" s="4">
        <v>1</v>
      </c>
    </row>
    <row r="12" spans="3:15" ht="15.6">
      <c r="C12" s="5" t="s">
        <v>8</v>
      </c>
      <c r="D12" s="4">
        <v>15</v>
      </c>
      <c r="G12" s="8" t="s">
        <v>16</v>
      </c>
      <c r="H12" s="4">
        <v>90</v>
      </c>
      <c r="I12" s="4">
        <v>157.5</v>
      </c>
      <c r="L12" s="8" t="s">
        <v>19</v>
      </c>
      <c r="M12" s="4">
        <v>1.35</v>
      </c>
      <c r="N12" s="4">
        <v>1.3</v>
      </c>
      <c r="O12" s="4">
        <v>1.25</v>
      </c>
    </row>
    <row r="13" spans="3:15">
      <c r="C13" s="4" t="s">
        <v>10</v>
      </c>
      <c r="D13" s="4">
        <v>10</v>
      </c>
    </row>
    <row r="14" spans="3:15">
      <c r="C14" s="4" t="s">
        <v>7</v>
      </c>
      <c r="D14" s="4">
        <v>60</v>
      </c>
      <c r="E14" s="4">
        <v>6</v>
      </c>
    </row>
    <row r="15" spans="3:15">
      <c r="C15" s="4" t="s">
        <v>9</v>
      </c>
      <c r="D15" s="4">
        <v>21</v>
      </c>
    </row>
    <row r="16" spans="3:15">
      <c r="C16" s="4" t="s">
        <v>2</v>
      </c>
      <c r="D16" s="6">
        <f>13.5+TAN(RADIANS(D13))*D15/2</f>
        <v>15.351433297438883</v>
      </c>
      <c r="E16" s="15">
        <v>13.5</v>
      </c>
    </row>
    <row r="39" spans="2:5" ht="15" thickBot="1"/>
    <row r="40" spans="2:5" ht="16.2" thickBot="1">
      <c r="B40" s="11" t="s">
        <v>11</v>
      </c>
      <c r="C40" s="9"/>
    </row>
    <row r="41" spans="2:5" ht="15.6">
      <c r="B41" s="10"/>
      <c r="C41" s="9"/>
    </row>
    <row r="42" spans="2:5">
      <c r="C42" s="4" t="str">
        <f>D10</f>
        <v>Zaghouan</v>
      </c>
      <c r="D42" s="4" t="s">
        <v>22</v>
      </c>
      <c r="E42" s="4" t="s">
        <v>21</v>
      </c>
    </row>
    <row r="43" spans="2:5">
      <c r="C43" s="4" t="s">
        <v>20</v>
      </c>
      <c r="D43" s="4">
        <f>IF(D11="normal",IF(E42="I",H10,IF(E42="II",H11,H12)),IF(E42="I",I10,IF(E42="II",I11,I12)))</f>
        <v>70</v>
      </c>
    </row>
    <row r="44" spans="2:5">
      <c r="C44" s="12" t="s">
        <v>23</v>
      </c>
      <c r="D44" s="13">
        <f>2.5*D43*(D16+18)/(D16+60)</f>
        <v>77.457064472988336</v>
      </c>
    </row>
    <row r="47" spans="2:5" ht="15" thickBot="1"/>
    <row r="48" spans="2:5" ht="16.2" thickBot="1">
      <c r="B48" s="11" t="s">
        <v>25</v>
      </c>
    </row>
    <row r="50" spans="2:7">
      <c r="C50" s="12" t="s">
        <v>24</v>
      </c>
      <c r="D50" s="12">
        <f>IF(D11="protégé",0.8,IF(D11="normal",1,IF(E42="I",M12,IF(E42="II",N12,O12))))</f>
        <v>1</v>
      </c>
    </row>
    <row r="53" spans="2:7" ht="15" thickBot="1"/>
    <row r="54" spans="2:7" ht="16.2" thickBot="1">
      <c r="B54" s="11" t="s">
        <v>26</v>
      </c>
    </row>
    <row r="56" spans="2:7">
      <c r="C56" s="12" t="s">
        <v>27</v>
      </c>
      <c r="D56" s="12">
        <v>1</v>
      </c>
    </row>
    <row r="59" spans="2:7" ht="15" thickBot="1"/>
    <row r="60" spans="2:7" ht="16.2" thickBot="1">
      <c r="B60" s="11" t="s">
        <v>34</v>
      </c>
    </row>
    <row r="62" spans="2:7">
      <c r="C62" s="4" t="s">
        <v>28</v>
      </c>
      <c r="D62" s="4">
        <f>E14</f>
        <v>6</v>
      </c>
      <c r="E62" s="4" t="s">
        <v>29</v>
      </c>
      <c r="F62" s="5" t="s">
        <v>32</v>
      </c>
      <c r="G62" s="4">
        <v>0.86</v>
      </c>
    </row>
    <row r="64" spans="2:7">
      <c r="C64" s="4" t="s">
        <v>31</v>
      </c>
      <c r="D64" s="4">
        <f>D15</f>
        <v>21</v>
      </c>
      <c r="E64" s="4" t="s">
        <v>29</v>
      </c>
      <c r="F64" s="5" t="s">
        <v>33</v>
      </c>
      <c r="G64" s="4">
        <v>0.78</v>
      </c>
    </row>
    <row r="66" spans="2:7">
      <c r="C66" s="14" t="s">
        <v>30</v>
      </c>
      <c r="D66" s="12">
        <f>MIN(G62,G64)</f>
        <v>0.78</v>
      </c>
    </row>
    <row r="69" spans="2:7" ht="15" thickBot="1"/>
    <row r="70" spans="2:7" ht="16.2" thickBot="1">
      <c r="B70" s="11" t="s">
        <v>35</v>
      </c>
    </row>
    <row r="72" spans="2:7">
      <c r="C72" s="14" t="s">
        <v>36</v>
      </c>
      <c r="D72" s="12">
        <v>1</v>
      </c>
    </row>
    <row r="75" spans="2:7" ht="15" thickBot="1"/>
    <row r="76" spans="2:7" ht="16.2" thickBot="1">
      <c r="B76" s="11" t="s">
        <v>37</v>
      </c>
    </row>
    <row r="78" spans="2:7" ht="15.6">
      <c r="C78" s="14" t="s">
        <v>158</v>
      </c>
      <c r="D78" s="13">
        <f>D16/D14</f>
        <v>0.25585722162398139</v>
      </c>
      <c r="E78" s="15" t="s">
        <v>29</v>
      </c>
      <c r="F78" s="14" t="s">
        <v>166</v>
      </c>
      <c r="G78" s="13">
        <v>0.85</v>
      </c>
    </row>
    <row r="80" spans="2:7" ht="15.6">
      <c r="C80" s="14" t="s">
        <v>159</v>
      </c>
      <c r="D80" s="13">
        <f>D16/D15</f>
        <v>0.73102063321137534</v>
      </c>
      <c r="E80" s="15" t="s">
        <v>29</v>
      </c>
      <c r="F80" s="14" t="s">
        <v>167</v>
      </c>
      <c r="G80" s="13">
        <v>1</v>
      </c>
    </row>
    <row r="83" spans="2:8" ht="15.6">
      <c r="D83" s="18" t="s">
        <v>160</v>
      </c>
      <c r="H83" s="18" t="s">
        <v>161</v>
      </c>
    </row>
    <row r="85" spans="2:8" ht="15.6">
      <c r="B85" s="18" t="s">
        <v>162</v>
      </c>
    </row>
    <row r="87" spans="2:8" ht="15.6">
      <c r="B87" s="30" t="s">
        <v>163</v>
      </c>
    </row>
    <row r="88" spans="2:8" ht="15.6">
      <c r="B88" s="31" t="s">
        <v>164</v>
      </c>
      <c r="D88" s="15">
        <v>0.8</v>
      </c>
      <c r="H88" s="15">
        <v>0.8</v>
      </c>
    </row>
    <row r="89" spans="2:8" ht="15.6">
      <c r="B89" s="31" t="s">
        <v>165</v>
      </c>
      <c r="D89" s="15">
        <f>0.8-1.3*G80</f>
        <v>-0.5</v>
      </c>
      <c r="H89" s="15">
        <f>0.8-1.3*G78</f>
        <v>-0.30499999999999994</v>
      </c>
    </row>
    <row r="91" spans="2:8" ht="15.6">
      <c r="B91" s="30" t="s">
        <v>168</v>
      </c>
    </row>
    <row r="92" spans="2:8" ht="15.6">
      <c r="B92" s="31" t="s">
        <v>164</v>
      </c>
      <c r="D92" s="15">
        <v>-0.63</v>
      </c>
      <c r="H92" s="15">
        <v>-0.2</v>
      </c>
    </row>
    <row r="93" spans="2:8" ht="15.6">
      <c r="B93" s="31" t="s">
        <v>165</v>
      </c>
      <c r="D93" s="15">
        <v>-0.31</v>
      </c>
      <c r="H93" s="15">
        <v>-0.2</v>
      </c>
    </row>
    <row r="96" spans="2:8" ht="15.6">
      <c r="B96" s="18" t="s">
        <v>169</v>
      </c>
    </row>
    <row r="97" spans="2:10" ht="15.6">
      <c r="B97" s="30" t="s">
        <v>170</v>
      </c>
    </row>
    <row r="98" spans="2:10" ht="15.6">
      <c r="B98" s="31" t="s">
        <v>171</v>
      </c>
      <c r="D98" s="15">
        <f>0.6*(1.8-1.3*G80)</f>
        <v>0.3</v>
      </c>
      <c r="H98" s="15">
        <v>0.4</v>
      </c>
    </row>
    <row r="99" spans="2:10" ht="15.6">
      <c r="B99" s="31" t="s">
        <v>172</v>
      </c>
      <c r="D99" s="15">
        <f>-0.6*(1.3*G80-0.8)</f>
        <v>-0.3</v>
      </c>
      <c r="H99" s="32">
        <f>-0.6*(1.3*G78-0.8)</f>
        <v>-0.18299999999999997</v>
      </c>
      <c r="I99" s="15">
        <v>-0.2</v>
      </c>
    </row>
    <row r="102" spans="2:10" ht="15.6">
      <c r="B102" s="30" t="s">
        <v>174</v>
      </c>
    </row>
    <row r="103" spans="2:10" ht="15.6">
      <c r="B103" s="31" t="s">
        <v>171</v>
      </c>
      <c r="D103" s="15">
        <f>0.6*(1.8-1.3*G80)</f>
        <v>0.3</v>
      </c>
      <c r="H103" s="15">
        <v>0.8</v>
      </c>
      <c r="J103" s="15">
        <v>0.4</v>
      </c>
    </row>
    <row r="104" spans="2:10" ht="15.6">
      <c r="B104" s="31" t="s">
        <v>172</v>
      </c>
      <c r="D104" s="15">
        <f>0.8-1.3*G80</f>
        <v>-0.5</v>
      </c>
      <c r="H104" s="15">
        <v>-0.2</v>
      </c>
      <c r="J104" s="15">
        <f>0.8-1.3*G78</f>
        <v>-0.30499999999999994</v>
      </c>
    </row>
    <row r="107" spans="2:10" ht="15.6">
      <c r="B107" s="30" t="s">
        <v>173</v>
      </c>
    </row>
    <row r="108" spans="2:10" ht="15.6">
      <c r="B108" s="31" t="s">
        <v>171</v>
      </c>
      <c r="D108" s="15">
        <v>0.3</v>
      </c>
      <c r="H108" s="15">
        <v>0.5</v>
      </c>
      <c r="J108" s="15">
        <v>0.4</v>
      </c>
    </row>
    <row r="109" spans="2:10" ht="15.6">
      <c r="B109" s="31" t="s">
        <v>172</v>
      </c>
      <c r="D109" s="15">
        <v>-0.35</v>
      </c>
      <c r="H109" s="15">
        <v>-0.2</v>
      </c>
      <c r="J109" s="15">
        <v>-0.2</v>
      </c>
    </row>
  </sheetData>
  <mergeCells count="2">
    <mergeCell ref="C8:D9"/>
    <mergeCell ref="F2:J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77"/>
  <sheetViews>
    <sheetView zoomScale="77" workbookViewId="0">
      <selection activeCell="D14" sqref="D14"/>
    </sheetView>
  </sheetViews>
  <sheetFormatPr baseColWidth="10" defaultRowHeight="14.4"/>
  <cols>
    <col min="2" max="2" width="33.33203125" bestFit="1" customWidth="1"/>
    <col min="4" max="4" width="12.6640625" bestFit="1" customWidth="1"/>
    <col min="5" max="5" width="13.33203125" customWidth="1"/>
  </cols>
  <sheetData>
    <row r="1" spans="3:16" ht="15" thickBot="1"/>
    <row r="2" spans="3:16">
      <c r="F2" s="37" t="s">
        <v>38</v>
      </c>
      <c r="G2" s="38"/>
      <c r="H2" s="38"/>
      <c r="I2" s="38"/>
      <c r="J2" s="39"/>
    </row>
    <row r="3" spans="3:16" ht="15" thickBot="1">
      <c r="F3" s="40"/>
      <c r="G3" s="41"/>
      <c r="H3" s="41"/>
      <c r="I3" s="41"/>
      <c r="J3" s="42"/>
    </row>
    <row r="8" spans="3:16" ht="17.399999999999999">
      <c r="C8" s="49" t="s">
        <v>39</v>
      </c>
      <c r="D8" s="49"/>
      <c r="G8" s="49" t="s">
        <v>1</v>
      </c>
      <c r="H8" s="49"/>
      <c r="K8" s="46" t="s">
        <v>64</v>
      </c>
      <c r="L8" s="47"/>
      <c r="M8" s="47"/>
      <c r="N8" s="47"/>
      <c r="O8" s="47"/>
      <c r="P8" s="48"/>
    </row>
    <row r="9" spans="3:16" ht="15.6">
      <c r="C9" s="4" t="s">
        <v>40</v>
      </c>
      <c r="D9" s="4">
        <v>0.25</v>
      </c>
      <c r="G9" s="5" t="s">
        <v>45</v>
      </c>
      <c r="H9" s="4">
        <v>10</v>
      </c>
      <c r="K9" s="15" t="s">
        <v>65</v>
      </c>
      <c r="L9" s="15">
        <v>120</v>
      </c>
      <c r="M9" s="15" t="s">
        <v>66</v>
      </c>
      <c r="N9" s="15">
        <v>64</v>
      </c>
      <c r="O9" s="15" t="s">
        <v>68</v>
      </c>
      <c r="P9" s="15">
        <v>4.4000000000000004</v>
      </c>
    </row>
    <row r="10" spans="3:16" ht="16.2">
      <c r="C10" s="4" t="s">
        <v>42</v>
      </c>
      <c r="D10" s="4">
        <v>0.1</v>
      </c>
      <c r="G10" s="4" t="s">
        <v>54</v>
      </c>
      <c r="H10" s="4">
        <f>COS(H9*PI()/180)</f>
        <v>0.98480775301220802</v>
      </c>
      <c r="K10" s="15" t="s">
        <v>69</v>
      </c>
      <c r="L10" s="15">
        <v>6.3</v>
      </c>
      <c r="M10" s="15" t="s">
        <v>67</v>
      </c>
      <c r="N10" s="15">
        <v>93.4</v>
      </c>
      <c r="O10" s="15" t="s">
        <v>70</v>
      </c>
      <c r="P10" s="15">
        <v>13.2</v>
      </c>
    </row>
    <row r="11" spans="3:16" ht="16.2">
      <c r="C11" s="4" t="s">
        <v>43</v>
      </c>
      <c r="D11" s="4">
        <v>0.2</v>
      </c>
      <c r="G11" s="4" t="s">
        <v>55</v>
      </c>
      <c r="H11" s="4">
        <f>SIN(H9*PI()/180)</f>
        <v>0.17364817766693033</v>
      </c>
      <c r="K11" s="15" t="s">
        <v>71</v>
      </c>
      <c r="L11" s="15">
        <v>317.8</v>
      </c>
      <c r="M11" s="15" t="s">
        <v>72</v>
      </c>
      <c r="N11" s="15">
        <v>77.3</v>
      </c>
      <c r="O11" s="15" t="s">
        <v>73</v>
      </c>
      <c r="P11" s="15">
        <v>4.9000000000000004</v>
      </c>
    </row>
    <row r="12" spans="3:16" ht="16.2">
      <c r="C12" s="4" t="s">
        <v>44</v>
      </c>
      <c r="D12" s="4">
        <v>0.15</v>
      </c>
      <c r="G12" s="4" t="s">
        <v>56</v>
      </c>
      <c r="H12" s="4">
        <v>2.1</v>
      </c>
      <c r="K12" s="15" t="s">
        <v>74</v>
      </c>
      <c r="L12" s="15">
        <v>60.7</v>
      </c>
      <c r="M12" s="15" t="s">
        <v>75</v>
      </c>
      <c r="N12" s="15">
        <v>6.3</v>
      </c>
      <c r="O12" s="15" t="s">
        <v>76</v>
      </c>
      <c r="P12" s="15">
        <v>27.65</v>
      </c>
    </row>
    <row r="13" spans="3:16" ht="16.2">
      <c r="C13" s="4" t="s">
        <v>41</v>
      </c>
      <c r="D13" s="4">
        <v>0.64</v>
      </c>
      <c r="G13" s="17" t="s">
        <v>57</v>
      </c>
      <c r="H13" s="4">
        <v>6</v>
      </c>
      <c r="K13" s="15" t="s">
        <v>77</v>
      </c>
      <c r="L13" s="15">
        <v>8.64</v>
      </c>
      <c r="M13" s="15" t="s">
        <v>79</v>
      </c>
      <c r="N13" s="15">
        <v>1.45</v>
      </c>
      <c r="O13" s="15" t="s">
        <v>80</v>
      </c>
      <c r="P13" s="15">
        <v>13.6</v>
      </c>
    </row>
    <row r="14" spans="3:16" ht="16.2">
      <c r="K14" s="15" t="s">
        <v>78</v>
      </c>
      <c r="L14" s="15">
        <v>8.6</v>
      </c>
      <c r="M14" s="17" t="s">
        <v>85</v>
      </c>
      <c r="N14" s="17">
        <v>235</v>
      </c>
      <c r="O14" s="5" t="s">
        <v>91</v>
      </c>
      <c r="P14" s="15">
        <v>1.1000000000000001</v>
      </c>
    </row>
    <row r="17" spans="2:14" ht="17.399999999999999">
      <c r="C17" s="49" t="s">
        <v>50</v>
      </c>
      <c r="D17" s="49"/>
      <c r="E17" s="49"/>
      <c r="G17" s="46" t="s">
        <v>51</v>
      </c>
      <c r="H17" s="47"/>
      <c r="I17" s="47"/>
      <c r="J17" s="47"/>
      <c r="K17" s="47"/>
      <c r="L17" s="47"/>
      <c r="M17" s="47"/>
      <c r="N17" s="48"/>
    </row>
    <row r="18" spans="2:14" ht="15.6" customHeight="1">
      <c r="C18" s="4" t="s">
        <v>46</v>
      </c>
      <c r="D18" s="45">
        <f>1.35*(D9+D10)+1.5*(D11+D12)</f>
        <v>0.99749999999999983</v>
      </c>
      <c r="E18" s="45"/>
      <c r="G18" s="50" t="s">
        <v>94</v>
      </c>
      <c r="H18" s="43" t="s">
        <v>52</v>
      </c>
      <c r="I18" s="45">
        <f>$D$18*$H$10*$H$12*$H13^2/8</f>
        <v>9.2831671828004509</v>
      </c>
      <c r="J18" s="45"/>
      <c r="K18" s="50" t="s">
        <v>95</v>
      </c>
      <c r="L18" s="43" t="s">
        <v>61</v>
      </c>
      <c r="M18" s="45">
        <f>$D$18*$H$10*$H$12*$H13/2</f>
        <v>6.1887781218669673</v>
      </c>
      <c r="N18" s="45"/>
    </row>
    <row r="19" spans="2:14" ht="15.6">
      <c r="C19" s="4" t="s">
        <v>47</v>
      </c>
      <c r="D19" s="45">
        <f>(D9+D10)*COS(H9*PI()/182)-1.5*D13</f>
        <v>-0.61520135384409413</v>
      </c>
      <c r="E19" s="45"/>
      <c r="G19" s="50"/>
      <c r="H19" s="44"/>
      <c r="I19" s="45"/>
      <c r="J19" s="45"/>
      <c r="K19" s="50"/>
      <c r="L19" s="44"/>
      <c r="M19" s="45"/>
      <c r="N19" s="45"/>
    </row>
    <row r="20" spans="2:14" ht="15.6">
      <c r="C20" s="4" t="s">
        <v>49</v>
      </c>
      <c r="D20" s="45">
        <f>D9+D10+D11+D12</f>
        <v>0.70000000000000007</v>
      </c>
      <c r="E20" s="45"/>
      <c r="G20" s="50"/>
      <c r="H20" s="43" t="s">
        <v>53</v>
      </c>
      <c r="I20" s="45">
        <f>-$D$19*$H$12*$H$13^2/8</f>
        <v>5.81365279382669</v>
      </c>
      <c r="J20" s="45"/>
      <c r="K20" s="50"/>
      <c r="L20" s="43" t="s">
        <v>63</v>
      </c>
      <c r="M20" s="45">
        <f>-$D$19*$H$12*$H$13/2</f>
        <v>3.875768529217793</v>
      </c>
      <c r="N20" s="45"/>
    </row>
    <row r="21" spans="2:14" ht="15.6">
      <c r="C21" s="4" t="s">
        <v>48</v>
      </c>
      <c r="D21" s="45">
        <f>(D9+D10)*H10-D13</f>
        <v>-0.29531728644572725</v>
      </c>
      <c r="E21" s="45"/>
      <c r="G21" s="50"/>
      <c r="H21" s="44"/>
      <c r="I21" s="45"/>
      <c r="J21" s="45"/>
      <c r="K21" s="50"/>
      <c r="L21" s="44"/>
      <c r="M21" s="45"/>
      <c r="N21" s="45"/>
    </row>
    <row r="22" spans="2:14">
      <c r="G22" s="50"/>
      <c r="H22" s="43" t="s">
        <v>58</v>
      </c>
      <c r="I22" s="45">
        <f>$D$18*$H$11*$H$12*($H$13/2)^2/8</f>
        <v>0.40921821018877758</v>
      </c>
      <c r="J22" s="45"/>
      <c r="K22" s="50"/>
      <c r="L22" s="43" t="s">
        <v>60</v>
      </c>
      <c r="M22" s="45">
        <f>$D$18*$H$11*$H$12*($H$13/2)/2</f>
        <v>0.5456242802517034</v>
      </c>
      <c r="N22" s="45"/>
    </row>
    <row r="23" spans="2:14">
      <c r="G23" s="50"/>
      <c r="H23" s="44"/>
      <c r="I23" s="45"/>
      <c r="J23" s="45"/>
      <c r="K23" s="50"/>
      <c r="L23" s="44"/>
      <c r="M23" s="45"/>
      <c r="N23" s="45"/>
    </row>
    <row r="24" spans="2:14">
      <c r="G24" s="50"/>
      <c r="H24" s="43" t="s">
        <v>59</v>
      </c>
      <c r="I24" s="45">
        <f>-$D$19*$H$12*($H$13/2)^2/8</f>
        <v>1.4534131984566725</v>
      </c>
      <c r="J24" s="45"/>
      <c r="K24" s="50"/>
      <c r="L24" s="43" t="s">
        <v>62</v>
      </c>
      <c r="M24" s="45">
        <f>-$D$19*$H$12*($H$13/2)/2</f>
        <v>1.9378842646088965</v>
      </c>
      <c r="N24" s="45"/>
    </row>
    <row r="25" spans="2:14">
      <c r="G25" s="50"/>
      <c r="H25" s="44"/>
      <c r="I25" s="45"/>
      <c r="J25" s="45"/>
      <c r="K25" s="50"/>
      <c r="L25" s="44"/>
      <c r="M25" s="45"/>
      <c r="N25" s="45"/>
    </row>
    <row r="29" spans="2:14" ht="15" thickBot="1"/>
    <row r="30" spans="2:14" ht="16.2" thickBot="1">
      <c r="B30" s="11" t="s">
        <v>81</v>
      </c>
      <c r="E30" s="1" t="str">
        <f>IF(F49="Vérifié",IF(F51="Vérifié","Vérifié","Non Vérifié"),"Non Vérifié")</f>
        <v>Vérifié</v>
      </c>
    </row>
    <row r="31" spans="2:14" ht="15.6">
      <c r="B31" s="20"/>
    </row>
    <row r="32" spans="2:14">
      <c r="D32" s="5" t="s">
        <v>82</v>
      </c>
      <c r="E32" s="15">
        <v>2</v>
      </c>
    </row>
    <row r="33" spans="2:10">
      <c r="D33" s="5" t="s">
        <v>36</v>
      </c>
      <c r="E33" s="15">
        <v>1</v>
      </c>
    </row>
    <row r="36" spans="2:10" ht="15.6">
      <c r="B36" s="18" t="s">
        <v>83</v>
      </c>
      <c r="E36" s="1" t="str">
        <f>IF(J39="Vérifié",IF(J41="Vérifié","Vérifié","Non Vérifié"),"Non Vérifié")</f>
        <v>Vérifié</v>
      </c>
    </row>
    <row r="37" spans="2:10" ht="15.6">
      <c r="B37" s="19"/>
    </row>
    <row r="39" spans="2:10" ht="15.6">
      <c r="B39" s="15" t="s">
        <v>84</v>
      </c>
      <c r="D39" s="15" t="s">
        <v>86</v>
      </c>
      <c r="E39" s="15">
        <f>N9/(2*L10)</f>
        <v>5.0793650793650791</v>
      </c>
      <c r="G39" s="5" t="s">
        <v>87</v>
      </c>
      <c r="H39" s="15">
        <f>10*SQRT(235/N14)</f>
        <v>10</v>
      </c>
      <c r="J39" s="15" t="str">
        <f>IF(H39&gt;E39,"Vérifié","Non Vérifié")</f>
        <v>Vérifié</v>
      </c>
    </row>
    <row r="41" spans="2:10" ht="15.6">
      <c r="B41" s="15" t="s">
        <v>88</v>
      </c>
      <c r="D41" s="15" t="s">
        <v>89</v>
      </c>
      <c r="E41" s="15">
        <f>N10/P9</f>
        <v>21.227272727272727</v>
      </c>
      <c r="F41" s="1"/>
      <c r="G41" s="5" t="s">
        <v>90</v>
      </c>
      <c r="H41" s="15">
        <f>72*SQRT(235/N14)</f>
        <v>72</v>
      </c>
      <c r="I41" s="1"/>
      <c r="J41" s="15" t="str">
        <f>IF(H41&gt;E41,"Vérifié","Non Vérifié")</f>
        <v>Vérifié</v>
      </c>
    </row>
    <row r="44" spans="2:10" ht="15.6">
      <c r="D44" s="15" t="s">
        <v>96</v>
      </c>
      <c r="E44" s="16">
        <f>L12*N14/P14/1000</f>
        <v>12.967727272727272</v>
      </c>
    </row>
    <row r="46" spans="2:10" ht="15.6">
      <c r="D46" s="15" t="s">
        <v>97</v>
      </c>
      <c r="E46" s="16">
        <f>P13*N14/1000/P14</f>
        <v>2.9054545454545453</v>
      </c>
    </row>
    <row r="49" spans="2:7" ht="15.6">
      <c r="B49" s="18" t="s">
        <v>92</v>
      </c>
      <c r="D49" s="15">
        <f>(I18/E44)^2+(I22/E46)</f>
        <v>0.65331028507821021</v>
      </c>
      <c r="F49" s="15" t="str">
        <f>IF(D49&lt;1,"Vérifié","Non Vérifié")</f>
        <v>Vérifié</v>
      </c>
    </row>
    <row r="51" spans="2:7">
      <c r="D51" s="15">
        <f>(I20/E44)^2+(I24/E46)</f>
        <v>0.70122422881150581</v>
      </c>
      <c r="F51" s="15" t="str">
        <f>IF(D51&lt;1,"Vérifié","Non Vérifié")</f>
        <v>Vérifié</v>
      </c>
    </row>
    <row r="54" spans="2:7" ht="15" thickBot="1"/>
    <row r="55" spans="2:7" ht="16.2" thickBot="1">
      <c r="B55" s="11" t="s">
        <v>93</v>
      </c>
      <c r="E55" s="1" t="str">
        <f>IF(G57="Vérifié",IF(G59="Vérifié","Vérifié","Non Vérifié"),"Non Vérifié")</f>
        <v>Vérifié</v>
      </c>
    </row>
    <row r="57" spans="2:7" ht="15.6">
      <c r="D57" s="15" t="s">
        <v>99</v>
      </c>
      <c r="E57" s="16">
        <f>L14*N14/P14/SQRT(3)/100</f>
        <v>10.607499036656668</v>
      </c>
      <c r="G57" s="15" t="str">
        <f>IF(E57&gt;M18,"Vérifié","Non Vérifié")</f>
        <v>Vérifié</v>
      </c>
    </row>
    <row r="59" spans="2:7" ht="15.6">
      <c r="D59" s="15" t="s">
        <v>98</v>
      </c>
      <c r="E59" s="16">
        <f>N12*N14/P14/SQRT(3)/100</f>
        <v>7.7706097594112808</v>
      </c>
      <c r="G59" s="15" t="str">
        <f>IF(E59&gt;M22,"Vérifié","Non Vérifié")</f>
        <v>Vérifié</v>
      </c>
    </row>
    <row r="62" spans="2:7" ht="15" thickBot="1"/>
    <row r="63" spans="2:7" ht="16.2" thickBot="1">
      <c r="B63" s="11" t="s">
        <v>100</v>
      </c>
      <c r="E63" s="1" t="str">
        <f>IF(J66="Vérifié",IF(J69="Vérifié","Vérifié","Non Vérifié"),"Non Vérifié")</f>
        <v>Vérifié</v>
      </c>
    </row>
    <row r="66" spans="2:14" ht="15.6">
      <c r="B66" s="18" t="s">
        <v>101</v>
      </c>
      <c r="D66" s="15" t="s">
        <v>103</v>
      </c>
      <c r="E66" s="15">
        <f>$H$13*100/200</f>
        <v>3</v>
      </c>
      <c r="G66" s="15" t="s">
        <v>102</v>
      </c>
      <c r="H66" s="16">
        <f>5/384*(-$D$21)*($H$13*100)^4/10^6/2.1/L11*H10</f>
        <v>0.73537848928248717</v>
      </c>
      <c r="J66" s="1" t="str">
        <f>IF(H66&lt;E66,"Vérifié","Non Vérifié")</f>
        <v>Vérifié</v>
      </c>
    </row>
    <row r="69" spans="2:14" ht="15.6">
      <c r="B69" s="18" t="s">
        <v>104</v>
      </c>
      <c r="D69" s="15" t="s">
        <v>106</v>
      </c>
      <c r="E69" s="15">
        <f>$H$13*100/200/2</f>
        <v>1.5</v>
      </c>
      <c r="G69" s="15" t="s">
        <v>105</v>
      </c>
      <c r="H69" s="16">
        <f>2.05/384*(-$D$21)*($H$13/2*100)^4*10/10^6/2.1/P12*H11</f>
        <v>0.3819023444072755</v>
      </c>
      <c r="J69" s="1" t="str">
        <f>IF(H69&lt;E69,"Vérifié","Non Vérifié")</f>
        <v>Vérifié</v>
      </c>
    </row>
    <row r="72" spans="2:14" ht="15" thickBot="1"/>
    <row r="73" spans="2:14" ht="16.2" thickBot="1">
      <c r="B73" s="11" t="s">
        <v>107</v>
      </c>
      <c r="E73" s="15" t="str">
        <f>IF(K77&gt;I22,"Vérifié","Non Vérifié")</f>
        <v>Vérifié</v>
      </c>
    </row>
    <row r="75" spans="2:14" ht="15.6">
      <c r="D75" s="15" t="s">
        <v>108</v>
      </c>
      <c r="E75" s="15">
        <v>1</v>
      </c>
      <c r="G75" s="5" t="s">
        <v>109</v>
      </c>
      <c r="H75" s="21">
        <f>PI()*SQRT(235/N14*2.1*10^6/2350)</f>
        <v>93.9129729381402</v>
      </c>
      <c r="J75" s="5" t="s">
        <v>110</v>
      </c>
      <c r="K75" s="16">
        <f>H13/2*100/N13/1.132^0.5/(1+1/20*(H13/2*100/N13/L9*L10)^2)^0.25</f>
        <v>119.98582133274368</v>
      </c>
      <c r="M75" s="5" t="s">
        <v>111</v>
      </c>
      <c r="N75" s="16">
        <f>K75/H75*E75^0.5</f>
        <v>1.2776277608821678</v>
      </c>
    </row>
    <row r="77" spans="2:14" ht="15.6">
      <c r="D77" s="5" t="s">
        <v>112</v>
      </c>
      <c r="E77" s="16">
        <f>0.5*(1+0.21*(N75-0.2)+N75^2)</f>
        <v>1.4293172625810184</v>
      </c>
      <c r="G77" s="5" t="s">
        <v>114</v>
      </c>
      <c r="H77" s="16">
        <f>1/(E77+(E77^2-N75^2)^0.5)</f>
        <v>0.48306615196302438</v>
      </c>
      <c r="J77" s="15" t="s">
        <v>113</v>
      </c>
      <c r="K77" s="16">
        <f>H77*E75*L12*N14/1000/P14</f>
        <v>6.2642701133423282</v>
      </c>
      <c r="M77" s="15" t="str">
        <f>IF(K77&gt;I20,"Vérifié","Non Vérifié")</f>
        <v>Vérifié</v>
      </c>
    </row>
  </sheetData>
  <mergeCells count="28">
    <mergeCell ref="F2:J3"/>
    <mergeCell ref="C8:D8"/>
    <mergeCell ref="C17:E17"/>
    <mergeCell ref="D18:E18"/>
    <mergeCell ref="K18:K25"/>
    <mergeCell ref="I24:J25"/>
    <mergeCell ref="L18:L19"/>
    <mergeCell ref="M18:N19"/>
    <mergeCell ref="L20:L21"/>
    <mergeCell ref="M20:N21"/>
    <mergeCell ref="L22:L23"/>
    <mergeCell ref="M22:N23"/>
    <mergeCell ref="L24:L25"/>
    <mergeCell ref="M24:N25"/>
    <mergeCell ref="G17:N17"/>
    <mergeCell ref="K8:P8"/>
    <mergeCell ref="D19:E19"/>
    <mergeCell ref="G8:H8"/>
    <mergeCell ref="D20:E20"/>
    <mergeCell ref="D21:E21"/>
    <mergeCell ref="H18:H19"/>
    <mergeCell ref="H20:H21"/>
    <mergeCell ref="I18:J19"/>
    <mergeCell ref="I20:J21"/>
    <mergeCell ref="H22:H23"/>
    <mergeCell ref="G18:G25"/>
    <mergeCell ref="H24:H25"/>
    <mergeCell ref="I22:J23"/>
  </mergeCells>
  <conditionalFormatting sqref="J39">
    <cfRule type="expression" dxfId="35" priority="35">
      <formula>$J$39="Non Vérifié"</formula>
    </cfRule>
    <cfRule type="expression" dxfId="34" priority="36">
      <formula>$J$39="Vérifié"</formula>
    </cfRule>
  </conditionalFormatting>
  <conditionalFormatting sqref="J41">
    <cfRule type="expression" dxfId="33" priority="31">
      <formula>$J$41="Non Vérifié"</formula>
    </cfRule>
    <cfRule type="expression" dxfId="32" priority="32">
      <formula>$J$41="Vérifié"</formula>
    </cfRule>
  </conditionalFormatting>
  <conditionalFormatting sqref="E36">
    <cfRule type="expression" dxfId="31" priority="29">
      <formula>$E$36="Non Vérifié"</formula>
    </cfRule>
    <cfRule type="expression" dxfId="30" priority="30">
      <formula>$E$36="Vérifié"</formula>
    </cfRule>
  </conditionalFormatting>
  <conditionalFormatting sqref="F49">
    <cfRule type="expression" dxfId="29" priority="27">
      <formula>$F$49="Non Vérifié"</formula>
    </cfRule>
    <cfRule type="expression" dxfId="28" priority="28">
      <formula>$F$49="Vérifié"</formula>
    </cfRule>
  </conditionalFormatting>
  <conditionalFormatting sqref="F51">
    <cfRule type="expression" dxfId="27" priority="25">
      <formula>$F$51="Non Vérifié"</formula>
    </cfRule>
    <cfRule type="expression" dxfId="26" priority="26">
      <formula>$F$51="Vérifié"</formula>
    </cfRule>
  </conditionalFormatting>
  <conditionalFormatting sqref="E30">
    <cfRule type="expression" dxfId="25" priority="21">
      <formula>$E$30="Non Vérifié"</formula>
    </cfRule>
    <cfRule type="expression" dxfId="24" priority="22">
      <formula>$E$30="Vérifié"</formula>
    </cfRule>
  </conditionalFormatting>
  <conditionalFormatting sqref="G57">
    <cfRule type="expression" dxfId="23" priority="19">
      <formula>$G$57="Non Vérifié"</formula>
    </cfRule>
    <cfRule type="expression" dxfId="22" priority="20">
      <formula>$G$57="Vérifié"</formula>
    </cfRule>
  </conditionalFormatting>
  <conditionalFormatting sqref="G59">
    <cfRule type="expression" dxfId="21" priority="17">
      <formula>$G$59="Non Vérifié"</formula>
    </cfRule>
    <cfRule type="expression" dxfId="20" priority="18">
      <formula>$G$59="Vérifié"</formula>
    </cfRule>
  </conditionalFormatting>
  <conditionalFormatting sqref="E55">
    <cfRule type="expression" dxfId="19" priority="13">
      <formula>$E$55="Non Vérifié"</formula>
    </cfRule>
    <cfRule type="expression" dxfId="18" priority="14">
      <formula>$E$55="Vérifié"</formula>
    </cfRule>
  </conditionalFormatting>
  <conditionalFormatting sqref="J66">
    <cfRule type="expression" dxfId="17" priority="11">
      <formula>$J$66="Non Vérifié"</formula>
    </cfRule>
    <cfRule type="expression" dxfId="16" priority="12">
      <formula>$J$66="Vérifié"</formula>
    </cfRule>
  </conditionalFormatting>
  <conditionalFormatting sqref="J69">
    <cfRule type="expression" dxfId="15" priority="7">
      <formula>$J$69="Non Vérifié"</formula>
    </cfRule>
    <cfRule type="expression" dxfId="14" priority="8">
      <formula>$J$69="Vérifié"</formula>
    </cfRule>
  </conditionalFormatting>
  <conditionalFormatting sqref="E63">
    <cfRule type="expression" dxfId="13" priority="5">
      <formula>$E$63="Non Vérifié"</formula>
    </cfRule>
    <cfRule type="expression" dxfId="12" priority="6">
      <formula>$E$63="Vérifié"</formula>
    </cfRule>
  </conditionalFormatting>
  <conditionalFormatting sqref="M77">
    <cfRule type="expression" dxfId="11" priority="3">
      <formula>$M$77="Non Vérifié"</formula>
    </cfRule>
    <cfRule type="expression" dxfId="10" priority="4">
      <formula>$M$77="Vérifié"</formula>
    </cfRule>
  </conditionalFormatting>
  <conditionalFormatting sqref="E73">
    <cfRule type="expression" dxfId="9" priority="1">
      <formula>$M$77="Non Vérifié"</formula>
    </cfRule>
    <cfRule type="expression" dxfId="8" priority="2">
      <formula>$M$77="Vérifié"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72"/>
  <sheetViews>
    <sheetView topLeftCell="B1" zoomScale="74" zoomScaleNormal="70" workbookViewId="0">
      <selection activeCell="D11" sqref="D11"/>
    </sheetView>
  </sheetViews>
  <sheetFormatPr baseColWidth="10" defaultRowHeight="14.4"/>
  <cols>
    <col min="2" max="2" width="33.33203125" bestFit="1" customWidth="1"/>
    <col min="4" max="4" width="11.88671875" customWidth="1"/>
    <col min="5" max="5" width="12.44140625" customWidth="1"/>
  </cols>
  <sheetData>
    <row r="1" spans="3:16" ht="15" thickBot="1"/>
    <row r="2" spans="3:16">
      <c r="F2" s="37" t="s">
        <v>115</v>
      </c>
      <c r="G2" s="38"/>
      <c r="H2" s="38"/>
      <c r="I2" s="38"/>
      <c r="J2" s="39"/>
    </row>
    <row r="3" spans="3:16" ht="15" thickBot="1">
      <c r="F3" s="40"/>
      <c r="G3" s="41"/>
      <c r="H3" s="41"/>
      <c r="I3" s="41"/>
      <c r="J3" s="42"/>
    </row>
    <row r="8" spans="3:16" ht="17.399999999999999">
      <c r="C8" s="49" t="s">
        <v>39</v>
      </c>
      <c r="D8" s="49"/>
      <c r="G8" s="49" t="s">
        <v>1</v>
      </c>
      <c r="H8" s="49"/>
      <c r="K8" s="46" t="s">
        <v>125</v>
      </c>
      <c r="L8" s="47"/>
      <c r="M8" s="47"/>
      <c r="N8" s="47"/>
      <c r="O8" s="47"/>
      <c r="P8" s="48"/>
    </row>
    <row r="9" spans="3:16" ht="15.6">
      <c r="C9" s="15" t="s">
        <v>116</v>
      </c>
      <c r="D9" s="15">
        <v>0.22</v>
      </c>
      <c r="G9" s="15" t="s">
        <v>56</v>
      </c>
      <c r="H9" s="15">
        <v>7.5</v>
      </c>
      <c r="K9" s="15" t="s">
        <v>65</v>
      </c>
      <c r="L9" s="15">
        <v>290</v>
      </c>
      <c r="M9" s="15" t="s">
        <v>66</v>
      </c>
      <c r="N9" s="15">
        <v>300</v>
      </c>
      <c r="O9" s="15" t="s">
        <v>68</v>
      </c>
      <c r="P9" s="15">
        <v>8.5</v>
      </c>
    </row>
    <row r="10" spans="3:16" ht="16.2">
      <c r="C10" s="15" t="s">
        <v>42</v>
      </c>
      <c r="D10" s="15">
        <v>0.1</v>
      </c>
      <c r="G10" s="17" t="s">
        <v>57</v>
      </c>
      <c r="H10" s="23">
        <v>14.5</v>
      </c>
      <c r="K10" s="15" t="s">
        <v>69</v>
      </c>
      <c r="L10" s="15">
        <v>14</v>
      </c>
      <c r="M10" s="15" t="s">
        <v>67</v>
      </c>
      <c r="N10" s="15">
        <v>208</v>
      </c>
      <c r="O10" s="15" t="s">
        <v>70</v>
      </c>
      <c r="P10" s="15">
        <v>112.5</v>
      </c>
    </row>
    <row r="11" spans="3:16" ht="16.2">
      <c r="C11" s="15" t="s">
        <v>41</v>
      </c>
      <c r="D11" s="15">
        <v>0.64</v>
      </c>
      <c r="G11" s="15" t="s">
        <v>120</v>
      </c>
      <c r="H11" s="15">
        <v>4</v>
      </c>
      <c r="K11" s="15" t="s">
        <v>71</v>
      </c>
      <c r="L11" s="15">
        <v>18263.5</v>
      </c>
      <c r="M11" s="15" t="s">
        <v>72</v>
      </c>
      <c r="N11" s="15">
        <v>1259.6300000000001</v>
      </c>
      <c r="O11" s="15" t="s">
        <v>73</v>
      </c>
      <c r="P11" s="15">
        <v>12.74</v>
      </c>
    </row>
    <row r="12" spans="3:16" ht="16.2">
      <c r="K12" s="15" t="s">
        <v>74</v>
      </c>
      <c r="L12" s="15">
        <v>1383.3</v>
      </c>
      <c r="M12" s="15" t="s">
        <v>75</v>
      </c>
      <c r="N12" s="15">
        <v>37.299999999999997</v>
      </c>
      <c r="O12" s="15" t="s">
        <v>76</v>
      </c>
      <c r="P12" s="15">
        <v>6310.5</v>
      </c>
    </row>
    <row r="13" spans="3:16" ht="16.2">
      <c r="E13" s="25"/>
      <c r="K13" s="15" t="s">
        <v>77</v>
      </c>
      <c r="L13" s="15">
        <v>420.7</v>
      </c>
      <c r="M13" s="15" t="s">
        <v>79</v>
      </c>
      <c r="N13" s="15">
        <v>7.49</v>
      </c>
      <c r="O13" s="15" t="s">
        <v>80</v>
      </c>
      <c r="P13" s="15">
        <v>641.20000000000005</v>
      </c>
    </row>
    <row r="14" spans="3:16" ht="16.2">
      <c r="K14" s="15" t="s">
        <v>78</v>
      </c>
      <c r="L14" s="15">
        <v>87</v>
      </c>
      <c r="M14" s="17" t="s">
        <v>85</v>
      </c>
      <c r="N14" s="17">
        <v>2350</v>
      </c>
      <c r="O14" s="5" t="s">
        <v>91</v>
      </c>
      <c r="P14" s="15">
        <v>1.1000000000000001</v>
      </c>
    </row>
    <row r="15" spans="3:16">
      <c r="K15" s="17" t="s">
        <v>117</v>
      </c>
      <c r="L15" s="17">
        <v>88.3</v>
      </c>
      <c r="M15" s="17" t="s">
        <v>136</v>
      </c>
      <c r="N15" s="17">
        <v>27</v>
      </c>
    </row>
    <row r="18" spans="2:15" ht="17.399999999999999">
      <c r="C18" s="49" t="s">
        <v>50</v>
      </c>
      <c r="D18" s="49"/>
      <c r="E18" s="49"/>
      <c r="G18" s="49" t="s">
        <v>51</v>
      </c>
      <c r="H18" s="49"/>
      <c r="I18" s="49"/>
      <c r="J18" s="49"/>
      <c r="K18" s="49"/>
      <c r="L18" s="49"/>
      <c r="M18" s="49"/>
      <c r="N18" s="49"/>
      <c r="O18" s="49"/>
    </row>
    <row r="19" spans="2:15" ht="14.4" customHeight="1">
      <c r="C19" s="15" t="s">
        <v>118</v>
      </c>
      <c r="D19" s="55">
        <f>D9*H9*H10+D10*H11*H9</f>
        <v>26.924999999999997</v>
      </c>
      <c r="E19" s="55"/>
      <c r="G19" s="51" t="s">
        <v>128</v>
      </c>
      <c r="H19" s="54" t="s">
        <v>126</v>
      </c>
      <c r="I19" s="56">
        <f>1.5*H10*D20/2</f>
        <v>52.199999999999996</v>
      </c>
      <c r="J19" s="51" t="s">
        <v>134</v>
      </c>
      <c r="K19" s="54" t="s">
        <v>130</v>
      </c>
      <c r="L19" s="45">
        <f>1.35*(D19+L15*H10/100)</f>
        <v>53.633474999999997</v>
      </c>
      <c r="M19" s="51" t="s">
        <v>152</v>
      </c>
      <c r="N19" s="54" t="s">
        <v>154</v>
      </c>
      <c r="O19" s="45">
        <f>1.5*H10^2*D20/8</f>
        <v>189.22499999999999</v>
      </c>
    </row>
    <row r="20" spans="2:15">
      <c r="C20" s="15" t="s">
        <v>119</v>
      </c>
      <c r="D20" s="54">
        <f>D11*H9</f>
        <v>4.8</v>
      </c>
      <c r="E20" s="54"/>
      <c r="G20" s="52"/>
      <c r="H20" s="54"/>
      <c r="I20" s="57"/>
      <c r="J20" s="52"/>
      <c r="K20" s="54"/>
      <c r="L20" s="45"/>
      <c r="M20" s="52"/>
      <c r="N20" s="54"/>
      <c r="O20" s="45"/>
    </row>
    <row r="21" spans="2:15">
      <c r="C21" s="27"/>
      <c r="D21" s="27"/>
      <c r="E21" s="27"/>
      <c r="G21" s="52"/>
      <c r="H21" s="54" t="s">
        <v>127</v>
      </c>
      <c r="I21" s="56">
        <f>N12*N14/SQRT(3)/P14/100</f>
        <v>460.06943496196953</v>
      </c>
      <c r="J21" s="52"/>
      <c r="K21" s="54" t="s">
        <v>131</v>
      </c>
      <c r="L21" s="45">
        <f>P10*N14/P14/100</f>
        <v>2403.4090909090905</v>
      </c>
      <c r="M21" s="52"/>
      <c r="N21" s="54" t="s">
        <v>153</v>
      </c>
      <c r="O21" s="45">
        <f>L12*N14/P14/10000</f>
        <v>295.5231818181818</v>
      </c>
    </row>
    <row r="22" spans="2:15">
      <c r="C22" s="27"/>
      <c r="D22" s="27"/>
      <c r="E22" s="27"/>
      <c r="G22" s="53"/>
      <c r="H22" s="54"/>
      <c r="I22" s="57"/>
      <c r="J22" s="53"/>
      <c r="K22" s="54"/>
      <c r="L22" s="45"/>
      <c r="M22" s="53"/>
      <c r="N22" s="54"/>
      <c r="O22" s="45"/>
    </row>
    <row r="23" spans="2:15">
      <c r="C23" s="27"/>
      <c r="D23" s="27"/>
      <c r="E23" s="27"/>
      <c r="G23" s="27"/>
      <c r="H23" s="27"/>
    </row>
    <row r="24" spans="2:15">
      <c r="C24" s="27"/>
      <c r="D24" s="27"/>
      <c r="E24" s="27"/>
      <c r="G24" s="27"/>
      <c r="H24" s="27"/>
    </row>
    <row r="25" spans="2:15">
      <c r="C25" s="27"/>
      <c r="D25" s="27"/>
      <c r="E25" s="27"/>
      <c r="G25" s="27"/>
      <c r="H25" s="27"/>
    </row>
    <row r="29" spans="2:15" ht="15" thickBot="1"/>
    <row r="30" spans="2:15" ht="16.2" thickBot="1">
      <c r="B30" s="11" t="s">
        <v>121</v>
      </c>
    </row>
    <row r="32" spans="2:15" ht="16.2">
      <c r="D32" s="15" t="s">
        <v>122</v>
      </c>
      <c r="E32" s="26">
        <f>5/384*200*D20*H10^3/2.1</f>
        <v>18146.577380952385</v>
      </c>
      <c r="G32" s="24" t="s">
        <v>123</v>
      </c>
      <c r="I32" s="22" t="s">
        <v>124</v>
      </c>
    </row>
    <row r="34" spans="2:13" ht="15" thickBot="1"/>
    <row r="35" spans="2:13" ht="16.2" thickBot="1">
      <c r="B35" s="11" t="s">
        <v>129</v>
      </c>
      <c r="D35" s="1" t="str">
        <f>IF(E37&lt;H37/2,"vérifié","non vérifié")</f>
        <v>vérifié</v>
      </c>
    </row>
    <row r="37" spans="2:13" ht="15.6">
      <c r="D37" s="15" t="s">
        <v>126</v>
      </c>
      <c r="E37" s="23">
        <f>I19</f>
        <v>52.199999999999996</v>
      </c>
      <c r="G37" s="15" t="s">
        <v>127</v>
      </c>
      <c r="H37" s="23">
        <f>I21</f>
        <v>460.06943496196953</v>
      </c>
      <c r="J37" s="1" t="str">
        <f>IF(E37&lt;H37/2,"vérifié","non vérifié")</f>
        <v>vérifié</v>
      </c>
    </row>
    <row r="39" spans="2:13" ht="15" thickBot="1"/>
    <row r="40" spans="2:13" ht="16.2" thickBot="1">
      <c r="B40" s="11" t="s">
        <v>133</v>
      </c>
      <c r="D40" s="1" t="str">
        <f>IF(E42&lt;MIN(H42/4,K42/2),"vérifié","non vérifié")</f>
        <v>vérifié</v>
      </c>
    </row>
    <row r="42" spans="2:13" ht="15.6">
      <c r="D42" s="15" t="s">
        <v>130</v>
      </c>
      <c r="E42" s="23">
        <f>L19</f>
        <v>53.633474999999997</v>
      </c>
      <c r="G42" s="15" t="s">
        <v>131</v>
      </c>
      <c r="H42" s="23">
        <f>L21</f>
        <v>2403.4090909090905</v>
      </c>
      <c r="J42" s="15" t="s">
        <v>132</v>
      </c>
      <c r="K42" s="23">
        <f>(P10-L10*(2*N9+P9+2*N15)/1000)*N14/P14/100</f>
        <v>2205.2613636363635</v>
      </c>
      <c r="M42" s="1" t="str">
        <f>IF(E42&lt;MIN(H42/4,K42/2),"vérifié","non vérifié")</f>
        <v>vérifié</v>
      </c>
    </row>
    <row r="44" spans="2:13" ht="15" thickBot="1"/>
    <row r="45" spans="2:13" ht="16.2" thickBot="1">
      <c r="B45" s="11" t="s">
        <v>135</v>
      </c>
    </row>
    <row r="47" spans="2:13" ht="15.6">
      <c r="B47" s="18" t="s">
        <v>83</v>
      </c>
    </row>
    <row r="48" spans="2:13" ht="15.6">
      <c r="B48" s="19"/>
    </row>
    <row r="50" spans="2:14" ht="15.6">
      <c r="B50" s="15" t="s">
        <v>84</v>
      </c>
      <c r="D50" s="15" t="s">
        <v>86</v>
      </c>
      <c r="E50" s="29">
        <f>N9/(2*L10)</f>
        <v>10.714285714285714</v>
      </c>
      <c r="G50" s="5" t="s">
        <v>87</v>
      </c>
      <c r="H50" s="15">
        <v>10</v>
      </c>
    </row>
    <row r="52" spans="2:14" ht="15.6">
      <c r="B52" s="15" t="s">
        <v>88</v>
      </c>
      <c r="D52" s="15" t="s">
        <v>89</v>
      </c>
      <c r="E52" s="23">
        <f>N10/P9</f>
        <v>24.470588235294116</v>
      </c>
      <c r="F52" s="1"/>
      <c r="G52" s="5" t="s">
        <v>137</v>
      </c>
      <c r="H52" s="15">
        <v>33</v>
      </c>
      <c r="I52" s="1"/>
    </row>
    <row r="55" spans="2:14" ht="15.6">
      <c r="B55" s="18" t="s">
        <v>138</v>
      </c>
      <c r="E55" s="1" t="str">
        <f>IF(E42/K64/H42+H67*K67/N67&lt;1,"vérifié","non vérifié")</f>
        <v>vérifié</v>
      </c>
    </row>
    <row r="57" spans="2:14" ht="15.6">
      <c r="D57" s="5" t="s">
        <v>109</v>
      </c>
      <c r="E57" s="21">
        <v>93.9</v>
      </c>
      <c r="G57" s="5" t="s">
        <v>139</v>
      </c>
      <c r="H57" s="21">
        <f>H10/P11*100</f>
        <v>113.81475667189953</v>
      </c>
      <c r="J57" s="28" t="s">
        <v>141</v>
      </c>
      <c r="K57" s="21">
        <f>H57/E57</f>
        <v>1.2120847355899842</v>
      </c>
      <c r="M57" s="5" t="s">
        <v>140</v>
      </c>
      <c r="N57" s="23">
        <v>0.34</v>
      </c>
    </row>
    <row r="59" spans="2:14" ht="15.6">
      <c r="D59" s="15" t="s">
        <v>142</v>
      </c>
      <c r="E59" s="23">
        <f>0.5*(1+N57*(K57-0.2)+K57^2)</f>
        <v>1.4066291081754183</v>
      </c>
      <c r="G59" s="5" t="s">
        <v>143</v>
      </c>
      <c r="H59" s="23">
        <f>1/(E59+(E59^2-K57^2)^(0.5))</f>
        <v>0.47161113155324436</v>
      </c>
    </row>
    <row r="62" spans="2:14" ht="15.6">
      <c r="D62" s="5" t="s">
        <v>109</v>
      </c>
      <c r="E62" s="21">
        <v>93.9</v>
      </c>
      <c r="G62" s="5" t="s">
        <v>144</v>
      </c>
      <c r="H62" s="21">
        <f>400/N13</f>
        <v>53.404539385847798</v>
      </c>
      <c r="J62" s="28" t="s">
        <v>145</v>
      </c>
      <c r="K62" s="21">
        <f>H62/E62</f>
        <v>0.56873843861392748</v>
      </c>
      <c r="M62" s="5" t="s">
        <v>146</v>
      </c>
      <c r="N62" s="23">
        <v>0.49</v>
      </c>
    </row>
    <row r="64" spans="2:14" ht="15.6">
      <c r="D64" s="15" t="s">
        <v>147</v>
      </c>
      <c r="E64" s="23">
        <f>0.5*(1+N62*(K62-0.2)+K62^2)</f>
        <v>0.75207262323891622</v>
      </c>
      <c r="G64" s="5" t="s">
        <v>148</v>
      </c>
      <c r="H64" s="23">
        <f>1/(E64+(E64^2-K62^2)^(0.5))</f>
        <v>0.80375525384982049</v>
      </c>
      <c r="J64" s="5" t="s">
        <v>149</v>
      </c>
      <c r="K64" s="23">
        <f>MIN(H64,H59)</f>
        <v>0.47161113155324436</v>
      </c>
    </row>
    <row r="67" spans="2:14" ht="15.6">
      <c r="D67" s="5" t="s">
        <v>151</v>
      </c>
      <c r="E67" s="21">
        <f>K57*(2*1.3-4)+(L12-N11)/N11</f>
        <v>-1.5987390056506248</v>
      </c>
      <c r="G67" s="15" t="s">
        <v>150</v>
      </c>
      <c r="H67" s="23">
        <f>1-E67*H59/N14/P10*1000</f>
        <v>1.0028519455754636</v>
      </c>
      <c r="J67" s="15" t="s">
        <v>155</v>
      </c>
      <c r="K67" s="23">
        <f>O19</f>
        <v>189.22499999999999</v>
      </c>
      <c r="M67" s="15" t="s">
        <v>153</v>
      </c>
      <c r="N67" s="23">
        <f>O21</f>
        <v>295.5231818181818</v>
      </c>
    </row>
    <row r="70" spans="2:14" ht="15.6">
      <c r="B70" s="18" t="s">
        <v>107</v>
      </c>
      <c r="E70" s="1" t="str">
        <f>IF(E42/H64/H42+H67*K67/E72/N67&lt;1,"vérifié","non vérifié")</f>
        <v>vérifié</v>
      </c>
    </row>
    <row r="72" spans="2:14" ht="15.6">
      <c r="D72" s="5" t="s">
        <v>157</v>
      </c>
      <c r="E72" s="23">
        <f>0.15*(K62*1.3-1)</f>
        <v>-3.9096004470284142E-2</v>
      </c>
      <c r="G72" s="15" t="s">
        <v>156</v>
      </c>
      <c r="H72" s="23">
        <f>1-E72*E42/H64/N14/P10</f>
        <v>1.0000098678855254</v>
      </c>
    </row>
  </sheetData>
  <mergeCells count="23">
    <mergeCell ref="F2:J3"/>
    <mergeCell ref="C8:D8"/>
    <mergeCell ref="G8:H8"/>
    <mergeCell ref="K8:P8"/>
    <mergeCell ref="D19:E19"/>
    <mergeCell ref="C18:E18"/>
    <mergeCell ref="G19:G22"/>
    <mergeCell ref="H19:H20"/>
    <mergeCell ref="H21:H22"/>
    <mergeCell ref="D20:E20"/>
    <mergeCell ref="M19:M22"/>
    <mergeCell ref="G18:O18"/>
    <mergeCell ref="N19:N20"/>
    <mergeCell ref="O19:O20"/>
    <mergeCell ref="N21:N22"/>
    <mergeCell ref="O21:O22"/>
    <mergeCell ref="K19:K20"/>
    <mergeCell ref="K21:K22"/>
    <mergeCell ref="I21:I22"/>
    <mergeCell ref="L21:L22"/>
    <mergeCell ref="J19:J22"/>
    <mergeCell ref="I19:I20"/>
    <mergeCell ref="L19:L20"/>
  </mergeCells>
  <conditionalFormatting sqref="J37 D35">
    <cfRule type="expression" dxfId="7" priority="20">
      <formula>$D$35="non vérifié"</formula>
    </cfRule>
    <cfRule type="expression" dxfId="6" priority="21">
      <formula>$D$35="vérifié"</formula>
    </cfRule>
  </conditionalFormatting>
  <conditionalFormatting sqref="D40 M42">
    <cfRule type="expression" dxfId="5" priority="18">
      <formula>$D$40="non vérifié"</formula>
    </cfRule>
    <cfRule type="expression" dxfId="4" priority="19">
      <formula>$D$40="vérifié"</formula>
    </cfRule>
  </conditionalFormatting>
  <conditionalFormatting sqref="E55">
    <cfRule type="expression" dxfId="3" priority="3">
      <formula>$E$55="vérifié"</formula>
    </cfRule>
    <cfRule type="expression" dxfId="2" priority="4">
      <formula>$E$55="non vérifié"</formula>
    </cfRule>
  </conditionalFormatting>
  <conditionalFormatting sqref="E70">
    <cfRule type="expression" dxfId="1" priority="1">
      <formula>$E$70="non vérifié"</formula>
    </cfRule>
    <cfRule type="expression" dxfId="0" priority="2">
      <formula>$E$70="vérifié"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Calcul du vent</vt:lpstr>
      <vt:lpstr>Dimensionnement panne</vt:lpstr>
      <vt:lpstr>Dimensionnement poteau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2020-11-28T16:53:15Z</dcterms:created>
  <dcterms:modified xsi:type="dcterms:W3CDTF">2021-01-07T05:50:52Z</dcterms:modified>
</cp:coreProperties>
</file>