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urs\2eme année civil\PFA2\"/>
    </mc:Choice>
  </mc:AlternateContent>
  <bookViews>
    <workbookView xWindow="-108" yWindow="-108" windowWidth="23256" windowHeight="13176"/>
  </bookViews>
  <sheets>
    <sheet name="BAEL99-EC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1" l="1"/>
  <c r="D102" i="1"/>
  <c r="C102" i="1"/>
  <c r="C89" i="1" l="1"/>
  <c r="C93" i="1"/>
  <c r="C98" i="1"/>
  <c r="C100" i="1"/>
  <c r="C46" i="1" l="1"/>
  <c r="E59" i="1"/>
  <c r="C86" i="1" s="1"/>
  <c r="C60" i="1" l="1"/>
  <c r="C62" i="1"/>
  <c r="C70" i="1"/>
  <c r="C23" i="1"/>
  <c r="C69" i="1"/>
  <c r="C22" i="1"/>
  <c r="C68" i="1"/>
  <c r="C67" i="1"/>
  <c r="C21" i="1" l="1"/>
  <c r="C20" i="1"/>
  <c r="C72" i="1" s="1"/>
  <c r="C99" i="1" l="1"/>
  <c r="C101" i="1" s="1"/>
  <c r="C25" i="1"/>
  <c r="C41" i="1"/>
  <c r="C37" i="1"/>
  <c r="C34" i="1"/>
  <c r="C30" i="1"/>
  <c r="C14" i="1"/>
  <c r="C79" i="1" s="1"/>
  <c r="C80" i="1" s="1"/>
  <c r="C81" i="1" s="1"/>
  <c r="C97" i="1" s="1"/>
  <c r="C85" i="1" l="1"/>
  <c r="C94" i="1" s="1"/>
  <c r="D94" i="1" s="1"/>
  <c r="C50" i="1"/>
  <c r="C51" i="1" s="1"/>
  <c r="D51" i="1" s="1"/>
  <c r="C47" i="1"/>
  <c r="D47" i="1" s="1"/>
  <c r="C45" i="1"/>
  <c r="C26" i="1"/>
  <c r="C33" i="1" s="1"/>
  <c r="D30" i="1" l="1"/>
  <c r="C52" i="1"/>
  <c r="C54" i="1" s="1"/>
  <c r="D34" i="1"/>
  <c r="C42" i="1"/>
  <c r="D42" i="1" s="1"/>
</calcChain>
</file>

<file path=xl/sharedStrings.xml><?xml version="1.0" encoding="utf-8"?>
<sst xmlns="http://schemas.openxmlformats.org/spreadsheetml/2006/main" count="92" uniqueCount="78">
  <si>
    <t>Données</t>
  </si>
  <si>
    <t>FP</t>
  </si>
  <si>
    <t>d(m)</t>
  </si>
  <si>
    <t>Calcul</t>
  </si>
  <si>
    <t>Dimentionnement Poutre VIS-A-VIS L'EFFORT TRANCHANT</t>
  </si>
  <si>
    <t>B.A.E.L 99</t>
  </si>
  <si>
    <t>b0(m)</t>
  </si>
  <si>
    <t>b(m)</t>
  </si>
  <si>
    <t>h(m)</t>
  </si>
  <si>
    <t>h0(m)</t>
  </si>
  <si>
    <t>L(m)</t>
  </si>
  <si>
    <t>g(T/ml)</t>
  </si>
  <si>
    <t>q(T/ml)</t>
  </si>
  <si>
    <t>G(T)</t>
  </si>
  <si>
    <t>Q(T)</t>
  </si>
  <si>
    <t>distance x de Q et G(m)</t>
  </si>
  <si>
    <t>fc28(MPa)</t>
  </si>
  <si>
    <t>fe(MPa)</t>
  </si>
  <si>
    <t>Effort Tranchant(MN)</t>
  </si>
  <si>
    <t>Vérif ELU Béton</t>
  </si>
  <si>
    <t>Fissuration</t>
  </si>
  <si>
    <t>Vérif ELU Acier</t>
  </si>
  <si>
    <t>k</t>
  </si>
  <si>
    <t>pourcentage minimal</t>
  </si>
  <si>
    <t>Choix du diametre</t>
  </si>
  <si>
    <t>diametre max(cm)</t>
  </si>
  <si>
    <t>diametre min acier longt(cm)</t>
  </si>
  <si>
    <t>diametre choisi(cm)</t>
  </si>
  <si>
    <t>Selon le ferr longt choisi</t>
  </si>
  <si>
    <t>Vérif Bielles d'abouts</t>
  </si>
  <si>
    <t>a(m)</t>
  </si>
  <si>
    <t>largeur poteau(m)</t>
  </si>
  <si>
    <t>Liaison Table-Nervure</t>
  </si>
  <si>
    <t>gu(MN/m)</t>
  </si>
  <si>
    <t>Contraint(MPa)</t>
  </si>
  <si>
    <t>Ac/sc(cm2/cm)</t>
  </si>
  <si>
    <t>sc choisi(cm)</t>
  </si>
  <si>
    <t>Ac</t>
  </si>
  <si>
    <r>
      <t>V</t>
    </r>
    <r>
      <rPr>
        <sz val="8"/>
        <color theme="1"/>
        <rFont val="Calibri"/>
        <family val="2"/>
        <scheme val="minor"/>
      </rPr>
      <t>G</t>
    </r>
  </si>
  <si>
    <t>Vg</t>
  </si>
  <si>
    <r>
      <t>V</t>
    </r>
    <r>
      <rPr>
        <sz val="8"/>
        <color theme="1"/>
        <rFont val="Calibri"/>
        <family val="2"/>
        <scheme val="minor"/>
      </rPr>
      <t>Q</t>
    </r>
  </si>
  <si>
    <t>Vq</t>
  </si>
  <si>
    <r>
      <rPr>
        <b/>
        <sz val="11"/>
        <color theme="1"/>
        <rFont val="Symbol"/>
        <family val="1"/>
        <charset val="2"/>
      </rPr>
      <t>t</t>
    </r>
    <r>
      <rPr>
        <sz val="9"/>
        <color theme="1"/>
        <rFont val="Calibri"/>
        <family val="2"/>
        <scheme val="minor"/>
      </rPr>
      <t>u</t>
    </r>
    <r>
      <rPr>
        <b/>
        <sz val="11"/>
        <color theme="1"/>
        <rFont val="Symbol"/>
        <family val="1"/>
        <charset val="2"/>
      </rPr>
      <t xml:space="preserve"> </t>
    </r>
    <r>
      <rPr>
        <sz val="11"/>
        <color theme="1"/>
        <rFont val="Calibri"/>
        <family val="2"/>
      </rPr>
      <t>(MPa)</t>
    </r>
  </si>
  <si>
    <r>
      <rPr>
        <b/>
        <sz val="11"/>
        <color theme="1"/>
        <rFont val="Symbol"/>
        <family val="1"/>
        <charset val="2"/>
      </rPr>
      <t>t</t>
    </r>
    <r>
      <rPr>
        <sz val="8"/>
        <color theme="1"/>
        <rFont val="Calibri"/>
        <family val="2"/>
        <scheme val="minor"/>
      </rPr>
      <t>ulim</t>
    </r>
    <r>
      <rPr>
        <sz val="11"/>
        <color theme="1"/>
        <rFont val="Calibri"/>
        <family val="2"/>
        <scheme val="minor"/>
      </rPr>
      <t>(MPa)</t>
    </r>
  </si>
  <si>
    <t>EC 2</t>
  </si>
  <si>
    <r>
      <rPr>
        <sz val="14"/>
        <color theme="1"/>
        <rFont val="Calibri"/>
        <family val="2"/>
        <scheme val="minor"/>
      </rPr>
      <t>V</t>
    </r>
    <r>
      <rPr>
        <sz val="8"/>
        <color theme="1"/>
        <rFont val="Calibri"/>
        <family val="2"/>
        <scheme val="minor"/>
      </rPr>
      <t xml:space="preserve">Ed </t>
    </r>
    <r>
      <rPr>
        <sz val="10"/>
        <color theme="1"/>
        <rFont val="Calibri"/>
        <family val="2"/>
        <scheme val="minor"/>
      </rPr>
      <t>(MN)</t>
    </r>
  </si>
  <si>
    <r>
      <rPr>
        <sz val="12"/>
        <color theme="1"/>
        <rFont val="Symbol"/>
        <family val="1"/>
        <charset val="2"/>
      </rPr>
      <t>n</t>
    </r>
    <r>
      <rPr>
        <vertAlign val="subscript"/>
        <sz val="9"/>
        <color theme="1"/>
        <rFont val="Symbol"/>
        <family val="1"/>
        <charset val="2"/>
      </rPr>
      <t xml:space="preserve">1 </t>
    </r>
  </si>
  <si>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Symbol"/>
        <family val="1"/>
        <charset val="2"/>
      </rPr>
      <t>a</t>
    </r>
    <r>
      <rPr>
        <b/>
        <vertAlign val="subscript"/>
        <sz val="9"/>
        <color theme="1"/>
        <rFont val="Times New Roman"/>
        <family val="1"/>
      </rPr>
      <t xml:space="preserve">cw  </t>
    </r>
  </si>
  <si>
    <r>
      <rPr>
        <sz val="12"/>
        <color theme="1"/>
        <rFont val="Times New Roman"/>
        <family val="1"/>
      </rPr>
      <t xml:space="preserve"> f</t>
    </r>
    <r>
      <rPr>
        <vertAlign val="subscript"/>
        <sz val="10"/>
        <color theme="1"/>
        <rFont val="Times New Roman"/>
        <family val="1"/>
      </rPr>
      <t xml:space="preserve">cd </t>
    </r>
    <r>
      <rPr>
        <vertAlign val="subscript"/>
        <sz val="12"/>
        <color theme="1"/>
        <rFont val="Times New Roman"/>
        <family val="1"/>
      </rPr>
      <t>(Mpa)</t>
    </r>
  </si>
  <si>
    <r>
      <rPr>
        <sz val="12"/>
        <color theme="1"/>
        <rFont val="Times New Roman"/>
        <family val="1"/>
      </rPr>
      <t>f</t>
    </r>
    <r>
      <rPr>
        <vertAlign val="subscript"/>
        <sz val="10"/>
        <color theme="1"/>
        <rFont val="Times New Roman"/>
        <family val="1"/>
      </rPr>
      <t xml:space="preserve">ck </t>
    </r>
    <r>
      <rPr>
        <vertAlign val="subscript"/>
        <sz val="12"/>
        <color theme="1"/>
        <rFont val="Times New Roman"/>
        <family val="1"/>
      </rPr>
      <t>(Mpa)</t>
    </r>
  </si>
  <si>
    <r>
      <rPr>
        <sz val="12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 xml:space="preserve">w </t>
    </r>
    <r>
      <rPr>
        <vertAlign val="subscript"/>
        <sz val="12"/>
        <color theme="1"/>
        <rFont val="Times New Roman"/>
        <family val="1"/>
      </rPr>
      <t>(m)</t>
    </r>
  </si>
  <si>
    <r>
      <rPr>
        <sz val="12"/>
        <color theme="1"/>
        <rFont val="Symbol"/>
        <family val="1"/>
        <charset val="2"/>
      </rPr>
      <t>t</t>
    </r>
    <r>
      <rPr>
        <sz val="8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(MPa)</t>
    </r>
  </si>
  <si>
    <t>t*</t>
  </si>
  <si>
    <r>
      <t>cot(</t>
    </r>
    <r>
      <rPr>
        <sz val="11"/>
        <color theme="1"/>
        <rFont val="Symbol"/>
        <family val="1"/>
        <charset val="2"/>
      </rPr>
      <t>q)</t>
    </r>
  </si>
  <si>
    <t>q</t>
  </si>
  <si>
    <r>
      <rPr>
        <sz val="14"/>
        <color theme="1"/>
        <rFont val="Calibri"/>
        <family val="2"/>
        <scheme val="minor"/>
      </rPr>
      <t>V</t>
    </r>
    <r>
      <rPr>
        <sz val="8"/>
        <color theme="1"/>
        <rFont val="Calibri"/>
        <family val="2"/>
        <scheme val="minor"/>
      </rPr>
      <t>Rd,max</t>
    </r>
    <r>
      <rPr>
        <sz val="10"/>
        <color theme="1"/>
        <rFont val="Calibri"/>
        <family val="2"/>
        <scheme val="minor"/>
      </rPr>
      <t>(MN)</t>
    </r>
  </si>
  <si>
    <r>
      <rPr>
        <sz val="14"/>
        <color theme="1"/>
        <rFont val="Calibri"/>
        <family val="2"/>
        <scheme val="minor"/>
      </rPr>
      <t>V</t>
    </r>
    <r>
      <rPr>
        <sz val="8"/>
        <color theme="1"/>
        <rFont val="Calibri"/>
        <family val="2"/>
        <scheme val="minor"/>
      </rPr>
      <t xml:space="preserve">Ed </t>
    </r>
    <r>
      <rPr>
        <sz val="10"/>
        <color theme="1"/>
        <rFont val="Calibri"/>
        <family val="2"/>
        <scheme val="minor"/>
      </rPr>
      <t xml:space="preserve">(MN) &lt; </t>
    </r>
    <r>
      <rPr>
        <sz val="12"/>
        <color theme="1"/>
        <rFont val="Times New Roman"/>
        <family val="1"/>
      </rPr>
      <t>V</t>
    </r>
    <r>
      <rPr>
        <sz val="8"/>
        <color theme="1"/>
        <rFont val="Times New Roman"/>
        <family val="1"/>
      </rPr>
      <t>Rd</t>
    </r>
    <r>
      <rPr>
        <sz val="10"/>
        <color theme="1"/>
        <rFont val="Times New Roman"/>
        <family val="1"/>
      </rPr>
      <t>,</t>
    </r>
    <r>
      <rPr>
        <sz val="8"/>
        <color theme="1"/>
        <rFont val="Times New Roman"/>
        <family val="1"/>
      </rPr>
      <t>max</t>
    </r>
    <r>
      <rPr>
        <sz val="10"/>
        <color theme="1"/>
        <rFont val="Times New Roman"/>
        <family val="1"/>
      </rPr>
      <t>(</t>
    </r>
    <r>
      <rPr>
        <sz val="12"/>
        <color theme="1"/>
        <rFont val="Times New Roman"/>
        <family val="1"/>
      </rPr>
      <t>MN)</t>
    </r>
  </si>
  <si>
    <t>d'après cette condition</t>
  </si>
  <si>
    <r>
      <t xml:space="preserve">Choix de </t>
    </r>
    <r>
      <rPr>
        <b/>
        <sz val="11"/>
        <color theme="1"/>
        <rFont val="Symbol"/>
        <family val="1"/>
        <charset val="2"/>
      </rPr>
      <t>q</t>
    </r>
  </si>
  <si>
    <r>
      <t>A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/s</t>
    </r>
    <r>
      <rPr>
        <sz val="8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(cm2/cm) &gt;=</t>
    </r>
  </si>
  <si>
    <r>
      <rPr>
        <sz val="12"/>
        <color theme="1"/>
        <rFont val="Times New Roman"/>
        <family val="1"/>
      </rPr>
      <t xml:space="preserve"> f</t>
    </r>
    <r>
      <rPr>
        <sz val="8"/>
        <color theme="1"/>
        <rFont val="Times New Roman"/>
        <family val="1"/>
      </rPr>
      <t>yd</t>
    </r>
    <r>
      <rPr>
        <sz val="11"/>
        <color theme="1"/>
        <rFont val="Times New Roman"/>
        <family val="1"/>
      </rPr>
      <t xml:space="preserve"> (Mpa)</t>
    </r>
  </si>
  <si>
    <r>
      <rPr>
        <sz val="12"/>
        <color theme="1"/>
        <rFont val="Times New Roman"/>
        <family val="1"/>
      </rPr>
      <t xml:space="preserve"> f</t>
    </r>
    <r>
      <rPr>
        <sz val="8"/>
        <color theme="1"/>
        <rFont val="Times New Roman"/>
        <family val="1"/>
      </rPr>
      <t>yk</t>
    </r>
    <r>
      <rPr>
        <sz val="11"/>
        <color theme="1"/>
        <rFont val="Times New Roman"/>
        <family val="1"/>
      </rPr>
      <t xml:space="preserve"> (Mpa)</t>
    </r>
  </si>
  <si>
    <r>
      <t>A</t>
    </r>
    <r>
      <rPr>
        <sz val="8"/>
        <color theme="1"/>
        <rFont val="Calibri"/>
        <family val="2"/>
        <scheme val="minor"/>
      </rPr>
      <t>sw</t>
    </r>
    <r>
      <rPr>
        <sz val="11"/>
        <color theme="1"/>
        <rFont val="Calibri"/>
        <family val="2"/>
        <scheme val="minor"/>
      </rPr>
      <t>/s  (cm)  &gt;=</t>
    </r>
  </si>
  <si>
    <r>
      <rPr>
        <sz val="11"/>
        <color theme="1"/>
        <rFont val="Times New Roman"/>
        <family val="1"/>
      </rPr>
      <t>A</t>
    </r>
    <r>
      <rPr>
        <sz val="8"/>
        <color theme="1"/>
        <rFont val="Times New Roman"/>
        <family val="1"/>
      </rPr>
      <t xml:space="preserve">sw </t>
    </r>
    <r>
      <rPr>
        <sz val="11"/>
        <color theme="1"/>
        <rFont val="Times New Roman"/>
        <family val="1"/>
      </rPr>
      <t>(cm2)</t>
    </r>
  </si>
  <si>
    <r>
      <rPr>
        <sz val="12"/>
        <color theme="1"/>
        <rFont val="Times New Roman"/>
        <family val="1"/>
      </rPr>
      <t>s</t>
    </r>
    <r>
      <rPr>
        <sz val="8"/>
        <color theme="1"/>
        <rFont val="Times New Roman"/>
        <family val="1"/>
      </rPr>
      <t>t,max</t>
    </r>
    <r>
      <rPr>
        <sz val="12"/>
        <color theme="1"/>
        <rFont val="Times New Roman"/>
        <family val="1"/>
      </rPr>
      <t>(cm)</t>
    </r>
  </si>
  <si>
    <r>
      <rPr>
        <sz val="12"/>
        <color theme="1"/>
        <rFont val="Times New Roman"/>
        <family val="1"/>
      </rPr>
      <t>s</t>
    </r>
    <r>
      <rPr>
        <sz val="8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max </t>
    </r>
    <r>
      <rPr>
        <sz val="12"/>
        <color theme="1"/>
        <rFont val="Times New Roman"/>
        <family val="1"/>
      </rPr>
      <t>(cm)</t>
    </r>
  </si>
  <si>
    <r>
      <rPr>
        <sz val="12"/>
        <color theme="1"/>
        <rFont val="Calibri"/>
        <family val="2"/>
        <scheme val="minor"/>
      </rPr>
      <t>s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choisi (cm)</t>
    </r>
  </si>
  <si>
    <r>
      <rPr>
        <sz val="12"/>
        <color theme="1"/>
        <rFont val="Calibri"/>
        <family val="2"/>
        <scheme val="minor"/>
      </rPr>
      <t xml:space="preserve">s </t>
    </r>
    <r>
      <rPr>
        <sz val="9"/>
        <color theme="1"/>
        <rFont val="Calibri"/>
        <family val="2"/>
        <scheme val="minor"/>
      </rPr>
      <t>choisi</t>
    </r>
    <r>
      <rPr>
        <sz val="11"/>
        <color theme="1"/>
        <rFont val="Calibri"/>
        <family val="2"/>
        <scheme val="minor"/>
      </rPr>
      <t xml:space="preserve"> (cm)</t>
    </r>
  </si>
  <si>
    <r>
      <rPr>
        <sz val="12"/>
        <rFont val="Times New Roman"/>
        <family val="1"/>
      </rPr>
      <t xml:space="preserve">a </t>
    </r>
    <r>
      <rPr>
        <sz val="11"/>
        <rFont val="Times New Roman"/>
        <family val="1"/>
      </rPr>
      <t>(m)</t>
    </r>
  </si>
  <si>
    <t>c (cm)</t>
  </si>
  <si>
    <r>
      <t>A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(cm2)</t>
    </r>
  </si>
  <si>
    <r>
      <t>A</t>
    </r>
    <r>
      <rPr>
        <sz val="8"/>
        <color theme="1"/>
        <rFont val="Calibri"/>
        <family val="2"/>
        <scheme val="minor"/>
      </rPr>
      <t xml:space="preserve">st,ancre </t>
    </r>
    <r>
      <rPr>
        <sz val="11"/>
        <color theme="1"/>
        <rFont val="Calibri"/>
        <family val="2"/>
        <scheme val="minor"/>
      </rPr>
      <t>(cm2)</t>
    </r>
  </si>
  <si>
    <r>
      <rPr>
        <sz val="12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 xml:space="preserve">bc </t>
    </r>
    <r>
      <rPr>
        <sz val="11"/>
        <color theme="1"/>
        <rFont val="Calibri"/>
        <family val="2"/>
        <scheme val="minor"/>
      </rPr>
      <t>(MPa)</t>
    </r>
  </si>
  <si>
    <r>
      <rPr>
        <sz val="12"/>
        <color theme="1"/>
        <rFont val="Calibri"/>
        <family val="2"/>
        <scheme val="minor"/>
      </rPr>
      <t>A</t>
    </r>
    <r>
      <rPr>
        <sz val="8"/>
        <color theme="1"/>
        <rFont val="Calibri"/>
        <family val="2"/>
        <scheme val="minor"/>
      </rPr>
      <t xml:space="preserve">s </t>
    </r>
    <r>
      <rPr>
        <sz val="10"/>
        <color theme="1"/>
        <rFont val="Calibri"/>
        <family val="2"/>
        <scheme val="minor"/>
      </rPr>
      <t>(cm2)</t>
    </r>
  </si>
  <si>
    <r>
      <rPr>
        <sz val="12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(MPa)</t>
    </r>
  </si>
  <si>
    <r>
      <rPr>
        <sz val="12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Rd1</t>
    </r>
    <r>
      <rPr>
        <sz val="11"/>
        <color theme="1"/>
        <rFont val="Calibri"/>
        <family val="2"/>
        <scheme val="minor"/>
      </rPr>
      <t>(MPa)</t>
    </r>
  </si>
  <si>
    <r>
      <rPr>
        <sz val="12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Rd2</t>
    </r>
    <r>
      <rPr>
        <sz val="11"/>
        <color theme="1"/>
        <rFont val="Calibri"/>
        <family val="2"/>
        <scheme val="minor"/>
      </rPr>
      <t>(MPa)</t>
    </r>
  </si>
  <si>
    <r>
      <rPr>
        <sz val="12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Rdmax</t>
    </r>
    <r>
      <rPr>
        <sz val="11"/>
        <color theme="1"/>
        <rFont val="Calibri"/>
        <family val="2"/>
        <scheme val="minor"/>
      </rPr>
      <t>(MPa)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</si>
</sst>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rgb="FF008000"/>
      <name val="Calibri Light"/>
      <family val="2"/>
      <scheme val="major"/>
    </font>
    <font>
      <sz val="11"/>
      <color theme="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Calibri"/>
      <family val="1"/>
      <charset val="2"/>
    </font>
    <font>
      <b/>
      <sz val="11"/>
      <color theme="9" tint="-0.249977111117893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vertAlign val="subscript"/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b/>
      <sz val="12"/>
      <color theme="1"/>
      <name val="Times New Roman"/>
      <family val="1"/>
    </font>
    <font>
      <vertAlign val="subscript"/>
      <sz val="9"/>
      <color theme="1"/>
      <name val="Symbol"/>
      <family val="1"/>
      <charset val="2"/>
    </font>
    <font>
      <sz val="9"/>
      <color theme="1"/>
      <name val="Symbol"/>
      <family val="1"/>
      <charset val="2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 style="thin">
        <color rgb="FF008000"/>
      </left>
      <right style="thin">
        <color indexed="64"/>
      </right>
      <top style="thin">
        <color rgb="FF008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8000"/>
      </top>
      <bottom style="thin">
        <color indexed="64"/>
      </bottom>
      <diagonal/>
    </border>
    <border>
      <left style="thin">
        <color indexed="64"/>
      </left>
      <right style="thin">
        <color rgb="FF008000"/>
      </right>
      <top style="thin">
        <color rgb="FF008000"/>
      </top>
      <bottom style="thin">
        <color indexed="64"/>
      </bottom>
      <diagonal/>
    </border>
    <border>
      <left style="thin">
        <color rgb="FF008000"/>
      </left>
      <right/>
      <top/>
      <bottom/>
      <diagonal/>
    </border>
    <border>
      <left style="thin">
        <color rgb="FF008000"/>
      </left>
      <right style="thin">
        <color indexed="64"/>
      </right>
      <top style="thin">
        <color indexed="64"/>
      </top>
      <bottom style="thin">
        <color rgb="FF008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8000"/>
      </bottom>
      <diagonal/>
    </border>
    <border>
      <left style="thin">
        <color indexed="64"/>
      </left>
      <right style="thin">
        <color rgb="FF008000"/>
      </right>
      <top style="thin">
        <color indexed="64"/>
      </top>
      <bottom style="thin">
        <color rgb="FF008000"/>
      </bottom>
      <diagonal/>
    </border>
    <border>
      <left style="thin">
        <color rgb="FF008000"/>
      </left>
      <right style="thin">
        <color indexed="64"/>
      </right>
      <top style="thin">
        <color rgb="FF008000"/>
      </top>
      <bottom style="thin">
        <color rgb="FF008000"/>
      </bottom>
      <diagonal/>
    </border>
    <border>
      <left style="thin">
        <color indexed="64"/>
      </left>
      <right style="thin">
        <color indexed="64"/>
      </right>
      <top style="thin">
        <color rgb="FF008000"/>
      </top>
      <bottom style="thin">
        <color rgb="FF008000"/>
      </bottom>
      <diagonal/>
    </border>
    <border>
      <left style="thin">
        <color indexed="64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4">
    <cellStyle name="Milliers" xfId="1" builtinId="3"/>
    <cellStyle name="Monétaire" xfId="2" builtinId="4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327660</xdr:colOff>
      <xdr:row>21</xdr:row>
      <xdr:rowOff>0</xdr:rowOff>
    </xdr:from>
    <xdr:ext cx="65" cy="172227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AC25298D-FD12-4196-A78C-3FA25174C2B7}"/>
            </a:ext>
          </a:extLst>
        </xdr:cNvPr>
        <xdr:cNvSpPr txBox="1"/>
      </xdr:nvSpPr>
      <xdr:spPr>
        <a:xfrm>
          <a:off x="6629400" y="3886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FR" sz="1100"/>
        </a:p>
      </xdr:txBody>
    </xdr:sp>
    <xdr:clientData/>
  </xdr:oneCellAnchor>
  <xdr:twoCellAnchor editAs="oneCell">
    <xdr:from>
      <xdr:col>17</xdr:col>
      <xdr:colOff>201767</xdr:colOff>
      <xdr:row>8</xdr:row>
      <xdr:rowOff>22368</xdr:rowOff>
    </xdr:from>
    <xdr:to>
      <xdr:col>20</xdr:col>
      <xdr:colOff>247696</xdr:colOff>
      <xdr:row>16</xdr:row>
      <xdr:rowOff>110436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xmlns="" id="{E6BCFA8E-5ED6-4B59-A9A5-04A3775D4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1803" y="1518659"/>
          <a:ext cx="2415057" cy="1528941"/>
        </a:xfrm>
        <a:prstGeom prst="rect">
          <a:avLst/>
        </a:prstGeom>
      </xdr:spPr>
    </xdr:pic>
    <xdr:clientData/>
  </xdr:twoCellAnchor>
  <xdr:twoCellAnchor editAs="oneCell">
    <xdr:from>
      <xdr:col>9</xdr:col>
      <xdr:colOff>275422</xdr:colOff>
      <xdr:row>2</xdr:row>
      <xdr:rowOff>36723</xdr:rowOff>
    </xdr:from>
    <xdr:to>
      <xdr:col>16</xdr:col>
      <xdr:colOff>397686</xdr:colOff>
      <xdr:row>17</xdr:row>
      <xdr:rowOff>82627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xmlns="" id="{C42CB9A8-DA42-481C-A95D-29A8B84AEEA8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0289" y="403952"/>
          <a:ext cx="5649060" cy="28460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2"/>
  <sheetViews>
    <sheetView tabSelected="1" zoomScale="84" zoomScaleNormal="100" workbookViewId="0">
      <selection activeCell="H14" sqref="H14"/>
    </sheetView>
  </sheetViews>
  <sheetFormatPr baseColWidth="10" defaultRowHeight="14.4"/>
  <cols>
    <col min="1" max="1" width="11.5546875" style="23"/>
    <col min="2" max="2" width="20.5546875" style="2" bestFit="1" customWidth="1"/>
    <col min="3" max="3" width="13.33203125" style="2" bestFit="1" customWidth="1"/>
    <col min="4" max="4" width="24.33203125" style="2" bestFit="1" customWidth="1"/>
    <col min="5" max="6" width="11.5546875" style="2"/>
    <col min="7" max="7" width="24.5546875" style="2" bestFit="1" customWidth="1"/>
    <col min="8" max="8" width="20.6640625" style="2" bestFit="1" customWidth="1"/>
    <col min="9" max="16384" width="11.5546875" style="2"/>
  </cols>
  <sheetData>
    <row r="2" spans="2:10">
      <c r="B2" s="33" t="s">
        <v>4</v>
      </c>
      <c r="C2" s="34"/>
      <c r="D2" s="34"/>
      <c r="E2" s="34"/>
      <c r="F2" s="34"/>
      <c r="G2" s="34"/>
      <c r="H2" s="34"/>
      <c r="I2" s="35"/>
      <c r="J2" s="3"/>
    </row>
    <row r="3" spans="2:10">
      <c r="B3" s="36"/>
      <c r="C3" s="37"/>
      <c r="D3" s="37"/>
      <c r="E3" s="37"/>
      <c r="F3" s="37"/>
      <c r="G3" s="37"/>
      <c r="H3" s="37"/>
      <c r="I3" s="38"/>
      <c r="J3" s="3"/>
    </row>
    <row r="4" spans="2:10" ht="18">
      <c r="B4" s="39" t="s">
        <v>5</v>
      </c>
      <c r="C4" s="40"/>
      <c r="D4" s="40"/>
      <c r="E4" s="40"/>
      <c r="F4" s="40"/>
      <c r="G4" s="40"/>
      <c r="H4" s="40"/>
      <c r="I4" s="41"/>
      <c r="J4" s="3"/>
    </row>
    <row r="7" spans="2:10">
      <c r="B7" s="29" t="s">
        <v>0</v>
      </c>
      <c r="C7" s="29"/>
      <c r="D7" s="29"/>
      <c r="E7" s="29"/>
      <c r="F7" s="29"/>
      <c r="G7" s="29"/>
      <c r="H7" s="29"/>
      <c r="I7" s="29"/>
    </row>
    <row r="8" spans="2:10">
      <c r="B8" s="1"/>
      <c r="C8" s="1"/>
      <c r="D8" s="1"/>
      <c r="E8" s="1"/>
      <c r="F8" s="1"/>
      <c r="G8" s="1"/>
      <c r="H8" s="1"/>
      <c r="I8" s="1"/>
    </row>
    <row r="9" spans="2:10">
      <c r="B9" s="2" t="s">
        <v>6</v>
      </c>
      <c r="C9" s="2">
        <v>0.4</v>
      </c>
      <c r="D9" s="2" t="s">
        <v>11</v>
      </c>
      <c r="E9" s="2">
        <v>3</v>
      </c>
      <c r="G9" s="2" t="s">
        <v>16</v>
      </c>
      <c r="H9" s="4">
        <v>25</v>
      </c>
    </row>
    <row r="10" spans="2:10">
      <c r="B10" s="2" t="s">
        <v>7</v>
      </c>
      <c r="C10" s="2">
        <v>0.8</v>
      </c>
      <c r="D10" s="2" t="s">
        <v>12</v>
      </c>
      <c r="E10" s="2">
        <v>0.8</v>
      </c>
      <c r="G10" s="2" t="s">
        <v>17</v>
      </c>
      <c r="H10" s="2">
        <v>400</v>
      </c>
    </row>
    <row r="11" spans="2:10">
      <c r="B11" s="2" t="s">
        <v>9</v>
      </c>
      <c r="C11" s="2">
        <v>0.28000000000000003</v>
      </c>
      <c r="D11" s="2" t="s">
        <v>13</v>
      </c>
      <c r="E11" s="2">
        <v>79</v>
      </c>
      <c r="G11" s="5"/>
    </row>
    <row r="12" spans="2:10">
      <c r="B12" s="2" t="s">
        <v>8</v>
      </c>
      <c r="C12" s="2">
        <v>1.2</v>
      </c>
      <c r="D12" s="2" t="s">
        <v>14</v>
      </c>
      <c r="E12" s="2">
        <v>23</v>
      </c>
      <c r="G12" s="5" t="s">
        <v>20</v>
      </c>
      <c r="H12" s="6" t="s">
        <v>1</v>
      </c>
    </row>
    <row r="13" spans="2:10">
      <c r="B13" s="2" t="s">
        <v>10</v>
      </c>
      <c r="C13" s="2">
        <v>4.8</v>
      </c>
      <c r="D13" s="2" t="s">
        <v>15</v>
      </c>
      <c r="E13" s="2">
        <v>1.65</v>
      </c>
      <c r="G13" s="2" t="s">
        <v>22</v>
      </c>
      <c r="H13" s="6">
        <f>IF(H12="FPP",1,0)</f>
        <v>0</v>
      </c>
    </row>
    <row r="14" spans="2:10">
      <c r="B14" s="2" t="s">
        <v>2</v>
      </c>
      <c r="C14" s="2">
        <f>0.9*C12</f>
        <v>1.08</v>
      </c>
      <c r="G14" s="27" t="s">
        <v>26</v>
      </c>
      <c r="H14" s="2">
        <v>1</v>
      </c>
    </row>
    <row r="15" spans="2:10">
      <c r="G15" s="2" t="s">
        <v>31</v>
      </c>
      <c r="H15" s="2">
        <v>0.5</v>
      </c>
    </row>
    <row r="16" spans="2:10">
      <c r="G16" s="2" t="s">
        <v>69</v>
      </c>
      <c r="H16" s="2">
        <v>3</v>
      </c>
    </row>
    <row r="19" spans="2:9">
      <c r="B19" s="29" t="s">
        <v>3</v>
      </c>
      <c r="C19" s="29"/>
      <c r="D19" s="29"/>
      <c r="E19" s="29"/>
      <c r="F19" s="29"/>
      <c r="G19" s="29"/>
      <c r="H19" s="29"/>
      <c r="I19" s="29"/>
    </row>
    <row r="20" spans="2:9">
      <c r="B20" s="12" t="s">
        <v>38</v>
      </c>
      <c r="C20" s="2">
        <f>E11*0.01*((C13-E13)/C13)</f>
        <v>0.5184375</v>
      </c>
    </row>
    <row r="21" spans="2:9">
      <c r="B21" s="2" t="s">
        <v>39</v>
      </c>
      <c r="C21" s="2">
        <f>(E9*0.01*C13)/2</f>
        <v>7.1999999999999995E-2</v>
      </c>
    </row>
    <row r="22" spans="2:9">
      <c r="B22" s="12" t="s">
        <v>40</v>
      </c>
      <c r="C22" s="2">
        <f>E12*0.01*((C13-E13)/C13)</f>
        <v>0.1509375</v>
      </c>
    </row>
    <row r="23" spans="2:9">
      <c r="B23" s="2" t="s">
        <v>41</v>
      </c>
      <c r="C23" s="2">
        <f>(E10*0.01*C13)/2</f>
        <v>1.9199999999999998E-2</v>
      </c>
    </row>
    <row r="24" spans="2:9">
      <c r="E24" s="9"/>
      <c r="H24" s="10"/>
    </row>
    <row r="25" spans="2:9">
      <c r="B25" s="2" t="s">
        <v>18</v>
      </c>
      <c r="C25" s="2">
        <f>1.35*(C20+C21)+1.5*(C22+C23)</f>
        <v>1.0522968749999999</v>
      </c>
      <c r="E25" s="7"/>
      <c r="H25" s="10"/>
    </row>
    <row r="26" spans="2:9">
      <c r="B26" s="13" t="s">
        <v>42</v>
      </c>
      <c r="C26" s="7">
        <f>C25/(C9*C14)</f>
        <v>2.435872395833333</v>
      </c>
      <c r="G26" s="6"/>
    </row>
    <row r="27" spans="2:9">
      <c r="B27" s="28"/>
      <c r="C27" s="28"/>
      <c r="D27" s="28"/>
      <c r="E27" s="28"/>
      <c r="F27" s="28"/>
      <c r="G27" s="28"/>
      <c r="H27" s="28"/>
      <c r="I27" s="28"/>
    </row>
    <row r="28" spans="2:9">
      <c r="B28" s="32" t="s">
        <v>19</v>
      </c>
    </row>
    <row r="29" spans="2:9">
      <c r="B29" s="32"/>
      <c r="D29" s="6"/>
    </row>
    <row r="30" spans="2:9">
      <c r="B30" s="14" t="s">
        <v>43</v>
      </c>
      <c r="C30" s="2">
        <f>IF(H12="FPP",MIN(0.2*H9/1.5,5),MIN(0.15*H9/1.5,4))</f>
        <v>2.5</v>
      </c>
      <c r="D30" s="8" t="str">
        <f>IF(C30&gt;=C26,"Vérifié","Non vérifié")</f>
        <v>Vérifié</v>
      </c>
    </row>
    <row r="31" spans="2:9">
      <c r="B31" s="32" t="s">
        <v>21</v>
      </c>
      <c r="E31" s="7"/>
    </row>
    <row r="32" spans="2:9">
      <c r="B32" s="32"/>
      <c r="H32" s="7"/>
    </row>
    <row r="33" spans="2:8">
      <c r="B33" s="2" t="s">
        <v>59</v>
      </c>
      <c r="C33" s="2">
        <f>1.15*C9*C26/0.9/H10*100</f>
        <v>0.31125036168981479</v>
      </c>
      <c r="E33" s="10"/>
    </row>
    <row r="34" spans="2:8">
      <c r="B34" s="2" t="s">
        <v>23</v>
      </c>
      <c r="C34" s="2">
        <f>0.4*C9/H10*100</f>
        <v>4.0000000000000008E-2</v>
      </c>
      <c r="D34" s="8" t="str">
        <f>IF(C33&gt;=C34,"Vérifié","Non vérifié")</f>
        <v>Vérifié</v>
      </c>
    </row>
    <row r="35" spans="2:8">
      <c r="B35" s="32" t="s">
        <v>24</v>
      </c>
      <c r="E35" s="10"/>
    </row>
    <row r="36" spans="2:8">
      <c r="B36" s="32"/>
      <c r="H36" s="10"/>
    </row>
    <row r="37" spans="2:8">
      <c r="B37" s="2" t="s">
        <v>25</v>
      </c>
      <c r="C37" s="2">
        <f>MIN(H14,C12*100/35,100*C9/10)</f>
        <v>1</v>
      </c>
      <c r="H37" s="10"/>
    </row>
    <row r="38" spans="2:8">
      <c r="B38" s="2" t="s">
        <v>27</v>
      </c>
      <c r="C38" s="2">
        <v>0.8</v>
      </c>
      <c r="H38" s="10"/>
    </row>
    <row r="39" spans="2:8">
      <c r="B39" s="42" t="s">
        <v>28</v>
      </c>
      <c r="H39" s="10"/>
    </row>
    <row r="40" spans="2:8">
      <c r="B40" s="42"/>
    </row>
    <row r="41" spans="2:8">
      <c r="B41" s="2" t="s">
        <v>70</v>
      </c>
      <c r="C41" s="2">
        <f>8*0.5</f>
        <v>4</v>
      </c>
    </row>
    <row r="42" spans="2:8" ht="15.6">
      <c r="B42" s="19" t="s">
        <v>65</v>
      </c>
      <c r="C42" s="2">
        <f>C41/C33</f>
        <v>12.851390688459059</v>
      </c>
      <c r="D42" s="8" t="str">
        <f>IF(C42&lt;=MIN(0.9*C14*100,40),"Vérifié","Non vérifié")</f>
        <v>Vérifié</v>
      </c>
    </row>
    <row r="43" spans="2:8" ht="15.6">
      <c r="B43" s="2" t="s">
        <v>66</v>
      </c>
      <c r="C43" s="2">
        <v>12</v>
      </c>
    </row>
    <row r="44" spans="2:8">
      <c r="B44" s="25" t="s">
        <v>29</v>
      </c>
    </row>
    <row r="45" spans="2:8">
      <c r="B45" s="22" t="s">
        <v>71</v>
      </c>
      <c r="C45" s="2">
        <f>((1.15*C25)/H10)*10000</f>
        <v>30.253535156249995</v>
      </c>
    </row>
    <row r="46" spans="2:8">
      <c r="B46" s="11" t="s">
        <v>30</v>
      </c>
      <c r="C46" s="2">
        <f>H15-(H16/100)-0.02</f>
        <v>0.44999999999999996</v>
      </c>
    </row>
    <row r="47" spans="2:8" ht="15">
      <c r="B47" s="14" t="s">
        <v>72</v>
      </c>
      <c r="C47" s="2">
        <f>2*C25/C9/C46</f>
        <v>11.692187499999999</v>
      </c>
      <c r="D47" s="8" t="str">
        <f>IF(C47&lt;=0.8*H9/1.5,"Vérifié","Non vérifié")</f>
        <v>Vérifié</v>
      </c>
    </row>
    <row r="49" spans="2:9">
      <c r="B49" s="8" t="s">
        <v>32</v>
      </c>
    </row>
    <row r="50" spans="2:9">
      <c r="B50" s="2" t="s">
        <v>33</v>
      </c>
      <c r="C50" s="2">
        <f>C25*(C10-C9)/0.9/C14/2/C10</f>
        <v>0.27065248842592587</v>
      </c>
    </row>
    <row r="51" spans="2:9">
      <c r="B51" s="2" t="s">
        <v>34</v>
      </c>
      <c r="C51" s="2">
        <f>C50/C11</f>
        <v>0.96661603009259234</v>
      </c>
      <c r="D51" s="8" t="str">
        <f>IF(C51&lt;=C30,"Vérifié","Non vérifié")</f>
        <v>Vérifié</v>
      </c>
    </row>
    <row r="52" spans="2:9">
      <c r="B52" s="2" t="s">
        <v>35</v>
      </c>
      <c r="C52" s="2">
        <f>C50/H10*1.15*100</f>
        <v>7.7812590422453684E-2</v>
      </c>
    </row>
    <row r="53" spans="2:9">
      <c r="B53" s="2" t="s">
        <v>36</v>
      </c>
      <c r="C53" s="2">
        <v>12</v>
      </c>
    </row>
    <row r="54" spans="2:9">
      <c r="B54" s="2" t="s">
        <v>37</v>
      </c>
      <c r="C54" s="2">
        <f>C53*C52</f>
        <v>0.93375108506944415</v>
      </c>
    </row>
    <row r="57" spans="2:9" ht="18">
      <c r="B57" s="39" t="s">
        <v>44</v>
      </c>
      <c r="C57" s="40"/>
      <c r="D57" s="40"/>
      <c r="E57" s="40"/>
      <c r="F57" s="40"/>
      <c r="G57" s="40"/>
      <c r="H57" s="40"/>
      <c r="I57" s="41"/>
    </row>
    <row r="58" spans="2:9">
      <c r="B58" s="29" t="s">
        <v>0</v>
      </c>
      <c r="C58" s="29"/>
      <c r="D58" s="29"/>
      <c r="E58" s="29"/>
      <c r="F58" s="29"/>
      <c r="G58" s="29"/>
      <c r="H58" s="29"/>
      <c r="I58" s="29"/>
    </row>
    <row r="59" spans="2:9" ht="15.6">
      <c r="B59" s="16" t="s">
        <v>47</v>
      </c>
      <c r="C59" s="2">
        <v>1</v>
      </c>
      <c r="D59" s="19" t="s">
        <v>60</v>
      </c>
      <c r="E59" s="2">
        <f>C64/1.15</f>
        <v>347.82608695652175</v>
      </c>
    </row>
    <row r="60" spans="2:9" ht="15.6">
      <c r="B60" s="15" t="s">
        <v>46</v>
      </c>
      <c r="C60" s="2">
        <f>0.6*(1-(C61/250))</f>
        <v>0.54</v>
      </c>
    </row>
    <row r="61" spans="2:9" ht="18">
      <c r="B61" s="17" t="s">
        <v>49</v>
      </c>
      <c r="C61" s="2">
        <v>25</v>
      </c>
    </row>
    <row r="62" spans="2:9" ht="18">
      <c r="B62" s="18" t="s">
        <v>48</v>
      </c>
      <c r="C62" s="2">
        <f>C61/1.5</f>
        <v>16.666666666666668</v>
      </c>
    </row>
    <row r="63" spans="2:9" ht="18">
      <c r="B63" s="17" t="s">
        <v>50</v>
      </c>
      <c r="C63" s="2">
        <v>0.4</v>
      </c>
    </row>
    <row r="64" spans="2:9" ht="15.6">
      <c r="B64" s="19" t="s">
        <v>61</v>
      </c>
      <c r="C64" s="2">
        <v>400</v>
      </c>
    </row>
    <row r="66" spans="2:9">
      <c r="B66" s="29" t="s">
        <v>3</v>
      </c>
      <c r="C66" s="29"/>
      <c r="D66" s="29"/>
      <c r="E66" s="29"/>
      <c r="F66" s="29"/>
      <c r="G66" s="29"/>
      <c r="H66" s="29"/>
      <c r="I66" s="29"/>
    </row>
    <row r="67" spans="2:9">
      <c r="B67" s="12" t="s">
        <v>38</v>
      </c>
      <c r="C67" s="2">
        <f>E11*0.01*((C13-E13)/C13)</f>
        <v>0.5184375</v>
      </c>
    </row>
    <row r="68" spans="2:9">
      <c r="B68" s="2" t="s">
        <v>39</v>
      </c>
      <c r="C68" s="2">
        <f>(E9*0.01*C13)/2</f>
        <v>7.1999999999999995E-2</v>
      </c>
    </row>
    <row r="69" spans="2:9">
      <c r="B69" s="12" t="s">
        <v>40</v>
      </c>
      <c r="C69" s="2">
        <f>E12*0.01*((C13-E13)/C13)</f>
        <v>0.1509375</v>
      </c>
    </row>
    <row r="70" spans="2:9">
      <c r="B70" s="2" t="s">
        <v>41</v>
      </c>
      <c r="C70" s="2">
        <f>(E10*0.01*C13)/2</f>
        <v>1.9199999999999998E-2</v>
      </c>
    </row>
    <row r="72" spans="2:9" ht="18">
      <c r="B72" s="2" t="s">
        <v>45</v>
      </c>
      <c r="C72" s="2">
        <f>1.35*(C20+C21)+1.5*(C22+C23)</f>
        <v>1.0522968749999999</v>
      </c>
    </row>
    <row r="73" spans="2:9">
      <c r="B73" s="28"/>
      <c r="C73" s="28"/>
      <c r="D73" s="28"/>
      <c r="E73" s="28"/>
      <c r="F73" s="28"/>
      <c r="G73" s="28"/>
      <c r="H73" s="28"/>
      <c r="I73" s="28"/>
    </row>
    <row r="74" spans="2:9" ht="18">
      <c r="B74" s="32" t="s">
        <v>19</v>
      </c>
      <c r="C74" s="30" t="s">
        <v>56</v>
      </c>
      <c r="D74" s="30"/>
    </row>
    <row r="75" spans="2:9">
      <c r="B75" s="32"/>
      <c r="C75" s="30" t="s">
        <v>57</v>
      </c>
      <c r="D75" s="30"/>
    </row>
    <row r="76" spans="2:9">
      <c r="B76" s="31" t="s">
        <v>58</v>
      </c>
      <c r="C76" s="31"/>
    </row>
    <row r="77" spans="2:9">
      <c r="B77" s="31"/>
      <c r="C77" s="31"/>
    </row>
    <row r="78" spans="2:9" ht="18">
      <c r="B78" s="2" t="s">
        <v>55</v>
      </c>
    </row>
    <row r="79" spans="2:9" ht="15">
      <c r="B79" s="14" t="s">
        <v>51</v>
      </c>
      <c r="C79" s="2">
        <f>C72/(0.9*C63*C14)</f>
        <v>2.7065248842592582</v>
      </c>
    </row>
    <row r="80" spans="2:9" ht="15">
      <c r="B80" s="20" t="s">
        <v>52</v>
      </c>
      <c r="C80" s="2">
        <f>C79/(C60*C62)</f>
        <v>0.30072498713991752</v>
      </c>
    </row>
    <row r="81" spans="2:4">
      <c r="B81" s="2" t="s">
        <v>53</v>
      </c>
      <c r="C81" s="2">
        <f>IF(C80&lt;0.3348, 2.5, 1+SQRT(1-4*C80))</f>
        <v>2.5</v>
      </c>
    </row>
    <row r="82" spans="2:4">
      <c r="B82" s="21" t="s">
        <v>54</v>
      </c>
      <c r="C82" s="2">
        <v>21.8</v>
      </c>
    </row>
    <row r="83" spans="2:4">
      <c r="B83" s="32" t="s">
        <v>21</v>
      </c>
    </row>
    <row r="84" spans="2:4">
      <c r="B84" s="32"/>
    </row>
    <row r="85" spans="2:4">
      <c r="B85" s="22" t="s">
        <v>62</v>
      </c>
      <c r="C85" s="2">
        <f>(C72/(E59*0.9*C14*C81))*100</f>
        <v>0.12450014467592593</v>
      </c>
    </row>
    <row r="86" spans="2:4">
      <c r="B86" s="22" t="s">
        <v>23</v>
      </c>
      <c r="C86" s="2">
        <f>((0.08*SQRT(C61))/E59)*C63*100</f>
        <v>4.5999999999999999E-2</v>
      </c>
    </row>
    <row r="87" spans="2:4">
      <c r="B87" s="32" t="s">
        <v>24</v>
      </c>
      <c r="C87" s="22"/>
    </row>
    <row r="88" spans="2:4">
      <c r="B88" s="32"/>
      <c r="C88" s="22"/>
    </row>
    <row r="89" spans="2:4">
      <c r="B89" s="22" t="s">
        <v>25</v>
      </c>
      <c r="C89" s="22">
        <f>MIN(H14,C12*100/35,100*C63/10)</f>
        <v>1</v>
      </c>
    </row>
    <row r="90" spans="2:4">
      <c r="B90" s="22" t="s">
        <v>27</v>
      </c>
      <c r="C90" s="22">
        <v>0.8</v>
      </c>
    </row>
    <row r="91" spans="2:4">
      <c r="B91" s="42" t="s">
        <v>28</v>
      </c>
    </row>
    <row r="92" spans="2:4">
      <c r="B92" s="42"/>
    </row>
    <row r="93" spans="2:4">
      <c r="B93" s="19" t="s">
        <v>63</v>
      </c>
      <c r="C93" s="22">
        <f>8*0.5</f>
        <v>4</v>
      </c>
    </row>
    <row r="94" spans="2:4" ht="15.6">
      <c r="B94" s="19" t="s">
        <v>64</v>
      </c>
      <c r="C94" s="2">
        <f>C93/C85</f>
        <v>32.128476721147642</v>
      </c>
      <c r="D94" s="24" t="str">
        <f>IF(C94&lt;60,"vérifié","non vérifié")</f>
        <v>vérifié</v>
      </c>
    </row>
    <row r="95" spans="2:4" ht="15.6">
      <c r="B95" s="2" t="s">
        <v>67</v>
      </c>
      <c r="C95" s="2">
        <v>32</v>
      </c>
    </row>
    <row r="96" spans="2:4">
      <c r="B96" s="25" t="s">
        <v>29</v>
      </c>
    </row>
    <row r="97" spans="2:4" ht="15.6">
      <c r="B97" s="22" t="s">
        <v>73</v>
      </c>
      <c r="C97" s="2">
        <f>(((C72/2)*C81)/E59)*10000</f>
        <v>37.816918945312494</v>
      </c>
    </row>
    <row r="98" spans="2:4" ht="15.6">
      <c r="B98" s="26" t="s">
        <v>68</v>
      </c>
      <c r="C98" s="2">
        <f>H15-(H16/100)-0.02</f>
        <v>0.44999999999999996</v>
      </c>
    </row>
    <row r="99" spans="2:4" ht="15">
      <c r="B99" s="14" t="s">
        <v>75</v>
      </c>
      <c r="C99" s="2">
        <f>C72/(C63*C98)</f>
        <v>5.8460937499999996</v>
      </c>
    </row>
    <row r="100" spans="2:4" ht="15">
      <c r="B100" s="14" t="s">
        <v>76</v>
      </c>
      <c r="C100" s="2">
        <f>18.97</f>
        <v>18.97</v>
      </c>
    </row>
    <row r="101" spans="2:4" ht="15">
      <c r="B101" s="14" t="s">
        <v>74</v>
      </c>
      <c r="C101" s="2">
        <f>MAX(C99,C100)</f>
        <v>18.97</v>
      </c>
    </row>
    <row r="102" spans="2:4" ht="15">
      <c r="B102" s="14" t="s">
        <v>77</v>
      </c>
      <c r="C102" s="2">
        <f>0.85*(1-C61/250)*C61/1.5</f>
        <v>12.75</v>
      </c>
      <c r="D102" s="24" t="str">
        <f>IF(C101&lt;=C102, "vérifié", "non vérifié")</f>
        <v>non vérifié</v>
      </c>
    </row>
  </sheetData>
  <mergeCells count="20">
    <mergeCell ref="B87:B88"/>
    <mergeCell ref="B91:B92"/>
    <mergeCell ref="B58:I58"/>
    <mergeCell ref="B2:I3"/>
    <mergeCell ref="B4:I4"/>
    <mergeCell ref="B7:I7"/>
    <mergeCell ref="B19:I19"/>
    <mergeCell ref="B57:I57"/>
    <mergeCell ref="B28:B29"/>
    <mergeCell ref="B31:B32"/>
    <mergeCell ref="B35:B36"/>
    <mergeCell ref="B39:B40"/>
    <mergeCell ref="B74:B75"/>
    <mergeCell ref="C74:D74"/>
    <mergeCell ref="B83:B84"/>
    <mergeCell ref="B73:I73"/>
    <mergeCell ref="B27:I27"/>
    <mergeCell ref="B66:I66"/>
    <mergeCell ref="C75:D75"/>
    <mergeCell ref="B76:C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BAEL99-EC2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2020-03-22T17:31:48Z</dcterms:created>
  <dcterms:modified xsi:type="dcterms:W3CDTF">2020-04-24T12:25:35Z</dcterms:modified>
</cp:coreProperties>
</file>